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tables/table1.xml" ContentType="application/vnd.openxmlformats-officedocument.spreadsheetml.table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fujitariku/Downloads/"/>
    </mc:Choice>
  </mc:AlternateContent>
  <xr:revisionPtr revIDLastSave="0" documentId="8_{26C2B9D2-73E8-5041-9A86-8664198D4853}" xr6:coauthVersionLast="47" xr6:coauthVersionMax="47" xr10:uidLastSave="{00000000-0000-0000-0000-000000000000}"/>
  <bookViews>
    <workbookView xWindow="0" yWindow="0" windowWidth="28800" windowHeight="18000" firstSheet="17" activeTab="30" xr2:uid="{00000000-000D-0000-FFFF-FFFF00000000}"/>
  </bookViews>
  <sheets>
    <sheet name="1月" sheetId="2" r:id="rId1"/>
    <sheet name="Sheet4" sheetId="20" state="hidden" r:id="rId2"/>
    <sheet name="2月" sheetId="18" r:id="rId3"/>
    <sheet name="3月" sheetId="26" r:id="rId4"/>
    <sheet name="4月" sheetId="27" r:id="rId5"/>
    <sheet name="5月" sheetId="28" r:id="rId6"/>
    <sheet name="6月" sheetId="29" r:id="rId7"/>
    <sheet name="7月" sheetId="30" r:id="rId8"/>
    <sheet name="8月" sheetId="31" r:id="rId9"/>
    <sheet name="9月" sheetId="32" r:id="rId10"/>
    <sheet name="10月" sheetId="33" r:id="rId11"/>
    <sheet name="11月" sheetId="34" r:id="rId12"/>
    <sheet name="2021年1月" sheetId="38" r:id="rId13"/>
    <sheet name="12月" sheetId="35" r:id="rId14"/>
    <sheet name="2021年2月" sheetId="39" r:id="rId15"/>
    <sheet name="2021年3月" sheetId="40" r:id="rId16"/>
    <sheet name="2021年4月" sheetId="41" r:id="rId17"/>
    <sheet name="2021年5月" sheetId="42" r:id="rId18"/>
    <sheet name="2021年6月" sheetId="43" r:id="rId19"/>
    <sheet name="2021年7月" sheetId="44" r:id="rId20"/>
    <sheet name="2021年8月" sheetId="45" r:id="rId21"/>
    <sheet name="2021年9月" sheetId="47" r:id="rId22"/>
    <sheet name="2021年10月" sheetId="49" r:id="rId23"/>
    <sheet name="2021年11月" sheetId="50" r:id="rId24"/>
    <sheet name="見本" sheetId="24" r:id="rId25"/>
    <sheet name="名前と時間記入" sheetId="14" r:id="rId26"/>
    <sheet name="2021年12月" sheetId="51" r:id="rId27"/>
    <sheet name="2022年1月" sheetId="52" r:id="rId28"/>
    <sheet name="2202年2月" sheetId="57" r:id="rId29"/>
    <sheet name="2022年3月" sheetId="59" r:id="rId30"/>
    <sheet name="2022年4月" sheetId="60" r:id="rId31"/>
    <sheet name="Sheet1" sheetId="17" state="hidden" r:id="rId32"/>
  </sheets>
  <definedNames>
    <definedName name="_xlnm._FilterDatabase" localSheetId="25" hidden="1">名前と時間記入!$A$1:$C$1</definedName>
    <definedName name="出時間" localSheetId="24">名前と時間[出]</definedName>
    <definedName name="出時間">名前と時間[出]</definedName>
    <definedName name="入時間" localSheetId="24">名前と時間[入]</definedName>
    <definedName name="入時間">名前と時間[入]</definedName>
    <definedName name="名前" localSheetId="24">名前と時間[名前]</definedName>
    <definedName name="名前">名前と時間[名前]</definedName>
  </definedNames>
  <calcPr calcId="191029"/>
</workbook>
</file>

<file path=xl/calcChain.xml><?xml version="1.0" encoding="utf-8"?>
<calcChain xmlns="http://schemas.openxmlformats.org/spreadsheetml/2006/main">
  <c r="E32" i="60" l="1"/>
  <c r="G34" i="60"/>
  <c r="G37" i="60" s="1"/>
  <c r="F30" i="60"/>
  <c r="F37" i="60" s="1"/>
  <c r="F26" i="60"/>
  <c r="E22" i="60"/>
  <c r="E19" i="60"/>
  <c r="E10" i="60"/>
  <c r="H10" i="60" s="1"/>
  <c r="E5" i="60"/>
  <c r="B40" i="60"/>
  <c r="I37" i="60"/>
  <c r="J37" i="60" s="1"/>
  <c r="C37" i="60"/>
  <c r="B37" i="60"/>
  <c r="AW36" i="60"/>
  <c r="AW38" i="60" s="1"/>
  <c r="AV36" i="60"/>
  <c r="AV38" i="60" s="1"/>
  <c r="AU36" i="60"/>
  <c r="AU38" i="60" s="1"/>
  <c r="AT36" i="60"/>
  <c r="AT38" i="60" s="1"/>
  <c r="AS36" i="60"/>
  <c r="AS38" i="60" s="1"/>
  <c r="AR36" i="60"/>
  <c r="AR38" i="60" s="1"/>
  <c r="AQ36" i="60"/>
  <c r="AQ38" i="60" s="1"/>
  <c r="AP36" i="60"/>
  <c r="AP38" i="60" s="1"/>
  <c r="AO36" i="60"/>
  <c r="AO38" i="60" s="1"/>
  <c r="AN36" i="60"/>
  <c r="AN38" i="60" s="1"/>
  <c r="AM36" i="60"/>
  <c r="AM38" i="60" s="1"/>
  <c r="AL36" i="60"/>
  <c r="AL38" i="60" s="1"/>
  <c r="AK36" i="60"/>
  <c r="AK38" i="60" s="1"/>
  <c r="AJ36" i="60"/>
  <c r="AJ38" i="60" s="1"/>
  <c r="AI36" i="60"/>
  <c r="AI38" i="60" s="1"/>
  <c r="AH36" i="60"/>
  <c r="AH38" i="60" s="1"/>
  <c r="AG36" i="60"/>
  <c r="AG38" i="60" s="1"/>
  <c r="AF36" i="60"/>
  <c r="AF38" i="60" s="1"/>
  <c r="AE36" i="60"/>
  <c r="AE38" i="60" s="1"/>
  <c r="AD36" i="60"/>
  <c r="AD38" i="60" s="1"/>
  <c r="AC36" i="60"/>
  <c r="AC38" i="60" s="1"/>
  <c r="AB36" i="60"/>
  <c r="AB38" i="60" s="1"/>
  <c r="AA36" i="60"/>
  <c r="AA38" i="60" s="1"/>
  <c r="Z36" i="60"/>
  <c r="Z38" i="60" s="1"/>
  <c r="Y36" i="60"/>
  <c r="Y38" i="60" s="1"/>
  <c r="X36" i="60"/>
  <c r="X38" i="60" s="1"/>
  <c r="W36" i="60"/>
  <c r="W38" i="60" s="1"/>
  <c r="V36" i="60"/>
  <c r="V38" i="60" s="1"/>
  <c r="U36" i="60"/>
  <c r="U38" i="60" s="1"/>
  <c r="T36" i="60"/>
  <c r="T38" i="60" s="1"/>
  <c r="S36" i="60"/>
  <c r="S38" i="60" s="1"/>
  <c r="R36" i="60"/>
  <c r="R38" i="60" s="1"/>
  <c r="Q36" i="60"/>
  <c r="I36" i="60"/>
  <c r="G36" i="60"/>
  <c r="F36" i="60"/>
  <c r="E36" i="60"/>
  <c r="AX35" i="60"/>
  <c r="H35" i="60"/>
  <c r="D35" i="60"/>
  <c r="A35" i="60"/>
  <c r="AX34" i="60"/>
  <c r="D34" i="60"/>
  <c r="A34" i="60"/>
  <c r="AX33" i="60"/>
  <c r="H33" i="60"/>
  <c r="D33" i="60"/>
  <c r="A33" i="60"/>
  <c r="AX32" i="60"/>
  <c r="H32" i="60"/>
  <c r="D32" i="60"/>
  <c r="A32" i="60"/>
  <c r="AX31" i="60"/>
  <c r="H31" i="60"/>
  <c r="D31" i="60"/>
  <c r="A31" i="60"/>
  <c r="AX30" i="60"/>
  <c r="D30" i="60"/>
  <c r="A30" i="60"/>
  <c r="AX29" i="60"/>
  <c r="H29" i="60"/>
  <c r="D29" i="60"/>
  <c r="A29" i="60"/>
  <c r="AX28" i="60"/>
  <c r="H28" i="60"/>
  <c r="D28" i="60"/>
  <c r="A28" i="60"/>
  <c r="AX27" i="60"/>
  <c r="H27" i="60"/>
  <c r="D27" i="60"/>
  <c r="A27" i="60"/>
  <c r="AX26" i="60"/>
  <c r="H26" i="60"/>
  <c r="D26" i="60"/>
  <c r="A26" i="60"/>
  <c r="AX25" i="60"/>
  <c r="H25" i="60"/>
  <c r="D25" i="60"/>
  <c r="A25" i="60"/>
  <c r="AX24" i="60"/>
  <c r="H24" i="60"/>
  <c r="D24" i="60"/>
  <c r="A24" i="60"/>
  <c r="AX23" i="60"/>
  <c r="H23" i="60"/>
  <c r="D23" i="60"/>
  <c r="A23" i="60"/>
  <c r="AX22" i="60"/>
  <c r="H22" i="60"/>
  <c r="D22" i="60"/>
  <c r="A22" i="60"/>
  <c r="AX21" i="60"/>
  <c r="H21" i="60"/>
  <c r="D21" i="60"/>
  <c r="A21" i="60"/>
  <c r="AX20" i="60"/>
  <c r="H20" i="60"/>
  <c r="D20" i="60"/>
  <c r="A20" i="60"/>
  <c r="AX19" i="60"/>
  <c r="N19" i="60"/>
  <c r="N26" i="60" s="1"/>
  <c r="H19" i="60"/>
  <c r="D19" i="60"/>
  <c r="A19" i="60"/>
  <c r="AX18" i="60"/>
  <c r="H18" i="60"/>
  <c r="D18" i="60"/>
  <c r="A18" i="60"/>
  <c r="AX17" i="60"/>
  <c r="H17" i="60"/>
  <c r="D17" i="60"/>
  <c r="A17" i="60"/>
  <c r="AX16" i="60"/>
  <c r="H16" i="60"/>
  <c r="D16" i="60"/>
  <c r="A16" i="60"/>
  <c r="AX15" i="60"/>
  <c r="H15" i="60"/>
  <c r="D15" i="60"/>
  <c r="A15" i="60"/>
  <c r="AX14" i="60"/>
  <c r="H14" i="60"/>
  <c r="D14" i="60"/>
  <c r="A14" i="60"/>
  <c r="AX13" i="60"/>
  <c r="H13" i="60"/>
  <c r="D13" i="60"/>
  <c r="A13" i="60"/>
  <c r="AX12" i="60"/>
  <c r="H12" i="60"/>
  <c r="D12" i="60"/>
  <c r="A12" i="60"/>
  <c r="AX11" i="60"/>
  <c r="H11" i="60"/>
  <c r="D11" i="60"/>
  <c r="A11" i="60"/>
  <c r="AX10" i="60"/>
  <c r="D10" i="60"/>
  <c r="A10" i="60"/>
  <c r="AX9" i="60"/>
  <c r="H9" i="60"/>
  <c r="D9" i="60"/>
  <c r="A9" i="60"/>
  <c r="AX8" i="60"/>
  <c r="H8" i="60"/>
  <c r="D8" i="60"/>
  <c r="A8" i="60"/>
  <c r="AX7" i="60"/>
  <c r="H7" i="60"/>
  <c r="D7" i="60"/>
  <c r="A7" i="60"/>
  <c r="AX6" i="60"/>
  <c r="H6" i="60"/>
  <c r="D6" i="60"/>
  <c r="A6" i="60"/>
  <c r="AX5" i="60"/>
  <c r="D5" i="60"/>
  <c r="A5" i="60"/>
  <c r="G27" i="59"/>
  <c r="W38" i="59"/>
  <c r="E34" i="59"/>
  <c r="G25" i="59"/>
  <c r="E26" i="59"/>
  <c r="E25" i="59"/>
  <c r="E20" i="59"/>
  <c r="E16" i="59"/>
  <c r="E15" i="59"/>
  <c r="E14" i="59"/>
  <c r="E13" i="59"/>
  <c r="H13" i="59" s="1"/>
  <c r="E8" i="59"/>
  <c r="E6" i="59"/>
  <c r="E5" i="59"/>
  <c r="G20" i="59"/>
  <c r="G8" i="59"/>
  <c r="F37" i="59"/>
  <c r="W6" i="59"/>
  <c r="AX6" i="59" s="1"/>
  <c r="B40" i="59"/>
  <c r="I37" i="59"/>
  <c r="J37" i="59" s="1"/>
  <c r="G37" i="59"/>
  <c r="C37" i="59"/>
  <c r="B37" i="59"/>
  <c r="AW36" i="59"/>
  <c r="AW38" i="59" s="1"/>
  <c r="AV36" i="59"/>
  <c r="AV38" i="59" s="1"/>
  <c r="AU36" i="59"/>
  <c r="AU38" i="59" s="1"/>
  <c r="AT36" i="59"/>
  <c r="AT38" i="59" s="1"/>
  <c r="AS36" i="59"/>
  <c r="AS38" i="59" s="1"/>
  <c r="AR36" i="59"/>
  <c r="AR38" i="59" s="1"/>
  <c r="AQ36" i="59"/>
  <c r="AQ38" i="59" s="1"/>
  <c r="AP36" i="59"/>
  <c r="AP38" i="59" s="1"/>
  <c r="AO36" i="59"/>
  <c r="AO38" i="59" s="1"/>
  <c r="AN36" i="59"/>
  <c r="AN38" i="59" s="1"/>
  <c r="AM36" i="59"/>
  <c r="AM38" i="59" s="1"/>
  <c r="AL36" i="59"/>
  <c r="AL38" i="59" s="1"/>
  <c r="AK36" i="59"/>
  <c r="AK38" i="59" s="1"/>
  <c r="AJ36" i="59"/>
  <c r="AJ38" i="59" s="1"/>
  <c r="AI36" i="59"/>
  <c r="AI38" i="59" s="1"/>
  <c r="AH36" i="59"/>
  <c r="AH38" i="59" s="1"/>
  <c r="AG36" i="59"/>
  <c r="AG38" i="59" s="1"/>
  <c r="AF36" i="59"/>
  <c r="AF38" i="59" s="1"/>
  <c r="AE36" i="59"/>
  <c r="AE38" i="59" s="1"/>
  <c r="AD36" i="59"/>
  <c r="AD38" i="59" s="1"/>
  <c r="AC36" i="59"/>
  <c r="AC38" i="59" s="1"/>
  <c r="AB36" i="59"/>
  <c r="AB38" i="59" s="1"/>
  <c r="AA36" i="59"/>
  <c r="AA38" i="59" s="1"/>
  <c r="Z36" i="59"/>
  <c r="Z38" i="59" s="1"/>
  <c r="Y36" i="59"/>
  <c r="Y38" i="59" s="1"/>
  <c r="X36" i="59"/>
  <c r="X38" i="59" s="1"/>
  <c r="V36" i="59"/>
  <c r="V38" i="59" s="1"/>
  <c r="U36" i="59"/>
  <c r="U38" i="59" s="1"/>
  <c r="T36" i="59"/>
  <c r="T38" i="59" s="1"/>
  <c r="S36" i="59"/>
  <c r="S38" i="59" s="1"/>
  <c r="R36" i="59"/>
  <c r="R38" i="59" s="1"/>
  <c r="Q36" i="59"/>
  <c r="I36" i="59"/>
  <c r="G36" i="59"/>
  <c r="F36" i="59"/>
  <c r="E36" i="59"/>
  <c r="AX35" i="59"/>
  <c r="H35" i="59"/>
  <c r="D35" i="59"/>
  <c r="A35" i="59"/>
  <c r="AX34" i="59"/>
  <c r="H34" i="59"/>
  <c r="D34" i="59"/>
  <c r="A34" i="59"/>
  <c r="AX33" i="59"/>
  <c r="H33" i="59"/>
  <c r="D33" i="59"/>
  <c r="A33" i="59"/>
  <c r="AX32" i="59"/>
  <c r="H32" i="59"/>
  <c r="D32" i="59"/>
  <c r="A32" i="59"/>
  <c r="AX31" i="59"/>
  <c r="H31" i="59"/>
  <c r="D31" i="59"/>
  <c r="A31" i="59"/>
  <c r="AX30" i="59"/>
  <c r="H30" i="59"/>
  <c r="D30" i="59"/>
  <c r="A30" i="59"/>
  <c r="AX29" i="59"/>
  <c r="H29" i="59"/>
  <c r="D29" i="59"/>
  <c r="A29" i="59"/>
  <c r="AX28" i="59"/>
  <c r="H28" i="59"/>
  <c r="D28" i="59"/>
  <c r="A28" i="59"/>
  <c r="AX27" i="59"/>
  <c r="H27" i="59"/>
  <c r="D27" i="59"/>
  <c r="A27" i="59"/>
  <c r="AX26" i="59"/>
  <c r="H26" i="59"/>
  <c r="D26" i="59"/>
  <c r="A26" i="59"/>
  <c r="AX25" i="59"/>
  <c r="H25" i="59"/>
  <c r="D25" i="59"/>
  <c r="A25" i="59"/>
  <c r="AX24" i="59"/>
  <c r="H24" i="59"/>
  <c r="D24" i="59"/>
  <c r="A24" i="59"/>
  <c r="AX23" i="59"/>
  <c r="H23" i="59"/>
  <c r="D23" i="59"/>
  <c r="A23" i="59"/>
  <c r="AX22" i="59"/>
  <c r="H22" i="59"/>
  <c r="D22" i="59"/>
  <c r="A22" i="59"/>
  <c r="AX21" i="59"/>
  <c r="H21" i="59"/>
  <c r="D21" i="59"/>
  <c r="A21" i="59"/>
  <c r="AX20" i="59"/>
  <c r="H20" i="59"/>
  <c r="D20" i="59"/>
  <c r="A20" i="59"/>
  <c r="AX19" i="59"/>
  <c r="N19" i="59"/>
  <c r="N26" i="59" s="1"/>
  <c r="H19" i="59"/>
  <c r="D19" i="59"/>
  <c r="A19" i="59"/>
  <c r="AX18" i="59"/>
  <c r="H18" i="59"/>
  <c r="D18" i="59"/>
  <c r="A18" i="59"/>
  <c r="AX17" i="59"/>
  <c r="H17" i="59"/>
  <c r="D17" i="59"/>
  <c r="A17" i="59"/>
  <c r="AX16" i="59"/>
  <c r="H16" i="59"/>
  <c r="D16" i="59"/>
  <c r="A16" i="59"/>
  <c r="AX15" i="59"/>
  <c r="H15" i="59"/>
  <c r="D15" i="59"/>
  <c r="A15" i="59"/>
  <c r="AX14" i="59"/>
  <c r="H14" i="59"/>
  <c r="D14" i="59"/>
  <c r="A14" i="59"/>
  <c r="AX13" i="59"/>
  <c r="D13" i="59"/>
  <c r="A13" i="59"/>
  <c r="AX12" i="59"/>
  <c r="H12" i="59"/>
  <c r="D12" i="59"/>
  <c r="A12" i="59"/>
  <c r="AX11" i="59"/>
  <c r="H11" i="59"/>
  <c r="D11" i="59"/>
  <c r="A11" i="59"/>
  <c r="AX10" i="59"/>
  <c r="H10" i="59"/>
  <c r="D10" i="59"/>
  <c r="A10" i="59"/>
  <c r="AX9" i="59"/>
  <c r="H9" i="59"/>
  <c r="D9" i="59"/>
  <c r="A9" i="59"/>
  <c r="AX8" i="59"/>
  <c r="D8" i="59"/>
  <c r="A8" i="59"/>
  <c r="AX7" i="59"/>
  <c r="H7" i="59"/>
  <c r="D7" i="59"/>
  <c r="A7" i="59"/>
  <c r="H6" i="59"/>
  <c r="D6" i="59"/>
  <c r="A6" i="59"/>
  <c r="AX5" i="59"/>
  <c r="H5" i="59"/>
  <c r="D5" i="59"/>
  <c r="A5" i="59"/>
  <c r="E5" i="57"/>
  <c r="E37" i="57" s="1"/>
  <c r="B24" i="57"/>
  <c r="E28" i="57"/>
  <c r="H28" i="57" s="1"/>
  <c r="G27" i="57"/>
  <c r="H27" i="57" s="1"/>
  <c r="E25" i="57"/>
  <c r="E12" i="57"/>
  <c r="F9" i="57"/>
  <c r="B40" i="57"/>
  <c r="AU38" i="57"/>
  <c r="AS38" i="57"/>
  <c r="AQ38" i="57"/>
  <c r="AO38" i="57"/>
  <c r="AM38" i="57"/>
  <c r="AK38" i="57"/>
  <c r="AI38" i="57"/>
  <c r="AG38" i="57"/>
  <c r="AE38" i="57"/>
  <c r="AC38" i="57"/>
  <c r="AA38" i="57"/>
  <c r="Q38" i="57"/>
  <c r="I37" i="57"/>
  <c r="J37" i="57" s="1"/>
  <c r="F37" i="57"/>
  <c r="C37" i="57"/>
  <c r="B37" i="57"/>
  <c r="B43" i="57" s="1"/>
  <c r="AW36" i="57"/>
  <c r="AW38" i="57" s="1"/>
  <c r="AV36" i="57"/>
  <c r="AV38" i="57" s="1"/>
  <c r="AU36" i="57"/>
  <c r="AT36" i="57"/>
  <c r="AT38" i="57" s="1"/>
  <c r="AS36" i="57"/>
  <c r="AR36" i="57"/>
  <c r="AR38" i="57" s="1"/>
  <c r="AQ36" i="57"/>
  <c r="AP36" i="57"/>
  <c r="AP38" i="57" s="1"/>
  <c r="AO36" i="57"/>
  <c r="AN36" i="57"/>
  <c r="AN38" i="57" s="1"/>
  <c r="AM36" i="57"/>
  <c r="AL36" i="57"/>
  <c r="AL38" i="57" s="1"/>
  <c r="AK36" i="57"/>
  <c r="AJ36" i="57"/>
  <c r="AJ38" i="57" s="1"/>
  <c r="AI36" i="57"/>
  <c r="AH36" i="57"/>
  <c r="AH38" i="57" s="1"/>
  <c r="AG36" i="57"/>
  <c r="AF36" i="57"/>
  <c r="AF38" i="57" s="1"/>
  <c r="AE36" i="57"/>
  <c r="AD36" i="57"/>
  <c r="AD38" i="57" s="1"/>
  <c r="AC36" i="57"/>
  <c r="AB36" i="57"/>
  <c r="AB38" i="57" s="1"/>
  <c r="AA36" i="57"/>
  <c r="Z36" i="57"/>
  <c r="Z38" i="57" s="1"/>
  <c r="Y36" i="57"/>
  <c r="Y38" i="57" s="1"/>
  <c r="X36" i="57"/>
  <c r="X38" i="57" s="1"/>
  <c r="W36" i="57"/>
  <c r="W38" i="57" s="1"/>
  <c r="V36" i="57"/>
  <c r="V38" i="57" s="1"/>
  <c r="U36" i="57"/>
  <c r="U38" i="57" s="1"/>
  <c r="T36" i="57"/>
  <c r="T38" i="57" s="1"/>
  <c r="S36" i="57"/>
  <c r="S38" i="57" s="1"/>
  <c r="R36" i="57"/>
  <c r="R38" i="57" s="1"/>
  <c r="Q36" i="57"/>
  <c r="I36" i="57"/>
  <c r="G36" i="57"/>
  <c r="F36" i="57"/>
  <c r="E36" i="57"/>
  <c r="AX35" i="57"/>
  <c r="H35" i="57"/>
  <c r="D35" i="57"/>
  <c r="A35" i="57"/>
  <c r="AX34" i="57"/>
  <c r="H34" i="57"/>
  <c r="D34" i="57"/>
  <c r="A34" i="57"/>
  <c r="AX33" i="57"/>
  <c r="H33" i="57"/>
  <c r="D33" i="57"/>
  <c r="A33" i="57"/>
  <c r="AX32" i="57"/>
  <c r="H32" i="57"/>
  <c r="D32" i="57"/>
  <c r="A32" i="57"/>
  <c r="AX31" i="57"/>
  <c r="H31" i="57"/>
  <c r="D31" i="57"/>
  <c r="A31" i="57"/>
  <c r="AX30" i="57"/>
  <c r="H30" i="57"/>
  <c r="D30" i="57"/>
  <c r="A30" i="57"/>
  <c r="AX29" i="57"/>
  <c r="H29" i="57"/>
  <c r="D29" i="57"/>
  <c r="A29" i="57"/>
  <c r="AX28" i="57"/>
  <c r="D28" i="57"/>
  <c r="A28" i="57"/>
  <c r="AX27" i="57"/>
  <c r="D27" i="57"/>
  <c r="A27" i="57"/>
  <c r="AX26" i="57"/>
  <c r="H26" i="57"/>
  <c r="D26" i="57"/>
  <c r="A26" i="57"/>
  <c r="AX25" i="57"/>
  <c r="H25" i="57"/>
  <c r="D25" i="57"/>
  <c r="A25" i="57"/>
  <c r="AX24" i="57"/>
  <c r="H24" i="57"/>
  <c r="D24" i="57"/>
  <c r="A24" i="57"/>
  <c r="AX23" i="57"/>
  <c r="H23" i="57"/>
  <c r="D23" i="57"/>
  <c r="A23" i="57"/>
  <c r="AX22" i="57"/>
  <c r="H22" i="57"/>
  <c r="D22" i="57"/>
  <c r="A22" i="57"/>
  <c r="AX21" i="57"/>
  <c r="H21" i="57"/>
  <c r="D21" i="57"/>
  <c r="A21" i="57"/>
  <c r="AX20" i="57"/>
  <c r="H20" i="57"/>
  <c r="D20" i="57"/>
  <c r="A20" i="57"/>
  <c r="AX19" i="57"/>
  <c r="N19" i="57"/>
  <c r="N26" i="57" s="1"/>
  <c r="H19" i="57"/>
  <c r="D19" i="57"/>
  <c r="A19" i="57"/>
  <c r="AX18" i="57"/>
  <c r="H18" i="57"/>
  <c r="D18" i="57"/>
  <c r="A18" i="57"/>
  <c r="AX17" i="57"/>
  <c r="H17" i="57"/>
  <c r="D17" i="57"/>
  <c r="A17" i="57"/>
  <c r="AX16" i="57"/>
  <c r="H16" i="57"/>
  <c r="D16" i="57"/>
  <c r="A16" i="57"/>
  <c r="AX15" i="57"/>
  <c r="H15" i="57"/>
  <c r="D15" i="57"/>
  <c r="A15" i="57"/>
  <c r="AX14" i="57"/>
  <c r="H14" i="57"/>
  <c r="D14" i="57"/>
  <c r="A14" i="57"/>
  <c r="AX13" i="57"/>
  <c r="H13" i="57"/>
  <c r="D13" i="57"/>
  <c r="A13" i="57"/>
  <c r="AX12" i="57"/>
  <c r="H12" i="57"/>
  <c r="D12" i="57"/>
  <c r="A12" i="57"/>
  <c r="AX11" i="57"/>
  <c r="H11" i="57"/>
  <c r="D11" i="57"/>
  <c r="A11" i="57"/>
  <c r="AX10" i="57"/>
  <c r="H10" i="57"/>
  <c r="D10" i="57"/>
  <c r="A10" i="57"/>
  <c r="AX9" i="57"/>
  <c r="H9" i="57"/>
  <c r="D9" i="57"/>
  <c r="A9" i="57"/>
  <c r="AX8" i="57"/>
  <c r="H8" i="57"/>
  <c r="D8" i="57"/>
  <c r="A8" i="57"/>
  <c r="AX7" i="57"/>
  <c r="H7" i="57"/>
  <c r="D7" i="57"/>
  <c r="A7" i="57"/>
  <c r="AX6" i="57"/>
  <c r="H6" i="57"/>
  <c r="D6" i="57"/>
  <c r="A6" i="57"/>
  <c r="AX5" i="57"/>
  <c r="D5" i="57"/>
  <c r="A5" i="57"/>
  <c r="G8" i="52"/>
  <c r="G37" i="52" s="1"/>
  <c r="E17" i="52"/>
  <c r="E15" i="52"/>
  <c r="E14" i="52"/>
  <c r="H14" i="52" s="1"/>
  <c r="E11" i="52"/>
  <c r="E8" i="52"/>
  <c r="G9" i="52"/>
  <c r="B40" i="52"/>
  <c r="I37" i="52"/>
  <c r="J37" i="52" s="1"/>
  <c r="F37" i="52"/>
  <c r="C37" i="52"/>
  <c r="B37" i="52"/>
  <c r="AW36" i="52"/>
  <c r="AW38" i="52" s="1"/>
  <c r="AV36" i="52"/>
  <c r="AV38" i="52" s="1"/>
  <c r="AU36" i="52"/>
  <c r="AU38" i="52" s="1"/>
  <c r="AT36" i="52"/>
  <c r="AT38" i="52" s="1"/>
  <c r="AS36" i="52"/>
  <c r="AS38" i="52" s="1"/>
  <c r="AR36" i="52"/>
  <c r="AR38" i="52" s="1"/>
  <c r="AQ36" i="52"/>
  <c r="AQ38" i="52" s="1"/>
  <c r="AP36" i="52"/>
  <c r="AP38" i="52" s="1"/>
  <c r="AO36" i="52"/>
  <c r="AO38" i="52" s="1"/>
  <c r="AN36" i="52"/>
  <c r="AN38" i="52" s="1"/>
  <c r="AM36" i="52"/>
  <c r="AM38" i="52" s="1"/>
  <c r="AL36" i="52"/>
  <c r="AL38" i="52" s="1"/>
  <c r="AK36" i="52"/>
  <c r="AK38" i="52" s="1"/>
  <c r="AJ36" i="52"/>
  <c r="AJ38" i="52" s="1"/>
  <c r="AI36" i="52"/>
  <c r="AI38" i="52" s="1"/>
  <c r="AH36" i="52"/>
  <c r="AH38" i="52" s="1"/>
  <c r="AG36" i="52"/>
  <c r="AG38" i="52" s="1"/>
  <c r="AF36" i="52"/>
  <c r="AF38" i="52" s="1"/>
  <c r="AE36" i="52"/>
  <c r="AE38" i="52" s="1"/>
  <c r="AD36" i="52"/>
  <c r="AD38" i="52" s="1"/>
  <c r="AC36" i="52"/>
  <c r="AC38" i="52" s="1"/>
  <c r="AB36" i="52"/>
  <c r="AB38" i="52" s="1"/>
  <c r="AA36" i="52"/>
  <c r="AA38" i="52" s="1"/>
  <c r="Z36" i="52"/>
  <c r="Z38" i="52" s="1"/>
  <c r="Y36" i="52"/>
  <c r="Y38" i="52" s="1"/>
  <c r="X36" i="52"/>
  <c r="X38" i="52" s="1"/>
  <c r="W36" i="52"/>
  <c r="W38" i="52" s="1"/>
  <c r="V36" i="52"/>
  <c r="V38" i="52" s="1"/>
  <c r="U36" i="52"/>
  <c r="U38" i="52" s="1"/>
  <c r="T36" i="52"/>
  <c r="T38" i="52" s="1"/>
  <c r="S36" i="52"/>
  <c r="S38" i="52" s="1"/>
  <c r="R36" i="52"/>
  <c r="R38" i="52" s="1"/>
  <c r="Q36" i="52"/>
  <c r="I36" i="52"/>
  <c r="G36" i="52"/>
  <c r="F36" i="52"/>
  <c r="E36" i="52"/>
  <c r="AX35" i="52"/>
  <c r="H35" i="52"/>
  <c r="D35" i="52"/>
  <c r="A35" i="52"/>
  <c r="AX34" i="52"/>
  <c r="H34" i="52"/>
  <c r="D34" i="52"/>
  <c r="A34" i="52"/>
  <c r="AX33" i="52"/>
  <c r="H33" i="52"/>
  <c r="D33" i="52"/>
  <c r="A33" i="52"/>
  <c r="AX32" i="52"/>
  <c r="H32" i="52"/>
  <c r="D32" i="52"/>
  <c r="A32" i="52"/>
  <c r="AX31" i="52"/>
  <c r="H31" i="52"/>
  <c r="D31" i="52"/>
  <c r="A31" i="52"/>
  <c r="AX30" i="52"/>
  <c r="H30" i="52"/>
  <c r="D30" i="52"/>
  <c r="A30" i="52"/>
  <c r="AX29" i="52"/>
  <c r="H29" i="52"/>
  <c r="D29" i="52"/>
  <c r="A29" i="52"/>
  <c r="AX28" i="52"/>
  <c r="H28" i="52"/>
  <c r="D28" i="52"/>
  <c r="A28" i="52"/>
  <c r="AX27" i="52"/>
  <c r="H27" i="52"/>
  <c r="D27" i="52"/>
  <c r="A27" i="52"/>
  <c r="AX26" i="52"/>
  <c r="H26" i="52"/>
  <c r="D26" i="52"/>
  <c r="A26" i="52"/>
  <c r="AX25" i="52"/>
  <c r="H25" i="52"/>
  <c r="D25" i="52"/>
  <c r="A25" i="52"/>
  <c r="AX24" i="52"/>
  <c r="H24" i="52"/>
  <c r="D24" i="52"/>
  <c r="A24" i="52"/>
  <c r="AX23" i="52"/>
  <c r="H23" i="52"/>
  <c r="D23" i="52"/>
  <c r="A23" i="52"/>
  <c r="AX22" i="52"/>
  <c r="H22" i="52"/>
  <c r="D22" i="52"/>
  <c r="A22" i="52"/>
  <c r="AX21" i="52"/>
  <c r="H21" i="52"/>
  <c r="D21" i="52"/>
  <c r="A21" i="52"/>
  <c r="AX20" i="52"/>
  <c r="H20" i="52"/>
  <c r="D20" i="52"/>
  <c r="A20" i="52"/>
  <c r="AX19" i="52"/>
  <c r="N19" i="52"/>
  <c r="N26" i="52" s="1"/>
  <c r="H19" i="52"/>
  <c r="D19" i="52"/>
  <c r="A19" i="52"/>
  <c r="AX18" i="52"/>
  <c r="H18" i="52"/>
  <c r="D18" i="52"/>
  <c r="A18" i="52"/>
  <c r="AX17" i="52"/>
  <c r="H17" i="52"/>
  <c r="D17" i="52"/>
  <c r="A17" i="52"/>
  <c r="AX16" i="52"/>
  <c r="H16" i="52"/>
  <c r="D16" i="52"/>
  <c r="A16" i="52"/>
  <c r="AX15" i="52"/>
  <c r="H15" i="52"/>
  <c r="D15" i="52"/>
  <c r="A15" i="52"/>
  <c r="AX14" i="52"/>
  <c r="D14" i="52"/>
  <c r="A14" i="52"/>
  <c r="AX13" i="52"/>
  <c r="H13" i="52"/>
  <c r="D13" i="52"/>
  <c r="A13" i="52"/>
  <c r="AX12" i="52"/>
  <c r="H12" i="52"/>
  <c r="D12" i="52"/>
  <c r="A12" i="52"/>
  <c r="AX11" i="52"/>
  <c r="H11" i="52"/>
  <c r="D11" i="52"/>
  <c r="A11" i="52"/>
  <c r="AX10" i="52"/>
  <c r="H10" i="52"/>
  <c r="D10" i="52"/>
  <c r="A10" i="52"/>
  <c r="AX9" i="52"/>
  <c r="H9" i="52"/>
  <c r="D9" i="52"/>
  <c r="A9" i="52"/>
  <c r="AX8" i="52"/>
  <c r="H8" i="52"/>
  <c r="D8" i="52"/>
  <c r="A8" i="52"/>
  <c r="AX7" i="52"/>
  <c r="H7" i="52"/>
  <c r="D7" i="52"/>
  <c r="A7" i="52"/>
  <c r="AX6" i="52"/>
  <c r="H6" i="52"/>
  <c r="D6" i="52"/>
  <c r="A6" i="52"/>
  <c r="AX5" i="52"/>
  <c r="H5" i="52"/>
  <c r="D5" i="52"/>
  <c r="A5" i="52"/>
  <c r="B43" i="51"/>
  <c r="G35" i="51"/>
  <c r="E14" i="51"/>
  <c r="C26" i="51"/>
  <c r="C25" i="51"/>
  <c r="C16" i="51"/>
  <c r="B14" i="51"/>
  <c r="C7" i="51"/>
  <c r="E33" i="51"/>
  <c r="G31" i="51"/>
  <c r="E28" i="51"/>
  <c r="G23" i="51"/>
  <c r="E23" i="51"/>
  <c r="E16" i="51"/>
  <c r="G14" i="51"/>
  <c r="G37" i="51" s="1"/>
  <c r="G13" i="51"/>
  <c r="G11" i="51"/>
  <c r="C8" i="51"/>
  <c r="C37" i="51" s="1"/>
  <c r="B40" i="51"/>
  <c r="I37" i="51"/>
  <c r="J37" i="51" s="1"/>
  <c r="F37" i="51"/>
  <c r="E37" i="51"/>
  <c r="B37" i="51"/>
  <c r="AW36" i="51"/>
  <c r="AW38" i="51" s="1"/>
  <c r="AV36" i="51"/>
  <c r="AV38" i="51" s="1"/>
  <c r="AU36" i="51"/>
  <c r="AU38" i="51" s="1"/>
  <c r="AT36" i="51"/>
  <c r="AT38" i="51" s="1"/>
  <c r="AS36" i="51"/>
  <c r="AS38" i="51" s="1"/>
  <c r="AR36" i="51"/>
  <c r="AR38" i="51" s="1"/>
  <c r="AQ36" i="51"/>
  <c r="AQ38" i="51" s="1"/>
  <c r="AP36" i="51"/>
  <c r="AP38" i="51" s="1"/>
  <c r="AO36" i="51"/>
  <c r="AO38" i="51" s="1"/>
  <c r="AN36" i="51"/>
  <c r="AN38" i="51" s="1"/>
  <c r="AM36" i="51"/>
  <c r="AM38" i="51" s="1"/>
  <c r="AL36" i="51"/>
  <c r="AL38" i="51" s="1"/>
  <c r="AK36" i="51"/>
  <c r="AK38" i="51" s="1"/>
  <c r="AJ36" i="51"/>
  <c r="AJ38" i="51" s="1"/>
  <c r="AI36" i="51"/>
  <c r="AI38" i="51" s="1"/>
  <c r="AH36" i="51"/>
  <c r="AH38" i="51" s="1"/>
  <c r="AG36" i="51"/>
  <c r="AG38" i="51" s="1"/>
  <c r="AF36" i="51"/>
  <c r="AF38" i="51" s="1"/>
  <c r="AE36" i="51"/>
  <c r="AE38" i="51" s="1"/>
  <c r="AD36" i="51"/>
  <c r="AD38" i="51" s="1"/>
  <c r="AC36" i="51"/>
  <c r="AC38" i="51" s="1"/>
  <c r="AB36" i="51"/>
  <c r="AB38" i="51" s="1"/>
  <c r="AA36" i="51"/>
  <c r="AA38" i="51" s="1"/>
  <c r="Z36" i="51"/>
  <c r="Z38" i="51" s="1"/>
  <c r="Y36" i="51"/>
  <c r="Y38" i="51" s="1"/>
  <c r="X36" i="51"/>
  <c r="X38" i="51" s="1"/>
  <c r="W36" i="51"/>
  <c r="W38" i="51" s="1"/>
  <c r="V36" i="51"/>
  <c r="V38" i="51" s="1"/>
  <c r="U36" i="51"/>
  <c r="U38" i="51" s="1"/>
  <c r="T36" i="51"/>
  <c r="T38" i="51" s="1"/>
  <c r="S36" i="51"/>
  <c r="S38" i="51" s="1"/>
  <c r="R36" i="51"/>
  <c r="Q36" i="51"/>
  <c r="Q38" i="51" s="1"/>
  <c r="I36" i="51"/>
  <c r="G36" i="51"/>
  <c r="F36" i="51"/>
  <c r="E36" i="51"/>
  <c r="AX35" i="51"/>
  <c r="H35" i="51"/>
  <c r="D35" i="51"/>
  <c r="A35" i="51"/>
  <c r="AX34" i="51"/>
  <c r="H34" i="51"/>
  <c r="D34" i="51"/>
  <c r="A34" i="51"/>
  <c r="AX33" i="51"/>
  <c r="H33" i="51"/>
  <c r="D33" i="51"/>
  <c r="A33" i="51"/>
  <c r="AX32" i="51"/>
  <c r="H32" i="51"/>
  <c r="D32" i="51"/>
  <c r="A32" i="51"/>
  <c r="AX31" i="51"/>
  <c r="H31" i="51"/>
  <c r="D31" i="51"/>
  <c r="A31" i="51"/>
  <c r="AX30" i="51"/>
  <c r="H30" i="51"/>
  <c r="D30" i="51"/>
  <c r="A30" i="51"/>
  <c r="AX29" i="51"/>
  <c r="H29" i="51"/>
  <c r="D29" i="51"/>
  <c r="A29" i="51"/>
  <c r="AX28" i="51"/>
  <c r="H28" i="51"/>
  <c r="D28" i="51"/>
  <c r="A28" i="51"/>
  <c r="AX27" i="51"/>
  <c r="H27" i="51"/>
  <c r="D27" i="51"/>
  <c r="A27" i="51"/>
  <c r="AX26" i="51"/>
  <c r="N26" i="51"/>
  <c r="H26" i="51"/>
  <c r="D26" i="51"/>
  <c r="A26" i="51"/>
  <c r="AX25" i="51"/>
  <c r="H25" i="51"/>
  <c r="D25" i="51"/>
  <c r="A25" i="51"/>
  <c r="AX24" i="51"/>
  <c r="H24" i="51"/>
  <c r="D24" i="51"/>
  <c r="A24" i="51"/>
  <c r="AX23" i="51"/>
  <c r="H23" i="51"/>
  <c r="D23" i="51"/>
  <c r="A23" i="51"/>
  <c r="AX22" i="51"/>
  <c r="H22" i="51"/>
  <c r="D22" i="51"/>
  <c r="A22" i="51"/>
  <c r="AX21" i="51"/>
  <c r="H21" i="51"/>
  <c r="D21" i="51"/>
  <c r="A21" i="51"/>
  <c r="AX20" i="51"/>
  <c r="H20" i="51"/>
  <c r="D20" i="51"/>
  <c r="A20" i="51"/>
  <c r="AX19" i="51"/>
  <c r="N19" i="51"/>
  <c r="H19" i="51"/>
  <c r="D19" i="51"/>
  <c r="A19" i="51"/>
  <c r="AX18" i="51"/>
  <c r="H18" i="51"/>
  <c r="D18" i="51"/>
  <c r="A18" i="51"/>
  <c r="AX17" i="51"/>
  <c r="H17" i="51"/>
  <c r="D17" i="51"/>
  <c r="A17" i="51"/>
  <c r="AX16" i="51"/>
  <c r="H16" i="51"/>
  <c r="D16" i="51"/>
  <c r="A16" i="51"/>
  <c r="AX15" i="51"/>
  <c r="H15" i="51"/>
  <c r="D15" i="51"/>
  <c r="A15" i="51"/>
  <c r="AX14" i="51"/>
  <c r="H14" i="51"/>
  <c r="D14" i="51"/>
  <c r="A14" i="51"/>
  <c r="AX13" i="51"/>
  <c r="H13" i="51"/>
  <c r="D13" i="51"/>
  <c r="A13" i="51"/>
  <c r="AX12" i="51"/>
  <c r="H12" i="51"/>
  <c r="D12" i="51"/>
  <c r="A12" i="51"/>
  <c r="AX11" i="51"/>
  <c r="H11" i="51"/>
  <c r="D11" i="51"/>
  <c r="A11" i="51"/>
  <c r="AX10" i="51"/>
  <c r="H10" i="51"/>
  <c r="D10" i="51"/>
  <c r="A10" i="51"/>
  <c r="AX9" i="51"/>
  <c r="H9" i="51"/>
  <c r="D9" i="51"/>
  <c r="A9" i="51"/>
  <c r="AX8" i="51"/>
  <c r="H8" i="51"/>
  <c r="D8" i="51"/>
  <c r="A8" i="51"/>
  <c r="AX7" i="51"/>
  <c r="H7" i="51"/>
  <c r="D7" i="51"/>
  <c r="A7" i="51"/>
  <c r="AX6" i="51"/>
  <c r="H6" i="51"/>
  <c r="D6" i="51"/>
  <c r="A6" i="51"/>
  <c r="AX5" i="51"/>
  <c r="H5" i="51"/>
  <c r="D5" i="51"/>
  <c r="A5" i="51"/>
  <c r="U38" i="50"/>
  <c r="W38" i="50"/>
  <c r="G42" i="50"/>
  <c r="K43" i="50"/>
  <c r="E29" i="50"/>
  <c r="F31" i="50"/>
  <c r="G32" i="50"/>
  <c r="H34" i="60" l="1"/>
  <c r="H30" i="60"/>
  <c r="E37" i="60"/>
  <c r="H5" i="60"/>
  <c r="D43" i="60"/>
  <c r="B43" i="60" s="1"/>
  <c r="D37" i="60"/>
  <c r="N24" i="60" s="1"/>
  <c r="AX36" i="60"/>
  <c r="Q38" i="60"/>
  <c r="E37" i="59"/>
  <c r="D40" i="59"/>
  <c r="B43" i="59" s="1"/>
  <c r="H8" i="59"/>
  <c r="H37" i="59" s="1"/>
  <c r="N25" i="59" s="1"/>
  <c r="D37" i="59"/>
  <c r="N24" i="59" s="1"/>
  <c r="W36" i="59"/>
  <c r="Q38" i="59"/>
  <c r="H5" i="57"/>
  <c r="H37" i="57" s="1"/>
  <c r="N25" i="57" s="1"/>
  <c r="G37" i="57"/>
  <c r="D40" i="57"/>
  <c r="D37" i="57"/>
  <c r="N24" i="57" s="1"/>
  <c r="AX36" i="57"/>
  <c r="D40" i="52"/>
  <c r="B43" i="52" s="1"/>
  <c r="E37" i="52"/>
  <c r="H37" i="52"/>
  <c r="N25" i="52" s="1"/>
  <c r="D37" i="52"/>
  <c r="N24" i="52" s="1"/>
  <c r="AX36" i="52"/>
  <c r="Q38" i="52"/>
  <c r="D43" i="51"/>
  <c r="H37" i="51"/>
  <c r="N25" i="51" s="1"/>
  <c r="D37" i="51"/>
  <c r="N24" i="51" s="1"/>
  <c r="AX36" i="51"/>
  <c r="R38" i="51"/>
  <c r="E26" i="50"/>
  <c r="E24" i="50"/>
  <c r="G22" i="50"/>
  <c r="E21" i="50"/>
  <c r="E14" i="50"/>
  <c r="H37" i="60" l="1"/>
  <c r="N25" i="60" s="1"/>
  <c r="N27" i="60" s="1"/>
  <c r="N27" i="59"/>
  <c r="AX36" i="59"/>
  <c r="N27" i="57"/>
  <c r="N27" i="52"/>
  <c r="N27" i="51"/>
  <c r="G11" i="50"/>
  <c r="E6" i="50"/>
  <c r="E5" i="50"/>
  <c r="E37" i="50" s="1"/>
  <c r="B40" i="50"/>
  <c r="I37" i="50"/>
  <c r="J37" i="50" s="1"/>
  <c r="G37" i="50"/>
  <c r="F37" i="50"/>
  <c r="C37" i="50"/>
  <c r="B37" i="50"/>
  <c r="B43" i="50" s="1"/>
  <c r="G45" i="50" s="1"/>
  <c r="AW36" i="50"/>
  <c r="AW38" i="50" s="1"/>
  <c r="AV36" i="50"/>
  <c r="AV38" i="50" s="1"/>
  <c r="AU36" i="50"/>
  <c r="AU38" i="50" s="1"/>
  <c r="AT36" i="50"/>
  <c r="AT38" i="50" s="1"/>
  <c r="AS36" i="50"/>
  <c r="AS38" i="50" s="1"/>
  <c r="AR36" i="50"/>
  <c r="AR38" i="50" s="1"/>
  <c r="AQ36" i="50"/>
  <c r="AQ38" i="50" s="1"/>
  <c r="AP36" i="50"/>
  <c r="AP38" i="50" s="1"/>
  <c r="AO36" i="50"/>
  <c r="AO38" i="50" s="1"/>
  <c r="AN36" i="50"/>
  <c r="AN38" i="50" s="1"/>
  <c r="AM36" i="50"/>
  <c r="AM38" i="50" s="1"/>
  <c r="AL36" i="50"/>
  <c r="AL38" i="50" s="1"/>
  <c r="AK36" i="50"/>
  <c r="AK38" i="50" s="1"/>
  <c r="AJ36" i="50"/>
  <c r="AJ38" i="50" s="1"/>
  <c r="AI36" i="50"/>
  <c r="AI38" i="50" s="1"/>
  <c r="AH36" i="50"/>
  <c r="AH38" i="50" s="1"/>
  <c r="AG36" i="50"/>
  <c r="AG38" i="50" s="1"/>
  <c r="AF36" i="50"/>
  <c r="AF38" i="50" s="1"/>
  <c r="AE36" i="50"/>
  <c r="AE38" i="50" s="1"/>
  <c r="AD36" i="50"/>
  <c r="AD38" i="50" s="1"/>
  <c r="AC36" i="50"/>
  <c r="AC38" i="50" s="1"/>
  <c r="AB36" i="50"/>
  <c r="AB38" i="50" s="1"/>
  <c r="AA36" i="50"/>
  <c r="AA38" i="50" s="1"/>
  <c r="Z36" i="50"/>
  <c r="Z38" i="50" s="1"/>
  <c r="Y36" i="50"/>
  <c r="Y38" i="50" s="1"/>
  <c r="X36" i="50"/>
  <c r="X38" i="50" s="1"/>
  <c r="W36" i="50"/>
  <c r="V36" i="50"/>
  <c r="V38" i="50" s="1"/>
  <c r="U36" i="50"/>
  <c r="T36" i="50"/>
  <c r="T38" i="50" s="1"/>
  <c r="S36" i="50"/>
  <c r="S38" i="50" s="1"/>
  <c r="R36" i="50"/>
  <c r="Q36" i="50"/>
  <c r="Q38" i="50" s="1"/>
  <c r="I36" i="50"/>
  <c r="G36" i="50"/>
  <c r="F36" i="50"/>
  <c r="E36" i="50"/>
  <c r="H35" i="50"/>
  <c r="D35" i="50"/>
  <c r="A35" i="50"/>
  <c r="H34" i="50"/>
  <c r="D34" i="50"/>
  <c r="A34" i="50"/>
  <c r="H33" i="50"/>
  <c r="D33" i="50"/>
  <c r="A33" i="50"/>
  <c r="H32" i="50"/>
  <c r="D32" i="50"/>
  <c r="A32" i="50"/>
  <c r="H31" i="50"/>
  <c r="D31" i="50"/>
  <c r="A31" i="50"/>
  <c r="H30" i="50"/>
  <c r="D30" i="50"/>
  <c r="A30" i="50"/>
  <c r="H29" i="50"/>
  <c r="D29" i="50"/>
  <c r="A29" i="50"/>
  <c r="H28" i="50"/>
  <c r="D28" i="50"/>
  <c r="A28" i="50"/>
  <c r="H27" i="50"/>
  <c r="D27" i="50"/>
  <c r="A27" i="50"/>
  <c r="H26" i="50"/>
  <c r="D26" i="50"/>
  <c r="A26" i="50"/>
  <c r="H25" i="50"/>
  <c r="D25" i="50"/>
  <c r="A25" i="50"/>
  <c r="H24" i="50"/>
  <c r="D24" i="50"/>
  <c r="A24" i="50"/>
  <c r="H23" i="50"/>
  <c r="D23" i="50"/>
  <c r="A23" i="50"/>
  <c r="H22" i="50"/>
  <c r="D22" i="50"/>
  <c r="A22" i="50"/>
  <c r="H21" i="50"/>
  <c r="D21" i="50"/>
  <c r="A21" i="50"/>
  <c r="H20" i="50"/>
  <c r="D20" i="50"/>
  <c r="A20" i="50"/>
  <c r="N19" i="50"/>
  <c r="N26" i="50" s="1"/>
  <c r="H19" i="50"/>
  <c r="D19" i="50"/>
  <c r="A19" i="50"/>
  <c r="H18" i="50"/>
  <c r="D18" i="50"/>
  <c r="A18" i="50"/>
  <c r="H17" i="50"/>
  <c r="D17" i="50"/>
  <c r="A17" i="50"/>
  <c r="H16" i="50"/>
  <c r="D16" i="50"/>
  <c r="A16" i="50"/>
  <c r="H15" i="50"/>
  <c r="D15" i="50"/>
  <c r="A15" i="50"/>
  <c r="H14" i="50"/>
  <c r="D14" i="50"/>
  <c r="A14" i="50"/>
  <c r="H13" i="50"/>
  <c r="D13" i="50"/>
  <c r="A13" i="50"/>
  <c r="H12" i="50"/>
  <c r="D12" i="50"/>
  <c r="A12" i="50"/>
  <c r="H11" i="50"/>
  <c r="D11" i="50"/>
  <c r="A11" i="50"/>
  <c r="H10" i="50"/>
  <c r="D10" i="50"/>
  <c r="A10" i="50"/>
  <c r="H9" i="50"/>
  <c r="D9" i="50"/>
  <c r="A9" i="50"/>
  <c r="H8" i="50"/>
  <c r="D8" i="50"/>
  <c r="A8" i="50"/>
  <c r="H7" i="50"/>
  <c r="D7" i="50"/>
  <c r="A7" i="50"/>
  <c r="H6" i="50"/>
  <c r="D6" i="50"/>
  <c r="A6" i="50"/>
  <c r="D5" i="50"/>
  <c r="A5" i="50"/>
  <c r="W38" i="49"/>
  <c r="AP38" i="49"/>
  <c r="AO38" i="49"/>
  <c r="AN38" i="49"/>
  <c r="AL38" i="49"/>
  <c r="AJ38" i="49"/>
  <c r="AH38" i="49"/>
  <c r="G34" i="49"/>
  <c r="E34" i="49"/>
  <c r="E30" i="49"/>
  <c r="AD38" i="49"/>
  <c r="T38" i="49"/>
  <c r="S38" i="49"/>
  <c r="X38" i="49"/>
  <c r="N26" i="49"/>
  <c r="G27" i="49"/>
  <c r="E24" i="49"/>
  <c r="E26" i="49"/>
  <c r="E28" i="49"/>
  <c r="V38" i="49"/>
  <c r="E21" i="49"/>
  <c r="E20" i="49"/>
  <c r="E19" i="49"/>
  <c r="H19" i="49"/>
  <c r="G24" i="49"/>
  <c r="G37" i="49" s="1"/>
  <c r="E16" i="49"/>
  <c r="N19" i="49"/>
  <c r="E14" i="49"/>
  <c r="E12" i="49"/>
  <c r="F37" i="49"/>
  <c r="C37" i="49"/>
  <c r="B37" i="49"/>
  <c r="B43" i="49" s="1"/>
  <c r="G6" i="49"/>
  <c r="E7" i="49"/>
  <c r="E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5" i="49"/>
  <c r="R36" i="49"/>
  <c r="S36" i="49"/>
  <c r="T36" i="49"/>
  <c r="U36" i="49"/>
  <c r="U38" i="49" s="1"/>
  <c r="V36" i="49"/>
  <c r="W36" i="49"/>
  <c r="X36" i="49"/>
  <c r="Y36" i="49"/>
  <c r="Z36" i="49"/>
  <c r="Z38" i="49" s="1"/>
  <c r="AA36" i="49"/>
  <c r="AB36" i="49"/>
  <c r="AB38" i="49" s="1"/>
  <c r="AC36" i="49"/>
  <c r="AD36" i="49"/>
  <c r="AE36" i="49"/>
  <c r="AF36" i="49"/>
  <c r="AF38" i="49" s="1"/>
  <c r="AG36" i="49"/>
  <c r="AH36" i="49"/>
  <c r="AI36" i="49"/>
  <c r="AJ36" i="49"/>
  <c r="AK36" i="49"/>
  <c r="AL36" i="49"/>
  <c r="AM36" i="49"/>
  <c r="AN36" i="49"/>
  <c r="AO36" i="49"/>
  <c r="AP36" i="49"/>
  <c r="AQ36" i="49"/>
  <c r="AR36" i="49"/>
  <c r="AS36" i="49"/>
  <c r="AT36" i="49"/>
  <c r="AU36" i="49"/>
  <c r="AV36" i="49"/>
  <c r="AW36" i="49"/>
  <c r="Q36" i="49"/>
  <c r="AX6" i="49"/>
  <c r="AX7" i="49"/>
  <c r="AX8" i="49"/>
  <c r="AX9" i="49"/>
  <c r="AX10" i="49"/>
  <c r="AX11" i="49"/>
  <c r="AX12" i="49"/>
  <c r="AX13" i="49"/>
  <c r="AX14" i="49"/>
  <c r="AX15" i="49"/>
  <c r="AX16" i="49"/>
  <c r="AX17" i="49"/>
  <c r="AX18" i="49"/>
  <c r="AX19" i="49"/>
  <c r="AX20" i="49"/>
  <c r="AX21" i="49"/>
  <c r="AX22" i="49"/>
  <c r="AX23" i="49"/>
  <c r="AX24" i="49"/>
  <c r="AX25" i="49"/>
  <c r="AX26" i="49"/>
  <c r="AX27" i="49"/>
  <c r="AX28" i="49"/>
  <c r="AX29" i="49"/>
  <c r="AX30" i="49"/>
  <c r="AX31" i="49"/>
  <c r="AX32" i="49"/>
  <c r="AX33" i="49"/>
  <c r="AX34" i="49"/>
  <c r="AX35" i="49"/>
  <c r="AX5" i="49"/>
  <c r="E31" i="47"/>
  <c r="G27" i="47"/>
  <c r="E28" i="47"/>
  <c r="G23" i="47"/>
  <c r="E23" i="47"/>
  <c r="F22" i="47"/>
  <c r="E22" i="47"/>
  <c r="E17" i="47"/>
  <c r="G17" i="47"/>
  <c r="E15" i="47"/>
  <c r="E14" i="47"/>
  <c r="G14" i="47"/>
  <c r="E13" i="47"/>
  <c r="H13" i="47" s="1"/>
  <c r="G10" i="47"/>
  <c r="E10" i="47"/>
  <c r="E9" i="47"/>
  <c r="G8" i="47"/>
  <c r="G5" i="47"/>
  <c r="E7" i="47"/>
  <c r="C7" i="47"/>
  <c r="E5" i="47"/>
  <c r="B40" i="47"/>
  <c r="AV38" i="47"/>
  <c r="AU38" i="47"/>
  <c r="AR38" i="47"/>
  <c r="AM38" i="47"/>
  <c r="AJ38" i="47"/>
  <c r="AI38" i="47"/>
  <c r="AE38" i="47"/>
  <c r="T38" i="47"/>
  <c r="I37" i="47"/>
  <c r="J37" i="47" s="1"/>
  <c r="G37" i="47"/>
  <c r="F37" i="47"/>
  <c r="C37" i="47"/>
  <c r="B37" i="47"/>
  <c r="B43" i="47" s="1"/>
  <c r="AW36" i="47"/>
  <c r="AW38" i="47" s="1"/>
  <c r="AV36" i="47"/>
  <c r="AU36" i="47"/>
  <c r="AT36" i="47"/>
  <c r="AT38" i="47" s="1"/>
  <c r="AS36" i="47"/>
  <c r="AS38" i="47" s="1"/>
  <c r="AR36" i="47"/>
  <c r="AQ36" i="47"/>
  <c r="AQ38" i="47" s="1"/>
  <c r="AP36" i="47"/>
  <c r="AP38" i="47" s="1"/>
  <c r="AO36" i="47"/>
  <c r="AO38" i="47" s="1"/>
  <c r="AN36" i="47"/>
  <c r="AN38" i="47" s="1"/>
  <c r="AM36" i="47"/>
  <c r="AL36" i="47"/>
  <c r="AL38" i="47" s="1"/>
  <c r="AK36" i="47"/>
  <c r="AK38" i="47" s="1"/>
  <c r="AJ36" i="47"/>
  <c r="AI36" i="47"/>
  <c r="AH36" i="47"/>
  <c r="AH38" i="47" s="1"/>
  <c r="AG36" i="47"/>
  <c r="AG38" i="47" s="1"/>
  <c r="AF36" i="47"/>
  <c r="AF38" i="47" s="1"/>
  <c r="AE36" i="47"/>
  <c r="AD36" i="47"/>
  <c r="AD38" i="47" s="1"/>
  <c r="AC36" i="47"/>
  <c r="AC38" i="47" s="1"/>
  <c r="AB36" i="47"/>
  <c r="AB38" i="47" s="1"/>
  <c r="Z36" i="47"/>
  <c r="Z38" i="47" s="1"/>
  <c r="Y36" i="47"/>
  <c r="Y38" i="47" s="1"/>
  <c r="X36" i="47"/>
  <c r="X38" i="47" s="1"/>
  <c r="W36" i="47"/>
  <c r="W38" i="47" s="1"/>
  <c r="V36" i="47"/>
  <c r="V38" i="47" s="1"/>
  <c r="U36" i="47"/>
  <c r="U38" i="47" s="1"/>
  <c r="T36" i="47"/>
  <c r="S36" i="47"/>
  <c r="S38" i="47" s="1"/>
  <c r="R36" i="47"/>
  <c r="Q36" i="47"/>
  <c r="Q38" i="47" s="1"/>
  <c r="I36" i="47"/>
  <c r="G36" i="47"/>
  <c r="F36" i="47"/>
  <c r="E36" i="47"/>
  <c r="AX35" i="47"/>
  <c r="H35" i="47"/>
  <c r="D35" i="47"/>
  <c r="A35" i="47"/>
  <c r="AX34" i="47"/>
  <c r="H34" i="47"/>
  <c r="D34" i="47"/>
  <c r="A34" i="47"/>
  <c r="AX33" i="47"/>
  <c r="H33" i="47"/>
  <c r="D33" i="47"/>
  <c r="A33" i="47"/>
  <c r="AX32" i="47"/>
  <c r="H32" i="47"/>
  <c r="D32" i="47"/>
  <c r="A32" i="47"/>
  <c r="AX31" i="47"/>
  <c r="H31" i="47"/>
  <c r="D31" i="47"/>
  <c r="A31" i="47"/>
  <c r="AX30" i="47"/>
  <c r="H30" i="47"/>
  <c r="D30" i="47"/>
  <c r="A30" i="47"/>
  <c r="AX29" i="47"/>
  <c r="H29" i="47"/>
  <c r="A29" i="47"/>
  <c r="AX28" i="47"/>
  <c r="H28" i="47"/>
  <c r="A28" i="47"/>
  <c r="AX27" i="47"/>
  <c r="H27" i="47"/>
  <c r="A27" i="47"/>
  <c r="AX26" i="47"/>
  <c r="H26" i="47"/>
  <c r="D26" i="47"/>
  <c r="A26" i="47"/>
  <c r="AX25" i="47"/>
  <c r="H25" i="47"/>
  <c r="D25" i="47"/>
  <c r="A25" i="47"/>
  <c r="AX24" i="47"/>
  <c r="H24" i="47"/>
  <c r="D24" i="47"/>
  <c r="A24" i="47"/>
  <c r="AX23" i="47"/>
  <c r="H23" i="47"/>
  <c r="D23" i="47"/>
  <c r="A23" i="47"/>
  <c r="AX22" i="47"/>
  <c r="H22" i="47"/>
  <c r="D22" i="47"/>
  <c r="A22" i="47"/>
  <c r="AX21" i="47"/>
  <c r="H21" i="47"/>
  <c r="D21" i="47"/>
  <c r="A21" i="47"/>
  <c r="AX20" i="47"/>
  <c r="H20" i="47"/>
  <c r="D20" i="47"/>
  <c r="A20" i="47"/>
  <c r="AX19" i="47"/>
  <c r="N19" i="47"/>
  <c r="N26" i="47" s="1"/>
  <c r="H19" i="47"/>
  <c r="D19" i="47"/>
  <c r="A19" i="47"/>
  <c r="AX18" i="47"/>
  <c r="H18" i="47"/>
  <c r="D18" i="47"/>
  <c r="A18" i="47"/>
  <c r="AX17" i="47"/>
  <c r="H17" i="47"/>
  <c r="D17" i="47"/>
  <c r="A17" i="47"/>
  <c r="AX16" i="47"/>
  <c r="H16" i="47"/>
  <c r="D16" i="47"/>
  <c r="A16" i="47"/>
  <c r="AX15" i="47"/>
  <c r="H15" i="47"/>
  <c r="D15" i="47"/>
  <c r="A15" i="47"/>
  <c r="AX14" i="47"/>
  <c r="H14" i="47"/>
  <c r="D14" i="47"/>
  <c r="A14" i="47"/>
  <c r="AX13" i="47"/>
  <c r="D13" i="47"/>
  <c r="A13" i="47"/>
  <c r="AX12" i="47"/>
  <c r="H12" i="47"/>
  <c r="D12" i="47"/>
  <c r="A12" i="47"/>
  <c r="AX11" i="47"/>
  <c r="H11" i="47"/>
  <c r="D11" i="47"/>
  <c r="A11" i="47"/>
  <c r="AX10" i="47"/>
  <c r="H10" i="47"/>
  <c r="D10" i="47"/>
  <c r="A10" i="47"/>
  <c r="AX9" i="47"/>
  <c r="H9" i="47"/>
  <c r="D9" i="47"/>
  <c r="A9" i="47"/>
  <c r="AX8" i="47"/>
  <c r="H8" i="47"/>
  <c r="D8" i="47"/>
  <c r="A8" i="47"/>
  <c r="AX7" i="47"/>
  <c r="H7" i="47"/>
  <c r="D7" i="47"/>
  <c r="A7" i="47"/>
  <c r="AX6" i="47"/>
  <c r="H6" i="47"/>
  <c r="D6" i="47"/>
  <c r="A6" i="47"/>
  <c r="H5" i="47"/>
  <c r="D5" i="47"/>
  <c r="A5" i="47"/>
  <c r="W38" i="45"/>
  <c r="D43" i="45"/>
  <c r="F17" i="45"/>
  <c r="E35" i="45"/>
  <c r="D43" i="50" l="1"/>
  <c r="H5" i="50"/>
  <c r="H37" i="50" s="1"/>
  <c r="N25" i="50" s="1"/>
  <c r="D37" i="50"/>
  <c r="N24" i="50" s="1"/>
  <c r="R38" i="50"/>
  <c r="E37" i="49"/>
  <c r="H37" i="49" s="1"/>
  <c r="N25" i="49" s="1"/>
  <c r="D43" i="49"/>
  <c r="D37" i="49"/>
  <c r="N24" i="49" s="1"/>
  <c r="AX36" i="49"/>
  <c r="E37" i="47"/>
  <c r="H37" i="47"/>
  <c r="N25" i="47" s="1"/>
  <c r="D37" i="47"/>
  <c r="N24" i="47" s="1"/>
  <c r="D43" i="47"/>
  <c r="R38" i="47"/>
  <c r="E33" i="45"/>
  <c r="E32" i="45"/>
  <c r="E31" i="45"/>
  <c r="E29" i="45"/>
  <c r="C26" i="45"/>
  <c r="E24" i="45"/>
  <c r="E23" i="45"/>
  <c r="G24" i="45"/>
  <c r="E19" i="45"/>
  <c r="E18" i="45"/>
  <c r="G18" i="45"/>
  <c r="E16" i="45"/>
  <c r="E12" i="45"/>
  <c r="G13" i="45"/>
  <c r="C13" i="45"/>
  <c r="G12" i="45"/>
  <c r="E11" i="45"/>
  <c r="C10" i="45"/>
  <c r="C9" i="45"/>
  <c r="D9" i="45" s="1"/>
  <c r="E9" i="45"/>
  <c r="E8" i="45"/>
  <c r="G8" i="45"/>
  <c r="B40" i="45"/>
  <c r="B40" i="24"/>
  <c r="D43" i="24"/>
  <c r="B43" i="24"/>
  <c r="AX6" i="24"/>
  <c r="AX7" i="24"/>
  <c r="AX8" i="24"/>
  <c r="AX9" i="24"/>
  <c r="AX10" i="24"/>
  <c r="AX11" i="24"/>
  <c r="AX12" i="24"/>
  <c r="AX13" i="24"/>
  <c r="AX14" i="24"/>
  <c r="AX15" i="24"/>
  <c r="AX16" i="24"/>
  <c r="AX17" i="24"/>
  <c r="AX18" i="24"/>
  <c r="AX19" i="24"/>
  <c r="AX20" i="24"/>
  <c r="AX21" i="24"/>
  <c r="AX22" i="24"/>
  <c r="AX23" i="24"/>
  <c r="AX24" i="24"/>
  <c r="AX25" i="24"/>
  <c r="AX26" i="24"/>
  <c r="AX27" i="24"/>
  <c r="AX28" i="24"/>
  <c r="AX29" i="24"/>
  <c r="AX30" i="24"/>
  <c r="AX31" i="24"/>
  <c r="AX32" i="24"/>
  <c r="AX33" i="24"/>
  <c r="AX34" i="24"/>
  <c r="AX35" i="24"/>
  <c r="AX36" i="24"/>
  <c r="AX5" i="24"/>
  <c r="G36" i="24"/>
  <c r="F36" i="24"/>
  <c r="E36" i="24"/>
  <c r="I36" i="24"/>
  <c r="N26" i="24"/>
  <c r="N25" i="24"/>
  <c r="N24" i="24"/>
  <c r="N26" i="45"/>
  <c r="AX6" i="45"/>
  <c r="AX7" i="45"/>
  <c r="AX8" i="45"/>
  <c r="AX9" i="45"/>
  <c r="AX10" i="45"/>
  <c r="AX11" i="45"/>
  <c r="AX12" i="45"/>
  <c r="AX13" i="45"/>
  <c r="AX14" i="45"/>
  <c r="AX15" i="45"/>
  <c r="AX16" i="45"/>
  <c r="AX17" i="45"/>
  <c r="AX18" i="45"/>
  <c r="AX19" i="45"/>
  <c r="AX20" i="45"/>
  <c r="AX21" i="45"/>
  <c r="AX22" i="45"/>
  <c r="AX23" i="45"/>
  <c r="AX24" i="45"/>
  <c r="AX25" i="45"/>
  <c r="AX26" i="45"/>
  <c r="AX27" i="45"/>
  <c r="AX28" i="45"/>
  <c r="AX29" i="45"/>
  <c r="AX30" i="45"/>
  <c r="AX31" i="45"/>
  <c r="AX32" i="45"/>
  <c r="AX33" i="45"/>
  <c r="AX34" i="45"/>
  <c r="AX35" i="45"/>
  <c r="G6" i="45"/>
  <c r="G5" i="45"/>
  <c r="E5" i="45"/>
  <c r="H5" i="45" s="1"/>
  <c r="I36" i="45"/>
  <c r="G36" i="45"/>
  <c r="F36" i="45"/>
  <c r="E36" i="45"/>
  <c r="AX5" i="45"/>
  <c r="I37" i="45"/>
  <c r="J37" i="45" s="1"/>
  <c r="G37" i="45"/>
  <c r="F37" i="45"/>
  <c r="B37" i="45"/>
  <c r="B43" i="45" s="1"/>
  <c r="AW36" i="45"/>
  <c r="AW38" i="45" s="1"/>
  <c r="AV36" i="45"/>
  <c r="AV38" i="45" s="1"/>
  <c r="AU36" i="45"/>
  <c r="AU38" i="45" s="1"/>
  <c r="AT36" i="45"/>
  <c r="AT38" i="45" s="1"/>
  <c r="AS36" i="45"/>
  <c r="AS38" i="45" s="1"/>
  <c r="AR36" i="45"/>
  <c r="AR38" i="45" s="1"/>
  <c r="AQ36" i="45"/>
  <c r="AQ38" i="45" s="1"/>
  <c r="AP36" i="45"/>
  <c r="AP38" i="45" s="1"/>
  <c r="AO36" i="45"/>
  <c r="AO38" i="45" s="1"/>
  <c r="AN36" i="45"/>
  <c r="AN38" i="45" s="1"/>
  <c r="AM36" i="45"/>
  <c r="AM38" i="45" s="1"/>
  <c r="AL36" i="45"/>
  <c r="AL38" i="45" s="1"/>
  <c r="AK36" i="45"/>
  <c r="AK38" i="45" s="1"/>
  <c r="AJ36" i="45"/>
  <c r="AJ38" i="45" s="1"/>
  <c r="AI36" i="45"/>
  <c r="AI38" i="45" s="1"/>
  <c r="AH36" i="45"/>
  <c r="AH38" i="45" s="1"/>
  <c r="AG36" i="45"/>
  <c r="AG38" i="45" s="1"/>
  <c r="AF36" i="45"/>
  <c r="AF38" i="45" s="1"/>
  <c r="AE36" i="45"/>
  <c r="AE38" i="45" s="1"/>
  <c r="AD36" i="45"/>
  <c r="AD38" i="45" s="1"/>
  <c r="AC36" i="45"/>
  <c r="AC38" i="45" s="1"/>
  <c r="AB36" i="45"/>
  <c r="AB38" i="45" s="1"/>
  <c r="AA36" i="45"/>
  <c r="AA38" i="45" s="1"/>
  <c r="Z36" i="45"/>
  <c r="Z38" i="45" s="1"/>
  <c r="Y36" i="45"/>
  <c r="Y38" i="45" s="1"/>
  <c r="X36" i="45"/>
  <c r="X38" i="45" s="1"/>
  <c r="W36" i="45"/>
  <c r="V36" i="45"/>
  <c r="V38" i="45" s="1"/>
  <c r="U36" i="45"/>
  <c r="U38" i="45" s="1"/>
  <c r="T36" i="45"/>
  <c r="T38" i="45" s="1"/>
  <c r="S36" i="45"/>
  <c r="S38" i="45" s="1"/>
  <c r="R36" i="45"/>
  <c r="Q36" i="45"/>
  <c r="Q38" i="45" s="1"/>
  <c r="H35" i="45"/>
  <c r="D35" i="45"/>
  <c r="A35" i="45"/>
  <c r="H34" i="45"/>
  <c r="D34" i="45"/>
  <c r="A34" i="45"/>
  <c r="H33" i="45"/>
  <c r="D33" i="45"/>
  <c r="A33" i="45"/>
  <c r="H32" i="45"/>
  <c r="D32" i="45"/>
  <c r="A32" i="45"/>
  <c r="H31" i="45"/>
  <c r="D31" i="45"/>
  <c r="A31" i="45"/>
  <c r="H30" i="45"/>
  <c r="D30" i="45"/>
  <c r="A30" i="45"/>
  <c r="H29" i="45"/>
  <c r="D29" i="45"/>
  <c r="A29" i="45"/>
  <c r="H28" i="45"/>
  <c r="D28" i="45"/>
  <c r="A28" i="45"/>
  <c r="H27" i="45"/>
  <c r="D27" i="45"/>
  <c r="A27" i="45"/>
  <c r="H26" i="45"/>
  <c r="D26" i="45"/>
  <c r="A26" i="45"/>
  <c r="H25" i="45"/>
  <c r="D25" i="45"/>
  <c r="A25" i="45"/>
  <c r="H24" i="45"/>
  <c r="D24" i="45"/>
  <c r="A24" i="45"/>
  <c r="H23" i="45"/>
  <c r="D23" i="45"/>
  <c r="A23" i="45"/>
  <c r="H22" i="45"/>
  <c r="D22" i="45"/>
  <c r="A22" i="45"/>
  <c r="H21" i="45"/>
  <c r="D21" i="45"/>
  <c r="A21" i="45"/>
  <c r="H20" i="45"/>
  <c r="D20" i="45"/>
  <c r="A20" i="45"/>
  <c r="N19" i="45"/>
  <c r="H19" i="45"/>
  <c r="D19" i="45"/>
  <c r="A19" i="45"/>
  <c r="H18" i="45"/>
  <c r="D18" i="45"/>
  <c r="A18" i="45"/>
  <c r="H17" i="45"/>
  <c r="D17" i="45"/>
  <c r="A17" i="45"/>
  <c r="H16" i="45"/>
  <c r="D16" i="45"/>
  <c r="A16" i="45"/>
  <c r="H15" i="45"/>
  <c r="D15" i="45"/>
  <c r="A15" i="45"/>
  <c r="H14" i="45"/>
  <c r="D14" i="45"/>
  <c r="A14" i="45"/>
  <c r="H13" i="45"/>
  <c r="D13" i="45"/>
  <c r="A13" i="45"/>
  <c r="H12" i="45"/>
  <c r="D12" i="45"/>
  <c r="A12" i="45"/>
  <c r="H11" i="45"/>
  <c r="D11" i="45"/>
  <c r="A11" i="45"/>
  <c r="H10" i="45"/>
  <c r="D10" i="45"/>
  <c r="A10" i="45"/>
  <c r="H9" i="45"/>
  <c r="A9" i="45"/>
  <c r="H8" i="45"/>
  <c r="D8" i="45"/>
  <c r="A8" i="45"/>
  <c r="H7" i="45"/>
  <c r="D7" i="45"/>
  <c r="A7" i="45"/>
  <c r="H6" i="45"/>
  <c r="D6" i="45"/>
  <c r="A6" i="45"/>
  <c r="D5" i="45"/>
  <c r="A5" i="45"/>
  <c r="E35" i="44"/>
  <c r="G35" i="44"/>
  <c r="E34" i="44"/>
  <c r="E31" i="44"/>
  <c r="G32" i="44"/>
  <c r="E28" i="44"/>
  <c r="G28" i="44"/>
  <c r="N27" i="50" l="1"/>
  <c r="N27" i="49"/>
  <c r="N27" i="47"/>
  <c r="C37" i="45"/>
  <c r="AX36" i="45"/>
  <c r="D37" i="45"/>
  <c r="N24" i="45" s="1"/>
  <c r="H37" i="45"/>
  <c r="N25" i="45" s="1"/>
  <c r="E37" i="45"/>
  <c r="R38" i="45"/>
  <c r="N27" i="45" l="1"/>
  <c r="E25" i="44" l="1"/>
  <c r="H25" i="44" s="1"/>
  <c r="G36" i="44"/>
  <c r="F36" i="44"/>
  <c r="E36" i="44"/>
  <c r="E22" i="44"/>
  <c r="F21" i="44"/>
  <c r="E18" i="44"/>
  <c r="G19" i="44"/>
  <c r="G15" i="44"/>
  <c r="G37" i="44" s="1"/>
  <c r="G14" i="44"/>
  <c r="E14" i="44"/>
  <c r="H14" i="44" s="1"/>
  <c r="E13" i="44"/>
  <c r="E9" i="44"/>
  <c r="E8" i="44"/>
  <c r="H8" i="44" s="1"/>
  <c r="G9" i="44"/>
  <c r="G8" i="44"/>
  <c r="G7" i="44"/>
  <c r="AX6" i="44"/>
  <c r="AX7" i="44"/>
  <c r="AX8" i="44"/>
  <c r="AX9" i="44"/>
  <c r="AX10" i="44"/>
  <c r="AX11" i="44"/>
  <c r="AX12" i="44"/>
  <c r="AX13" i="44"/>
  <c r="AX14" i="44"/>
  <c r="AX15" i="44"/>
  <c r="AX16" i="44"/>
  <c r="AX17" i="44"/>
  <c r="AX18" i="44"/>
  <c r="AX19" i="44"/>
  <c r="AX20" i="44"/>
  <c r="AX21" i="44"/>
  <c r="AX22" i="44"/>
  <c r="AX23" i="44"/>
  <c r="AX24" i="44"/>
  <c r="AX25" i="44"/>
  <c r="AX26" i="44"/>
  <c r="AX27" i="44"/>
  <c r="AX28" i="44"/>
  <c r="AX29" i="44"/>
  <c r="AX30" i="44"/>
  <c r="AX31" i="44"/>
  <c r="AX32" i="44"/>
  <c r="AX33" i="44"/>
  <c r="AX34" i="44"/>
  <c r="AX35" i="44"/>
  <c r="AX5" i="44"/>
  <c r="E5" i="44"/>
  <c r="B46" i="44"/>
  <c r="AK38" i="44"/>
  <c r="AG38" i="44"/>
  <c r="AC38" i="44"/>
  <c r="Q38" i="44"/>
  <c r="I37" i="44"/>
  <c r="J37" i="44" s="1"/>
  <c r="F37" i="44"/>
  <c r="C37" i="44"/>
  <c r="B37" i="44"/>
  <c r="AW36" i="44"/>
  <c r="AW38" i="44" s="1"/>
  <c r="AV36" i="44"/>
  <c r="AV38" i="44" s="1"/>
  <c r="AU36" i="44"/>
  <c r="AU38" i="44" s="1"/>
  <c r="AT36" i="44"/>
  <c r="AT38" i="44" s="1"/>
  <c r="AS36" i="44"/>
  <c r="AS38" i="44" s="1"/>
  <c r="AR36" i="44"/>
  <c r="AR38" i="44" s="1"/>
  <c r="AQ36" i="44"/>
  <c r="AQ38" i="44" s="1"/>
  <c r="AP36" i="44"/>
  <c r="AP38" i="44" s="1"/>
  <c r="AO36" i="44"/>
  <c r="AO38" i="44" s="1"/>
  <c r="AN36" i="44"/>
  <c r="AN38" i="44" s="1"/>
  <c r="AM36" i="44"/>
  <c r="AM38" i="44" s="1"/>
  <c r="AL36" i="44"/>
  <c r="AL38" i="44" s="1"/>
  <c r="AK36" i="44"/>
  <c r="AJ36" i="44"/>
  <c r="AJ38" i="44" s="1"/>
  <c r="AI36" i="44"/>
  <c r="AI38" i="44" s="1"/>
  <c r="AH36" i="44"/>
  <c r="AH38" i="44" s="1"/>
  <c r="AG36" i="44"/>
  <c r="AF36" i="44"/>
  <c r="AF38" i="44" s="1"/>
  <c r="AE36" i="44"/>
  <c r="AE38" i="44" s="1"/>
  <c r="AD36" i="44"/>
  <c r="AD38" i="44" s="1"/>
  <c r="AC36" i="44"/>
  <c r="AB36" i="44"/>
  <c r="AB38" i="44" s="1"/>
  <c r="AA36" i="44"/>
  <c r="AA38" i="44" s="1"/>
  <c r="Z36" i="44"/>
  <c r="Z38" i="44" s="1"/>
  <c r="Y36" i="44"/>
  <c r="X36" i="44"/>
  <c r="X38" i="44" s="1"/>
  <c r="W36" i="44"/>
  <c r="W38" i="44" s="1"/>
  <c r="V36" i="44"/>
  <c r="V38" i="44" s="1"/>
  <c r="U36" i="44"/>
  <c r="U38" i="44" s="1"/>
  <c r="T36" i="44"/>
  <c r="T38" i="44" s="1"/>
  <c r="S36" i="44"/>
  <c r="S38" i="44" s="1"/>
  <c r="R36" i="44"/>
  <c r="R38" i="44" s="1"/>
  <c r="Q36" i="44"/>
  <c r="H35" i="44"/>
  <c r="D35" i="44"/>
  <c r="A35" i="44"/>
  <c r="H34" i="44"/>
  <c r="D34" i="44"/>
  <c r="A34" i="44"/>
  <c r="H33" i="44"/>
  <c r="D33" i="44"/>
  <c r="A33" i="44"/>
  <c r="H32" i="44"/>
  <c r="D32" i="44"/>
  <c r="A32" i="44"/>
  <c r="H31" i="44"/>
  <c r="D31" i="44"/>
  <c r="A31" i="44"/>
  <c r="H30" i="44"/>
  <c r="D30" i="44"/>
  <c r="A30" i="44"/>
  <c r="H29" i="44"/>
  <c r="D29" i="44"/>
  <c r="A29" i="44"/>
  <c r="H28" i="44"/>
  <c r="D28" i="44"/>
  <c r="A28" i="44"/>
  <c r="H27" i="44"/>
  <c r="D27" i="44"/>
  <c r="A27" i="44"/>
  <c r="H26" i="44"/>
  <c r="D26" i="44"/>
  <c r="A26" i="44"/>
  <c r="D25" i="44"/>
  <c r="A25" i="44"/>
  <c r="H24" i="44"/>
  <c r="D24" i="44"/>
  <c r="A24" i="44"/>
  <c r="H23" i="44"/>
  <c r="D23" i="44"/>
  <c r="A23" i="44"/>
  <c r="H22" i="44"/>
  <c r="D22" i="44"/>
  <c r="A22" i="44"/>
  <c r="H21" i="44"/>
  <c r="D21" i="44"/>
  <c r="A21" i="44"/>
  <c r="H20" i="44"/>
  <c r="D20" i="44"/>
  <c r="A20" i="44"/>
  <c r="N19" i="44"/>
  <c r="N26" i="44" s="1"/>
  <c r="H19" i="44"/>
  <c r="D19" i="44"/>
  <c r="A19" i="44"/>
  <c r="H18" i="44"/>
  <c r="D18" i="44"/>
  <c r="A18" i="44"/>
  <c r="H17" i="44"/>
  <c r="D17" i="44"/>
  <c r="A17" i="44"/>
  <c r="H16" i="44"/>
  <c r="D16" i="44"/>
  <c r="A16" i="44"/>
  <c r="H15" i="44"/>
  <c r="D15" i="44"/>
  <c r="A15" i="44"/>
  <c r="D14" i="44"/>
  <c r="A14" i="44"/>
  <c r="H13" i="44"/>
  <c r="D13" i="44"/>
  <c r="A13" i="44"/>
  <c r="H12" i="44"/>
  <c r="D12" i="44"/>
  <c r="A12" i="44"/>
  <c r="H11" i="44"/>
  <c r="D11" i="44"/>
  <c r="A11" i="44"/>
  <c r="H10" i="44"/>
  <c r="D10" i="44"/>
  <c r="A10" i="44"/>
  <c r="H9" i="44"/>
  <c r="D9" i="44"/>
  <c r="A9" i="44"/>
  <c r="D8" i="44"/>
  <c r="A8" i="44"/>
  <c r="H7" i="44"/>
  <c r="D7" i="44"/>
  <c r="A7" i="44"/>
  <c r="H6" i="44"/>
  <c r="D6" i="44"/>
  <c r="A6" i="44"/>
  <c r="H5" i="44"/>
  <c r="D5" i="44"/>
  <c r="A5" i="44"/>
  <c r="AB38" i="43"/>
  <c r="AX38" i="44" l="1"/>
  <c r="H39" i="44"/>
  <c r="E37" i="44"/>
  <c r="D37" i="44"/>
  <c r="N24" i="44" s="1"/>
  <c r="H37" i="44"/>
  <c r="N25" i="44" s="1"/>
  <c r="AX36" i="44"/>
  <c r="E31" i="43"/>
  <c r="E32" i="43"/>
  <c r="G31" i="43"/>
  <c r="G21" i="43"/>
  <c r="G16" i="43"/>
  <c r="E30" i="43"/>
  <c r="E25" i="43"/>
  <c r="E23" i="43"/>
  <c r="E21" i="43"/>
  <c r="E20" i="43"/>
  <c r="E15" i="43"/>
  <c r="E9" i="43"/>
  <c r="E5" i="43"/>
  <c r="AX11" i="43"/>
  <c r="AX12" i="43"/>
  <c r="AX13" i="43"/>
  <c r="AX14" i="43"/>
  <c r="AX15" i="43"/>
  <c r="AX16" i="43"/>
  <c r="AX17" i="43"/>
  <c r="AX18" i="43"/>
  <c r="AX19" i="43"/>
  <c r="AX20" i="43"/>
  <c r="AX21" i="43"/>
  <c r="AX22" i="43"/>
  <c r="AX23" i="43"/>
  <c r="AX24" i="43"/>
  <c r="AX25" i="43"/>
  <c r="AX26" i="43"/>
  <c r="AX27" i="43"/>
  <c r="AX28" i="43"/>
  <c r="AX29" i="43"/>
  <c r="AX30" i="43"/>
  <c r="AX31" i="43"/>
  <c r="B46" i="43"/>
  <c r="J37" i="43"/>
  <c r="I37" i="43"/>
  <c r="F37" i="43"/>
  <c r="C37" i="43"/>
  <c r="B37" i="43"/>
  <c r="AW36" i="43"/>
  <c r="AW38" i="43" s="1"/>
  <c r="AV36" i="43"/>
  <c r="AV38" i="43" s="1"/>
  <c r="AU38" i="43"/>
  <c r="AT36" i="43"/>
  <c r="AT38" i="43" s="1"/>
  <c r="AS36" i="43"/>
  <c r="AS38" i="43" s="1"/>
  <c r="AR36" i="43"/>
  <c r="AR38" i="43" s="1"/>
  <c r="AQ36" i="43"/>
  <c r="AQ38" i="43" s="1"/>
  <c r="AP36" i="43"/>
  <c r="AP38" i="43" s="1"/>
  <c r="AO36" i="43"/>
  <c r="AO38" i="43" s="1"/>
  <c r="AN36" i="43"/>
  <c r="AN38" i="43" s="1"/>
  <c r="AM36" i="43"/>
  <c r="AM38" i="43" s="1"/>
  <c r="AL36" i="43"/>
  <c r="AL38" i="43" s="1"/>
  <c r="AK36" i="43"/>
  <c r="AK38" i="43" s="1"/>
  <c r="AJ36" i="43"/>
  <c r="AJ38" i="43" s="1"/>
  <c r="AI36" i="43"/>
  <c r="AI38" i="43" s="1"/>
  <c r="AH36" i="43"/>
  <c r="AH38" i="43" s="1"/>
  <c r="AG36" i="43"/>
  <c r="AG38" i="43" s="1"/>
  <c r="AF36" i="43"/>
  <c r="AF38" i="43" s="1"/>
  <c r="AE36" i="43"/>
  <c r="AE38" i="43" s="1"/>
  <c r="AD36" i="43"/>
  <c r="AD38" i="43" s="1"/>
  <c r="AC36" i="43"/>
  <c r="AC38" i="43" s="1"/>
  <c r="AB36" i="43"/>
  <c r="AA36" i="43"/>
  <c r="AA38" i="43" s="1"/>
  <c r="Z36" i="43"/>
  <c r="Z38" i="43" s="1"/>
  <c r="Y36" i="43"/>
  <c r="Y38" i="43" s="1"/>
  <c r="X36" i="43"/>
  <c r="X38" i="43" s="1"/>
  <c r="W36" i="43"/>
  <c r="W38" i="43" s="1"/>
  <c r="V36" i="43"/>
  <c r="V38" i="43" s="1"/>
  <c r="U36" i="43"/>
  <c r="U38" i="43" s="1"/>
  <c r="T36" i="43"/>
  <c r="T38" i="43" s="1"/>
  <c r="S38" i="43"/>
  <c r="R36" i="43"/>
  <c r="R38" i="43" s="1"/>
  <c r="Q36" i="43"/>
  <c r="AX35" i="43"/>
  <c r="H35" i="43"/>
  <c r="D35" i="43"/>
  <c r="A35" i="43"/>
  <c r="AX34" i="43"/>
  <c r="H34" i="43"/>
  <c r="D34" i="43"/>
  <c r="A34" i="43"/>
  <c r="AX33" i="43"/>
  <c r="H33" i="43"/>
  <c r="D33" i="43"/>
  <c r="A33" i="43"/>
  <c r="AX32" i="43"/>
  <c r="H32" i="43"/>
  <c r="D32" i="43"/>
  <c r="A32" i="43"/>
  <c r="H31" i="43"/>
  <c r="D31" i="43"/>
  <c r="A31" i="43"/>
  <c r="H30" i="43"/>
  <c r="D30" i="43"/>
  <c r="A30" i="43"/>
  <c r="H29" i="43"/>
  <c r="D29" i="43"/>
  <c r="A29" i="43"/>
  <c r="H28" i="43"/>
  <c r="D28" i="43"/>
  <c r="A28" i="43"/>
  <c r="H27" i="43"/>
  <c r="D27" i="43"/>
  <c r="A27" i="43"/>
  <c r="N26" i="43"/>
  <c r="H26" i="43"/>
  <c r="D26" i="43"/>
  <c r="A26" i="43"/>
  <c r="H25" i="43"/>
  <c r="D25" i="43"/>
  <c r="A25" i="43"/>
  <c r="H24" i="43"/>
  <c r="D24" i="43"/>
  <c r="A24" i="43"/>
  <c r="H23" i="43"/>
  <c r="D23" i="43"/>
  <c r="A23" i="43"/>
  <c r="H22" i="43"/>
  <c r="D22" i="43"/>
  <c r="A22" i="43"/>
  <c r="H21" i="43"/>
  <c r="D21" i="43"/>
  <c r="A21" i="43"/>
  <c r="H20" i="43"/>
  <c r="D20" i="43"/>
  <c r="A20" i="43"/>
  <c r="N19" i="43"/>
  <c r="H19" i="43"/>
  <c r="D19" i="43"/>
  <c r="A19" i="43"/>
  <c r="H18" i="43"/>
  <c r="D18" i="43"/>
  <c r="A18" i="43"/>
  <c r="H17" i="43"/>
  <c r="D17" i="43"/>
  <c r="A17" i="43"/>
  <c r="H16" i="43"/>
  <c r="D16" i="43"/>
  <c r="A16" i="43"/>
  <c r="H15" i="43"/>
  <c r="D15" i="43"/>
  <c r="A15" i="43"/>
  <c r="H14" i="43"/>
  <c r="D14" i="43"/>
  <c r="A14" i="43"/>
  <c r="H13" i="43"/>
  <c r="D13" i="43"/>
  <c r="A13" i="43"/>
  <c r="H12" i="43"/>
  <c r="D12" i="43"/>
  <c r="A12" i="43"/>
  <c r="H11" i="43"/>
  <c r="D11" i="43"/>
  <c r="A11" i="43"/>
  <c r="AX10" i="43"/>
  <c r="H10" i="43"/>
  <c r="D10" i="43"/>
  <c r="A10" i="43"/>
  <c r="AX9" i="43"/>
  <c r="H9" i="43"/>
  <c r="D9" i="43"/>
  <c r="A9" i="43"/>
  <c r="AX8" i="43"/>
  <c r="H8" i="43"/>
  <c r="D8" i="43"/>
  <c r="A8" i="43"/>
  <c r="AX7" i="43"/>
  <c r="H7" i="43"/>
  <c r="G37" i="43"/>
  <c r="D7" i="43"/>
  <c r="A7" i="43"/>
  <c r="AX6" i="43"/>
  <c r="H6" i="43"/>
  <c r="D6" i="43"/>
  <c r="A6" i="43"/>
  <c r="AX5" i="43"/>
  <c r="E37" i="43"/>
  <c r="D5" i="43"/>
  <c r="A5" i="43"/>
  <c r="B46" i="42"/>
  <c r="E30" i="42"/>
  <c r="E28" i="42"/>
  <c r="E25" i="42"/>
  <c r="E21" i="42"/>
  <c r="E18" i="42"/>
  <c r="G13" i="42"/>
  <c r="E12" i="42"/>
  <c r="H12" i="42" s="1"/>
  <c r="H34" i="42"/>
  <c r="H35" i="42"/>
  <c r="H6" i="42"/>
  <c r="H7" i="42"/>
  <c r="H8" i="42"/>
  <c r="H9" i="42"/>
  <c r="H10" i="42"/>
  <c r="H11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5" i="42"/>
  <c r="G7" i="42"/>
  <c r="G37" i="42" s="1"/>
  <c r="E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5" i="42"/>
  <c r="X36" i="42"/>
  <c r="Y36" i="42"/>
  <c r="Y38" i="42" s="1"/>
  <c r="Z36" i="42"/>
  <c r="Z38" i="42" s="1"/>
  <c r="AA36" i="42"/>
  <c r="AB36" i="42"/>
  <c r="AB38" i="42" s="1"/>
  <c r="AC36" i="42"/>
  <c r="AD36" i="42"/>
  <c r="AD38" i="42" s="1"/>
  <c r="AE36" i="42"/>
  <c r="AE38" i="42" s="1"/>
  <c r="AF36" i="42"/>
  <c r="AG36" i="42"/>
  <c r="AH36" i="42"/>
  <c r="AI36" i="42"/>
  <c r="AJ36" i="42"/>
  <c r="AK36" i="42"/>
  <c r="AL36" i="42"/>
  <c r="AM36" i="42"/>
  <c r="AN36" i="42"/>
  <c r="AO36" i="42"/>
  <c r="AP36" i="42"/>
  <c r="AP38" i="42" s="1"/>
  <c r="AQ36" i="42"/>
  <c r="AQ38" i="42" s="1"/>
  <c r="AR36" i="42"/>
  <c r="AS36" i="42"/>
  <c r="AT36" i="42"/>
  <c r="AU36" i="42"/>
  <c r="AV36" i="42"/>
  <c r="AW36" i="42"/>
  <c r="AW38" i="42" s="1"/>
  <c r="Q36" i="42"/>
  <c r="R36" i="42"/>
  <c r="S36" i="42"/>
  <c r="S38" i="42" s="1"/>
  <c r="T36" i="42"/>
  <c r="T38" i="42" s="1"/>
  <c r="U36" i="42"/>
  <c r="U38" i="42" s="1"/>
  <c r="V36" i="42"/>
  <c r="Q38" i="42"/>
  <c r="R38" i="42"/>
  <c r="V38" i="42"/>
  <c r="C37" i="42"/>
  <c r="E37" i="42"/>
  <c r="F37" i="42"/>
  <c r="I37" i="42"/>
  <c r="J37" i="42"/>
  <c r="B37" i="42"/>
  <c r="E34" i="41"/>
  <c r="AV38" i="42"/>
  <c r="AU38" i="42"/>
  <c r="AT38" i="42"/>
  <c r="AS38" i="42"/>
  <c r="AR38" i="42"/>
  <c r="AO38" i="42"/>
  <c r="AN38" i="42"/>
  <c r="AM38" i="42"/>
  <c r="AL38" i="42"/>
  <c r="AK38" i="42"/>
  <c r="AJ38" i="42"/>
  <c r="AI38" i="42"/>
  <c r="AH38" i="42"/>
  <c r="AG38" i="42"/>
  <c r="AF38" i="42"/>
  <c r="AC38" i="42"/>
  <c r="AA38" i="42"/>
  <c r="X38" i="42"/>
  <c r="W36" i="42"/>
  <c r="W38" i="42" s="1"/>
  <c r="AX35" i="42"/>
  <c r="A35" i="42"/>
  <c r="AX34" i="42"/>
  <c r="A34" i="42"/>
  <c r="AX33" i="42"/>
  <c r="A33" i="42"/>
  <c r="AX32" i="42"/>
  <c r="A32" i="42"/>
  <c r="AX31" i="42"/>
  <c r="A31" i="42"/>
  <c r="AX30" i="42"/>
  <c r="A30" i="42"/>
  <c r="AX29" i="42"/>
  <c r="A29" i="42"/>
  <c r="AX28" i="42"/>
  <c r="A28" i="42"/>
  <c r="AX27" i="42"/>
  <c r="A27" i="42"/>
  <c r="AX26" i="42"/>
  <c r="N26" i="42"/>
  <c r="A26" i="42"/>
  <c r="AX25" i="42"/>
  <c r="A25" i="42"/>
  <c r="AX24" i="42"/>
  <c r="A24" i="42"/>
  <c r="AX23" i="42"/>
  <c r="A23" i="42"/>
  <c r="AX22" i="42"/>
  <c r="A22" i="42"/>
  <c r="AX21" i="42"/>
  <c r="A21" i="42"/>
  <c r="AX20" i="42"/>
  <c r="A20" i="42"/>
  <c r="AX19" i="42"/>
  <c r="N19" i="42"/>
  <c r="A19" i="42"/>
  <c r="AX18" i="42"/>
  <c r="A18" i="42"/>
  <c r="AX17" i="42"/>
  <c r="A17" i="42"/>
  <c r="AX16" i="42"/>
  <c r="A16" i="42"/>
  <c r="AX15" i="42"/>
  <c r="A15" i="42"/>
  <c r="AX14" i="42"/>
  <c r="A14" i="42"/>
  <c r="AX13" i="42"/>
  <c r="A13" i="42"/>
  <c r="AX12" i="42"/>
  <c r="A12" i="42"/>
  <c r="AX11" i="42"/>
  <c r="A11" i="42"/>
  <c r="AX10" i="42"/>
  <c r="A10" i="42"/>
  <c r="AX9" i="42"/>
  <c r="A9" i="42"/>
  <c r="AX8" i="42"/>
  <c r="A8" i="42"/>
  <c r="AX7" i="42"/>
  <c r="A7" i="42"/>
  <c r="AX6" i="42"/>
  <c r="A6" i="42"/>
  <c r="AX5" i="42"/>
  <c r="A5" i="42"/>
  <c r="E27" i="41"/>
  <c r="E26" i="41"/>
  <c r="E21" i="41"/>
  <c r="H21" i="41" s="1"/>
  <c r="E20" i="41"/>
  <c r="G22" i="41"/>
  <c r="G21" i="41"/>
  <c r="E9" i="41"/>
  <c r="E37" i="41" s="1"/>
  <c r="E6" i="41"/>
  <c r="C39" i="40"/>
  <c r="F32" i="40"/>
  <c r="G25" i="40"/>
  <c r="AX6" i="41"/>
  <c r="AX7" i="41"/>
  <c r="AX8" i="41"/>
  <c r="AX9" i="41"/>
  <c r="AX10" i="41"/>
  <c r="AX11" i="41"/>
  <c r="AX12" i="41"/>
  <c r="AX13" i="41"/>
  <c r="AX14" i="41"/>
  <c r="AX15" i="41"/>
  <c r="AX16" i="41"/>
  <c r="AX17" i="41"/>
  <c r="AX18" i="41"/>
  <c r="AX19" i="41"/>
  <c r="AX20" i="41"/>
  <c r="AX21" i="41"/>
  <c r="AX22" i="41"/>
  <c r="AX23" i="41"/>
  <c r="AX24" i="41"/>
  <c r="AX25" i="41"/>
  <c r="AX26" i="41"/>
  <c r="AX27" i="41"/>
  <c r="AX28" i="41"/>
  <c r="AX29" i="41"/>
  <c r="AX30" i="41"/>
  <c r="AX31" i="41"/>
  <c r="AX32" i="41"/>
  <c r="AX33" i="41"/>
  <c r="AX34" i="41"/>
  <c r="AX35" i="41"/>
  <c r="AX5" i="41"/>
  <c r="B46" i="41"/>
  <c r="AI38" i="41"/>
  <c r="I37" i="41"/>
  <c r="J37" i="41" s="1"/>
  <c r="G37" i="41"/>
  <c r="F37" i="41"/>
  <c r="C37" i="41"/>
  <c r="B37" i="41"/>
  <c r="AW36" i="41"/>
  <c r="AW38" i="41" s="1"/>
  <c r="AV36" i="41"/>
  <c r="AV38" i="41" s="1"/>
  <c r="AU36" i="41"/>
  <c r="AU38" i="41" s="1"/>
  <c r="AT36" i="41"/>
  <c r="AT38" i="41" s="1"/>
  <c r="AS36" i="41"/>
  <c r="AS38" i="41" s="1"/>
  <c r="AR36" i="41"/>
  <c r="AR38" i="41" s="1"/>
  <c r="AQ36" i="41"/>
  <c r="AQ38" i="41" s="1"/>
  <c r="AP36" i="41"/>
  <c r="AP38" i="41" s="1"/>
  <c r="AO36" i="41"/>
  <c r="AO38" i="41" s="1"/>
  <c r="AN36" i="41"/>
  <c r="AN38" i="41" s="1"/>
  <c r="AM36" i="41"/>
  <c r="AM38" i="41" s="1"/>
  <c r="AL36" i="41"/>
  <c r="AL38" i="41" s="1"/>
  <c r="AK36" i="41"/>
  <c r="AK38" i="41" s="1"/>
  <c r="AJ36" i="41"/>
  <c r="AJ38" i="41" s="1"/>
  <c r="AI36" i="41"/>
  <c r="AH36" i="41"/>
  <c r="AH38" i="41" s="1"/>
  <c r="AG36" i="41"/>
  <c r="AG38" i="41" s="1"/>
  <c r="AF36" i="41"/>
  <c r="AF38" i="41" s="1"/>
  <c r="AE36" i="41"/>
  <c r="AE38" i="41" s="1"/>
  <c r="AD36" i="41"/>
  <c r="AD38" i="41" s="1"/>
  <c r="AC36" i="41"/>
  <c r="AC38" i="41" s="1"/>
  <c r="AB36" i="41"/>
  <c r="AB38" i="41" s="1"/>
  <c r="AA36" i="41"/>
  <c r="AA38" i="41" s="1"/>
  <c r="Z36" i="41"/>
  <c r="Z38" i="41" s="1"/>
  <c r="Y36" i="41"/>
  <c r="Y38" i="41" s="1"/>
  <c r="X36" i="41"/>
  <c r="X38" i="41" s="1"/>
  <c r="W36" i="41"/>
  <c r="W38" i="41" s="1"/>
  <c r="V36" i="41"/>
  <c r="V38" i="41" s="1"/>
  <c r="U36" i="41"/>
  <c r="U38" i="41" s="1"/>
  <c r="T36" i="41"/>
  <c r="T38" i="41" s="1"/>
  <c r="S36" i="41"/>
  <c r="S38" i="41" s="1"/>
  <c r="R36" i="41"/>
  <c r="R38" i="41" s="1"/>
  <c r="Q36" i="41"/>
  <c r="H35" i="41"/>
  <c r="D35" i="41"/>
  <c r="A35" i="41"/>
  <c r="H34" i="41"/>
  <c r="D34" i="41"/>
  <c r="A34" i="41"/>
  <c r="H33" i="41"/>
  <c r="D33" i="41"/>
  <c r="A33" i="41"/>
  <c r="H32" i="41"/>
  <c r="D32" i="41"/>
  <c r="A32" i="41"/>
  <c r="H31" i="41"/>
  <c r="D31" i="41"/>
  <c r="A31" i="41"/>
  <c r="H30" i="41"/>
  <c r="D30" i="41"/>
  <c r="A30" i="41"/>
  <c r="H29" i="41"/>
  <c r="D29" i="41"/>
  <c r="A29" i="41"/>
  <c r="H28" i="41"/>
  <c r="D28" i="41"/>
  <c r="A28" i="41"/>
  <c r="H27" i="41"/>
  <c r="D27" i="41"/>
  <c r="A27" i="41"/>
  <c r="N26" i="41"/>
  <c r="H26" i="41"/>
  <c r="D26" i="41"/>
  <c r="A26" i="41"/>
  <c r="H25" i="41"/>
  <c r="D25" i="41"/>
  <c r="A25" i="41"/>
  <c r="H24" i="41"/>
  <c r="D24" i="41"/>
  <c r="A24" i="41"/>
  <c r="H23" i="41"/>
  <c r="D23" i="41"/>
  <c r="A23" i="41"/>
  <c r="H22" i="41"/>
  <c r="D22" i="41"/>
  <c r="A22" i="41"/>
  <c r="D21" i="41"/>
  <c r="A21" i="41"/>
  <c r="H20" i="41"/>
  <c r="D20" i="41"/>
  <c r="A20" i="41"/>
  <c r="N19" i="41"/>
  <c r="H19" i="41"/>
  <c r="D19" i="41"/>
  <c r="A19" i="41"/>
  <c r="H18" i="41"/>
  <c r="D18" i="41"/>
  <c r="A18" i="41"/>
  <c r="H17" i="41"/>
  <c r="D17" i="41"/>
  <c r="A17" i="41"/>
  <c r="H16" i="41"/>
  <c r="D16" i="41"/>
  <c r="A16" i="41"/>
  <c r="H15" i="41"/>
  <c r="D15" i="41"/>
  <c r="A15" i="41"/>
  <c r="H14" i="41"/>
  <c r="D14" i="41"/>
  <c r="A14" i="41"/>
  <c r="H13" i="41"/>
  <c r="D13" i="41"/>
  <c r="A13" i="41"/>
  <c r="H12" i="41"/>
  <c r="D12" i="41"/>
  <c r="A12" i="41"/>
  <c r="H11" i="41"/>
  <c r="D11" i="41"/>
  <c r="A11" i="41"/>
  <c r="H10" i="41"/>
  <c r="D10" i="41"/>
  <c r="A10" i="41"/>
  <c r="H9" i="41"/>
  <c r="D9" i="41"/>
  <c r="A9" i="41"/>
  <c r="H8" i="41"/>
  <c r="D8" i="41"/>
  <c r="A8" i="41"/>
  <c r="H7" i="41"/>
  <c r="D7" i="41"/>
  <c r="A7" i="41"/>
  <c r="H6" i="41"/>
  <c r="D6" i="41"/>
  <c r="A6" i="41"/>
  <c r="H5" i="41"/>
  <c r="D5" i="41"/>
  <c r="A5" i="41"/>
  <c r="F37" i="40"/>
  <c r="E29" i="40"/>
  <c r="E37" i="40" s="1"/>
  <c r="AX29" i="40"/>
  <c r="G37" i="40"/>
  <c r="E24" i="40"/>
  <c r="E14" i="40"/>
  <c r="E12" i="40"/>
  <c r="E9" i="40"/>
  <c r="E10" i="40"/>
  <c r="E5" i="40"/>
  <c r="G7" i="40"/>
  <c r="R36" i="40"/>
  <c r="R38" i="40" s="1"/>
  <c r="S36" i="40"/>
  <c r="S38" i="40" s="1"/>
  <c r="T36" i="40"/>
  <c r="T38" i="40" s="1"/>
  <c r="U36" i="40"/>
  <c r="U38" i="40" s="1"/>
  <c r="V36" i="40"/>
  <c r="V38" i="40" s="1"/>
  <c r="W36" i="40"/>
  <c r="W38" i="40" s="1"/>
  <c r="X36" i="40"/>
  <c r="X38" i="40" s="1"/>
  <c r="Y36" i="40"/>
  <c r="Y38" i="40" s="1"/>
  <c r="Z36" i="40"/>
  <c r="Z38" i="40" s="1"/>
  <c r="AA36" i="40"/>
  <c r="AA38" i="40" s="1"/>
  <c r="AB36" i="40"/>
  <c r="AB38" i="40" s="1"/>
  <c r="AC36" i="40"/>
  <c r="AC38" i="40" s="1"/>
  <c r="AD36" i="40"/>
  <c r="AD38" i="40" s="1"/>
  <c r="AE36" i="40"/>
  <c r="AE38" i="40" s="1"/>
  <c r="AF36" i="40"/>
  <c r="AF38" i="40" s="1"/>
  <c r="AG36" i="40"/>
  <c r="AG38" i="40" s="1"/>
  <c r="AH36" i="40"/>
  <c r="AH38" i="40" s="1"/>
  <c r="AI36" i="40"/>
  <c r="AI38" i="40" s="1"/>
  <c r="AJ36" i="40"/>
  <c r="AJ38" i="40" s="1"/>
  <c r="AK36" i="40"/>
  <c r="AK38" i="40" s="1"/>
  <c r="AL36" i="40"/>
  <c r="AL38" i="40" s="1"/>
  <c r="AM36" i="40"/>
  <c r="AM38" i="40" s="1"/>
  <c r="AN36" i="40"/>
  <c r="AN38" i="40" s="1"/>
  <c r="AO36" i="40"/>
  <c r="AO38" i="40" s="1"/>
  <c r="AP36" i="40"/>
  <c r="AP38" i="40" s="1"/>
  <c r="AQ36" i="40"/>
  <c r="AQ38" i="40" s="1"/>
  <c r="AR36" i="40"/>
  <c r="AR38" i="40" s="1"/>
  <c r="AS36" i="40"/>
  <c r="AS38" i="40" s="1"/>
  <c r="AT36" i="40"/>
  <c r="AT38" i="40" s="1"/>
  <c r="AU36" i="40"/>
  <c r="AU38" i="40" s="1"/>
  <c r="AV36" i="40"/>
  <c r="AV38" i="40" s="1"/>
  <c r="AW36" i="40"/>
  <c r="AW38" i="40" s="1"/>
  <c r="Q36" i="40"/>
  <c r="Q38" i="40" s="1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5" i="40"/>
  <c r="B46" i="40"/>
  <c r="H37" i="40"/>
  <c r="I37" i="40"/>
  <c r="J37" i="40"/>
  <c r="C37" i="40"/>
  <c r="B37" i="40"/>
  <c r="AX6" i="40"/>
  <c r="AX7" i="40"/>
  <c r="AX8" i="40"/>
  <c r="AX9" i="40"/>
  <c r="AX10" i="40"/>
  <c r="AX11" i="40"/>
  <c r="AX12" i="40"/>
  <c r="AX13" i="40"/>
  <c r="AX14" i="40"/>
  <c r="AX15" i="40"/>
  <c r="AX16" i="40"/>
  <c r="AX17" i="40"/>
  <c r="AX18" i="40"/>
  <c r="AX19" i="40"/>
  <c r="AX20" i="40"/>
  <c r="AX21" i="40"/>
  <c r="AX22" i="40"/>
  <c r="AX23" i="40"/>
  <c r="AX24" i="40"/>
  <c r="AX25" i="40"/>
  <c r="AX26" i="40"/>
  <c r="AX27" i="40"/>
  <c r="AX28" i="40"/>
  <c r="AX30" i="40"/>
  <c r="AX31" i="40"/>
  <c r="AX32" i="40"/>
  <c r="AX33" i="40"/>
  <c r="AX34" i="40"/>
  <c r="AX35" i="40"/>
  <c r="AX5" i="40"/>
  <c r="E31" i="39"/>
  <c r="F30" i="39"/>
  <c r="E30" i="39"/>
  <c r="E26" i="39"/>
  <c r="E24" i="39"/>
  <c r="G24" i="39"/>
  <c r="N27" i="44" l="1"/>
  <c r="AX36" i="43"/>
  <c r="C39" i="43"/>
  <c r="D37" i="43"/>
  <c r="N24" i="43" s="1"/>
  <c r="H39" i="43"/>
  <c r="Q38" i="43"/>
  <c r="H5" i="43"/>
  <c r="H37" i="43" s="1"/>
  <c r="N25" i="43" s="1"/>
  <c r="C39" i="42"/>
  <c r="H37" i="42"/>
  <c r="N25" i="42" s="1"/>
  <c r="H39" i="42"/>
  <c r="D37" i="42"/>
  <c r="N24" i="42" s="1"/>
  <c r="AX36" i="42"/>
  <c r="H39" i="41"/>
  <c r="C39" i="41"/>
  <c r="H37" i="41"/>
  <c r="N25" i="41" s="1"/>
  <c r="D37" i="41"/>
  <c r="N24" i="41" s="1"/>
  <c r="AX36" i="41"/>
  <c r="Q38" i="41"/>
  <c r="H39" i="40"/>
  <c r="AX36" i="40"/>
  <c r="D37" i="40"/>
  <c r="E16" i="39"/>
  <c r="G16" i="39"/>
  <c r="N27" i="43" l="1"/>
  <c r="N27" i="42"/>
  <c r="N27" i="41"/>
  <c r="G14" i="39"/>
  <c r="E10" i="39"/>
  <c r="B48" i="38"/>
  <c r="G9" i="39"/>
  <c r="E9" i="39"/>
  <c r="E7" i="39"/>
  <c r="AX6" i="39"/>
  <c r="AX7" i="39"/>
  <c r="AX8" i="39"/>
  <c r="AX9" i="39"/>
  <c r="AX10" i="39"/>
  <c r="AX11" i="39"/>
  <c r="AX12" i="39"/>
  <c r="AX13" i="39"/>
  <c r="AX14" i="39"/>
  <c r="AX15" i="39"/>
  <c r="AX16" i="39"/>
  <c r="AX17" i="39"/>
  <c r="AX18" i="39"/>
  <c r="AX19" i="39"/>
  <c r="AX20" i="39"/>
  <c r="AX21" i="39"/>
  <c r="AX22" i="39"/>
  <c r="AX23" i="39"/>
  <c r="AX24" i="39"/>
  <c r="AX25" i="39"/>
  <c r="AX26" i="39"/>
  <c r="AX27" i="39"/>
  <c r="AX28" i="39"/>
  <c r="AX29" i="39"/>
  <c r="AX30" i="39"/>
  <c r="AX31" i="39"/>
  <c r="AX32" i="39"/>
  <c r="AX33" i="39"/>
  <c r="AX34" i="39"/>
  <c r="AX35" i="39"/>
  <c r="AX5" i="39"/>
  <c r="B46" i="39" l="1"/>
  <c r="I37" i="39"/>
  <c r="J37" i="39" s="1"/>
  <c r="G37" i="39"/>
  <c r="F37" i="39"/>
  <c r="E37" i="39"/>
  <c r="C37" i="39"/>
  <c r="B37" i="39"/>
  <c r="AW36" i="39"/>
  <c r="AW38" i="39" s="1"/>
  <c r="AV36" i="39"/>
  <c r="AV38" i="39" s="1"/>
  <c r="AU36" i="39"/>
  <c r="AU38" i="39" s="1"/>
  <c r="AT36" i="39"/>
  <c r="AT38" i="39" s="1"/>
  <c r="AS36" i="39"/>
  <c r="AS38" i="39" s="1"/>
  <c r="AR36" i="39"/>
  <c r="AR38" i="39" s="1"/>
  <c r="AQ36" i="39"/>
  <c r="AQ38" i="39" s="1"/>
  <c r="AP36" i="39"/>
  <c r="AP38" i="39" s="1"/>
  <c r="AO36" i="39"/>
  <c r="AO38" i="39" s="1"/>
  <c r="AN36" i="39"/>
  <c r="AN38" i="39" s="1"/>
  <c r="AM36" i="39"/>
  <c r="AM38" i="39" s="1"/>
  <c r="AL36" i="39"/>
  <c r="AL38" i="39" s="1"/>
  <c r="AK36" i="39"/>
  <c r="AK38" i="39" s="1"/>
  <c r="AJ36" i="39"/>
  <c r="AJ38" i="39" s="1"/>
  <c r="AI36" i="39"/>
  <c r="AI38" i="39" s="1"/>
  <c r="AH36" i="39"/>
  <c r="AH38" i="39" s="1"/>
  <c r="AG36" i="39"/>
  <c r="AG38" i="39" s="1"/>
  <c r="AF36" i="39"/>
  <c r="AF38" i="39" s="1"/>
  <c r="AE36" i="39"/>
  <c r="AE38" i="39" s="1"/>
  <c r="AD36" i="39"/>
  <c r="AD38" i="39" s="1"/>
  <c r="AC36" i="39"/>
  <c r="AC38" i="39" s="1"/>
  <c r="AB36" i="39"/>
  <c r="AB38" i="39" s="1"/>
  <c r="AA36" i="39"/>
  <c r="AA38" i="39" s="1"/>
  <c r="Z36" i="39"/>
  <c r="Z38" i="39" s="1"/>
  <c r="Y36" i="39"/>
  <c r="Y38" i="39" s="1"/>
  <c r="X36" i="39"/>
  <c r="X38" i="39" s="1"/>
  <c r="W36" i="39"/>
  <c r="W38" i="39" s="1"/>
  <c r="V36" i="39"/>
  <c r="V38" i="39" s="1"/>
  <c r="U36" i="39"/>
  <c r="U38" i="39" s="1"/>
  <c r="T36" i="39"/>
  <c r="T38" i="39" s="1"/>
  <c r="S36" i="39"/>
  <c r="S38" i="39" s="1"/>
  <c r="R36" i="39"/>
  <c r="Q36" i="39"/>
  <c r="Q38" i="39" s="1"/>
  <c r="H35" i="39"/>
  <c r="D35" i="39"/>
  <c r="A35" i="39"/>
  <c r="H34" i="39"/>
  <c r="D34" i="39"/>
  <c r="A34" i="39"/>
  <c r="H33" i="39"/>
  <c r="D33" i="39"/>
  <c r="A33" i="39"/>
  <c r="H32" i="39"/>
  <c r="D32" i="39"/>
  <c r="A32" i="39"/>
  <c r="H31" i="39"/>
  <c r="D31" i="39"/>
  <c r="A31" i="39"/>
  <c r="H30" i="39"/>
  <c r="D30" i="39"/>
  <c r="A30" i="39"/>
  <c r="H29" i="39"/>
  <c r="D29" i="39"/>
  <c r="A29" i="39"/>
  <c r="H28" i="39"/>
  <c r="D28" i="39"/>
  <c r="A28" i="39"/>
  <c r="H27" i="39"/>
  <c r="D27" i="39"/>
  <c r="A27" i="39"/>
  <c r="N26" i="39"/>
  <c r="H26" i="39"/>
  <c r="D26" i="39"/>
  <c r="A26" i="39"/>
  <c r="H25" i="39"/>
  <c r="D25" i="39"/>
  <c r="A25" i="39"/>
  <c r="H24" i="39"/>
  <c r="D24" i="39"/>
  <c r="A24" i="39"/>
  <c r="H23" i="39"/>
  <c r="D23" i="39"/>
  <c r="A23" i="39"/>
  <c r="H22" i="39"/>
  <c r="D22" i="39"/>
  <c r="A22" i="39"/>
  <c r="H21" i="39"/>
  <c r="D21" i="39"/>
  <c r="A21" i="39"/>
  <c r="H20" i="39"/>
  <c r="D20" i="39"/>
  <c r="A20" i="39"/>
  <c r="N19" i="39"/>
  <c r="H19" i="39"/>
  <c r="D19" i="39"/>
  <c r="A19" i="39"/>
  <c r="H18" i="39"/>
  <c r="D18" i="39"/>
  <c r="A18" i="39"/>
  <c r="H17" i="39"/>
  <c r="D17" i="39"/>
  <c r="A17" i="39"/>
  <c r="H16" i="39"/>
  <c r="D16" i="39"/>
  <c r="A16" i="39"/>
  <c r="H15" i="39"/>
  <c r="D15" i="39"/>
  <c r="A15" i="39"/>
  <c r="H14" i="39"/>
  <c r="D14" i="39"/>
  <c r="A14" i="39"/>
  <c r="H13" i="39"/>
  <c r="D13" i="39"/>
  <c r="A13" i="39"/>
  <c r="H12" i="39"/>
  <c r="D12" i="39"/>
  <c r="A12" i="39"/>
  <c r="H11" i="39"/>
  <c r="D11" i="39"/>
  <c r="A11" i="39"/>
  <c r="H10" i="39"/>
  <c r="D10" i="39"/>
  <c r="A10" i="39"/>
  <c r="H9" i="39"/>
  <c r="D9" i="39"/>
  <c r="A9" i="39"/>
  <c r="H8" i="39"/>
  <c r="D8" i="39"/>
  <c r="A8" i="39"/>
  <c r="H7" i="39"/>
  <c r="D7" i="39"/>
  <c r="A7" i="39"/>
  <c r="H6" i="39"/>
  <c r="D6" i="39"/>
  <c r="A6" i="39"/>
  <c r="H5" i="39"/>
  <c r="D5" i="39"/>
  <c r="A5" i="39"/>
  <c r="E32" i="38"/>
  <c r="E29" i="38"/>
  <c r="E27" i="38"/>
  <c r="E22" i="38"/>
  <c r="E19" i="38"/>
  <c r="F11" i="38"/>
  <c r="F37" i="38" s="1"/>
  <c r="E11" i="38"/>
  <c r="E8" i="38"/>
  <c r="E15" i="38"/>
  <c r="G15" i="38"/>
  <c r="E37" i="38" l="1"/>
  <c r="H39" i="39"/>
  <c r="H41" i="39"/>
  <c r="C39" i="39"/>
  <c r="H37" i="39"/>
  <c r="N25" i="39" s="1"/>
  <c r="D37" i="39"/>
  <c r="N24" i="39" s="1"/>
  <c r="AX36" i="39"/>
  <c r="R38" i="39"/>
  <c r="G7" i="38"/>
  <c r="G37" i="38" s="1"/>
  <c r="I39" i="38" s="1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5" i="38"/>
  <c r="J37" i="38"/>
  <c r="K37" i="38" s="1"/>
  <c r="H37" i="38"/>
  <c r="C37" i="38"/>
  <c r="B37" i="38"/>
  <c r="I41" i="38" s="1"/>
  <c r="AX36" i="38"/>
  <c r="AX38" i="38" s="1"/>
  <c r="AW36" i="38"/>
  <c r="AW38" i="38" s="1"/>
  <c r="AV36" i="38"/>
  <c r="AV38" i="38" s="1"/>
  <c r="AU36" i="38"/>
  <c r="AU38" i="38" s="1"/>
  <c r="AT36" i="38"/>
  <c r="AT38" i="38" s="1"/>
  <c r="AS36" i="38"/>
  <c r="AS38" i="38" s="1"/>
  <c r="AR36" i="38"/>
  <c r="AR38" i="38" s="1"/>
  <c r="AQ36" i="38"/>
  <c r="AQ38" i="38" s="1"/>
  <c r="AP36" i="38"/>
  <c r="AP38" i="38" s="1"/>
  <c r="AO36" i="38"/>
  <c r="AO38" i="38" s="1"/>
  <c r="AN36" i="38"/>
  <c r="AN38" i="38" s="1"/>
  <c r="AM36" i="38"/>
  <c r="AM38" i="38" s="1"/>
  <c r="AL36" i="38"/>
  <c r="AL38" i="38" s="1"/>
  <c r="AK36" i="38"/>
  <c r="AK38" i="38" s="1"/>
  <c r="AJ36" i="38"/>
  <c r="AJ38" i="38" s="1"/>
  <c r="AI36" i="38"/>
  <c r="AI38" i="38" s="1"/>
  <c r="AH36" i="38"/>
  <c r="AH38" i="38" s="1"/>
  <c r="AG36" i="38"/>
  <c r="AG38" i="38" s="1"/>
  <c r="AF36" i="38"/>
  <c r="AF38" i="38" s="1"/>
  <c r="AE36" i="38"/>
  <c r="AE38" i="38" s="1"/>
  <c r="AD36" i="38"/>
  <c r="AD38" i="38" s="1"/>
  <c r="AC36" i="38"/>
  <c r="AC38" i="38" s="1"/>
  <c r="AB36" i="38"/>
  <c r="AB38" i="38" s="1"/>
  <c r="AA36" i="38"/>
  <c r="AA38" i="38" s="1"/>
  <c r="Z36" i="38"/>
  <c r="Z38" i="38" s="1"/>
  <c r="Y36" i="38"/>
  <c r="Y38" i="38" s="1"/>
  <c r="X36" i="38"/>
  <c r="X38" i="38" s="1"/>
  <c r="W36" i="38"/>
  <c r="W38" i="38" s="1"/>
  <c r="V36" i="38"/>
  <c r="V38" i="38" s="1"/>
  <c r="U36" i="38"/>
  <c r="U38" i="38" s="1"/>
  <c r="T36" i="38"/>
  <c r="T38" i="38" s="1"/>
  <c r="S36" i="38"/>
  <c r="S38" i="38" s="1"/>
  <c r="R36" i="38"/>
  <c r="I35" i="38"/>
  <c r="D35" i="38"/>
  <c r="A35" i="38"/>
  <c r="I34" i="38"/>
  <c r="D34" i="38"/>
  <c r="A34" i="38"/>
  <c r="I33" i="38"/>
  <c r="D33" i="38"/>
  <c r="A33" i="38"/>
  <c r="I32" i="38"/>
  <c r="D32" i="38"/>
  <c r="A32" i="38"/>
  <c r="I31" i="38"/>
  <c r="D31" i="38"/>
  <c r="A31" i="38"/>
  <c r="I30" i="38"/>
  <c r="D30" i="38"/>
  <c r="A30" i="38"/>
  <c r="I29" i="38"/>
  <c r="D29" i="38"/>
  <c r="A29" i="38"/>
  <c r="I28" i="38"/>
  <c r="D28" i="38"/>
  <c r="A28" i="38"/>
  <c r="I27" i="38"/>
  <c r="D27" i="38"/>
  <c r="A27" i="38"/>
  <c r="I26" i="38"/>
  <c r="D26" i="38"/>
  <c r="A26" i="38"/>
  <c r="I25" i="38"/>
  <c r="D25" i="38"/>
  <c r="A25" i="38"/>
  <c r="I24" i="38"/>
  <c r="D24" i="38"/>
  <c r="A24" i="38"/>
  <c r="I23" i="38"/>
  <c r="D23" i="38"/>
  <c r="A23" i="38"/>
  <c r="I22" i="38"/>
  <c r="D22" i="38"/>
  <c r="A22" i="38"/>
  <c r="I21" i="38"/>
  <c r="D21" i="38"/>
  <c r="A21" i="38"/>
  <c r="I20" i="38"/>
  <c r="D20" i="38"/>
  <c r="A20" i="38"/>
  <c r="O19" i="38"/>
  <c r="O26" i="38" s="1"/>
  <c r="I19" i="38"/>
  <c r="D19" i="38"/>
  <c r="A19" i="38"/>
  <c r="I18" i="38"/>
  <c r="D18" i="38"/>
  <c r="A18" i="38"/>
  <c r="I17" i="38"/>
  <c r="D17" i="38"/>
  <c r="A17" i="38"/>
  <c r="I16" i="38"/>
  <c r="D16" i="38"/>
  <c r="A16" i="38"/>
  <c r="I15" i="38"/>
  <c r="D15" i="38"/>
  <c r="A15" i="38"/>
  <c r="I14" i="38"/>
  <c r="D14" i="38"/>
  <c r="A14" i="38"/>
  <c r="I13" i="38"/>
  <c r="D13" i="38"/>
  <c r="A13" i="38"/>
  <c r="I12" i="38"/>
  <c r="D12" i="38"/>
  <c r="A12" i="38"/>
  <c r="I11" i="38"/>
  <c r="D11" i="38"/>
  <c r="A11" i="38"/>
  <c r="I10" i="38"/>
  <c r="D10" i="38"/>
  <c r="A10" i="38"/>
  <c r="I9" i="38"/>
  <c r="D9" i="38"/>
  <c r="A9" i="38"/>
  <c r="I8" i="38"/>
  <c r="D8" i="38"/>
  <c r="A8" i="38"/>
  <c r="D7" i="38"/>
  <c r="A7" i="38"/>
  <c r="I6" i="38"/>
  <c r="D6" i="38"/>
  <c r="A6" i="38"/>
  <c r="I5" i="38"/>
  <c r="D5" i="38"/>
  <c r="A5" i="38"/>
  <c r="N27" i="39" l="1"/>
  <c r="I7" i="38"/>
  <c r="AY36" i="38"/>
  <c r="D37" i="38"/>
  <c r="O24" i="38" s="1"/>
  <c r="I37" i="38"/>
  <c r="O25" i="38" s="1"/>
  <c r="R38" i="38"/>
  <c r="F35" i="35"/>
  <c r="B48" i="35"/>
  <c r="E35" i="35"/>
  <c r="E32" i="35"/>
  <c r="E28" i="35"/>
  <c r="F28" i="35"/>
  <c r="O27" i="38" l="1"/>
  <c r="AX16" i="35"/>
  <c r="AX6" i="35" l="1"/>
  <c r="AX7" i="35"/>
  <c r="AX8" i="35"/>
  <c r="AX9" i="35"/>
  <c r="AX10" i="35"/>
  <c r="AX11" i="35"/>
  <c r="AX12" i="35"/>
  <c r="AX13" i="35"/>
  <c r="AX14" i="35"/>
  <c r="AX15" i="35"/>
  <c r="AX17" i="35"/>
  <c r="AX18" i="35"/>
  <c r="AX19" i="35"/>
  <c r="AX20" i="35"/>
  <c r="AX21" i="35"/>
  <c r="AX22" i="35"/>
  <c r="AX23" i="35"/>
  <c r="AX24" i="35"/>
  <c r="AX25" i="35"/>
  <c r="AX26" i="35"/>
  <c r="AX27" i="35"/>
  <c r="AX28" i="35"/>
  <c r="AX29" i="35"/>
  <c r="AX30" i="35"/>
  <c r="AX31" i="35"/>
  <c r="AX32" i="35"/>
  <c r="AX33" i="35"/>
  <c r="AX34" i="35"/>
  <c r="AX35" i="35"/>
  <c r="AX5" i="35"/>
  <c r="AN38" i="24"/>
  <c r="AJ38" i="24"/>
  <c r="X38" i="24"/>
  <c r="T38" i="24"/>
  <c r="I37" i="24"/>
  <c r="J37" i="24" s="1"/>
  <c r="G37" i="24"/>
  <c r="F37" i="24"/>
  <c r="E37" i="24"/>
  <c r="C37" i="24"/>
  <c r="B37" i="24"/>
  <c r="AW36" i="24"/>
  <c r="AW38" i="24" s="1"/>
  <c r="AV36" i="24"/>
  <c r="AV38" i="24" s="1"/>
  <c r="AU36" i="24"/>
  <c r="AU38" i="24" s="1"/>
  <c r="AT36" i="24"/>
  <c r="AT38" i="24" s="1"/>
  <c r="AS36" i="24"/>
  <c r="AS38" i="24" s="1"/>
  <c r="AR36" i="24"/>
  <c r="AR38" i="24" s="1"/>
  <c r="AQ36" i="24"/>
  <c r="AQ38" i="24" s="1"/>
  <c r="AP36" i="24"/>
  <c r="AP38" i="24" s="1"/>
  <c r="AO36" i="24"/>
  <c r="AO38" i="24" s="1"/>
  <c r="AN36" i="24"/>
  <c r="AM36" i="24"/>
  <c r="AM38" i="24" s="1"/>
  <c r="AL36" i="24"/>
  <c r="AL38" i="24" s="1"/>
  <c r="AK36" i="24"/>
  <c r="AK38" i="24" s="1"/>
  <c r="AJ36" i="24"/>
  <c r="AI36" i="24"/>
  <c r="AI38" i="24" s="1"/>
  <c r="AH36" i="24"/>
  <c r="AH38" i="24" s="1"/>
  <c r="AG36" i="24"/>
  <c r="AG38" i="24" s="1"/>
  <c r="AF36" i="24"/>
  <c r="AF38" i="24" s="1"/>
  <c r="AE36" i="24"/>
  <c r="AE38" i="24" s="1"/>
  <c r="AD36" i="24"/>
  <c r="AD38" i="24" s="1"/>
  <c r="AC36" i="24"/>
  <c r="AC38" i="24" s="1"/>
  <c r="AB36" i="24"/>
  <c r="AB38" i="24" s="1"/>
  <c r="AA36" i="24"/>
  <c r="AA38" i="24" s="1"/>
  <c r="Z36" i="24"/>
  <c r="Z38" i="24" s="1"/>
  <c r="Y36" i="24"/>
  <c r="Y38" i="24" s="1"/>
  <c r="X36" i="24"/>
  <c r="W36" i="24"/>
  <c r="W38" i="24" s="1"/>
  <c r="V36" i="24"/>
  <c r="V38" i="24" s="1"/>
  <c r="U36" i="24"/>
  <c r="U38" i="24" s="1"/>
  <c r="T36" i="24"/>
  <c r="S36" i="24"/>
  <c r="S38" i="24" s="1"/>
  <c r="R36" i="24"/>
  <c r="R38" i="24" s="1"/>
  <c r="Q36" i="24"/>
  <c r="H35" i="24"/>
  <c r="D35" i="24"/>
  <c r="A35" i="24"/>
  <c r="H34" i="24"/>
  <c r="D34" i="24"/>
  <c r="A34" i="24"/>
  <c r="H33" i="24"/>
  <c r="D33" i="24"/>
  <c r="A33" i="24"/>
  <c r="H32" i="24"/>
  <c r="D32" i="24"/>
  <c r="A32" i="24"/>
  <c r="H31" i="24"/>
  <c r="D31" i="24"/>
  <c r="A31" i="24"/>
  <c r="H30" i="24"/>
  <c r="D30" i="24"/>
  <c r="A30" i="24"/>
  <c r="H29" i="24"/>
  <c r="D29" i="24"/>
  <c r="A29" i="24"/>
  <c r="H28" i="24"/>
  <c r="D28" i="24"/>
  <c r="A28" i="24"/>
  <c r="H27" i="24"/>
  <c r="D27" i="24"/>
  <c r="A27" i="24"/>
  <c r="H26" i="24"/>
  <c r="D26" i="24"/>
  <c r="A26" i="24"/>
  <c r="H25" i="24"/>
  <c r="D25" i="24"/>
  <c r="A25" i="24"/>
  <c r="H24" i="24"/>
  <c r="D24" i="24"/>
  <c r="A24" i="24"/>
  <c r="H23" i="24"/>
  <c r="D23" i="24"/>
  <c r="A23" i="24"/>
  <c r="H22" i="24"/>
  <c r="D22" i="24"/>
  <c r="A22" i="24"/>
  <c r="H21" i="24"/>
  <c r="D21" i="24"/>
  <c r="A21" i="24"/>
  <c r="H20" i="24"/>
  <c r="D20" i="24"/>
  <c r="A20" i="24"/>
  <c r="N19" i="24"/>
  <c r="H19" i="24"/>
  <c r="D19" i="24"/>
  <c r="A19" i="24"/>
  <c r="H18" i="24"/>
  <c r="D18" i="24"/>
  <c r="A18" i="24"/>
  <c r="H17" i="24"/>
  <c r="D17" i="24"/>
  <c r="A17" i="24"/>
  <c r="H16" i="24"/>
  <c r="D16" i="24"/>
  <c r="A16" i="24"/>
  <c r="H15" i="24"/>
  <c r="D15" i="24"/>
  <c r="A15" i="24"/>
  <c r="H14" i="24"/>
  <c r="D14" i="24"/>
  <c r="A14" i="24"/>
  <c r="H13" i="24"/>
  <c r="D13" i="24"/>
  <c r="A13" i="24"/>
  <c r="H12" i="24"/>
  <c r="D12" i="24"/>
  <c r="A12" i="24"/>
  <c r="H11" i="24"/>
  <c r="D11" i="24"/>
  <c r="A11" i="24"/>
  <c r="H10" i="24"/>
  <c r="D10" i="24"/>
  <c r="A10" i="24"/>
  <c r="H9" i="24"/>
  <c r="D9" i="24"/>
  <c r="A9" i="24"/>
  <c r="H8" i="24"/>
  <c r="D8" i="24"/>
  <c r="A8" i="24"/>
  <c r="H7" i="24"/>
  <c r="D7" i="24"/>
  <c r="A7" i="24"/>
  <c r="H6" i="24"/>
  <c r="D6" i="24"/>
  <c r="A6" i="24"/>
  <c r="H5" i="24"/>
  <c r="D5" i="24"/>
  <c r="A5" i="24"/>
  <c r="A5" i="35"/>
  <c r="D5" i="35"/>
  <c r="H5" i="35"/>
  <c r="A6" i="35"/>
  <c r="D6" i="35"/>
  <c r="H6" i="35"/>
  <c r="A7" i="35"/>
  <c r="D7" i="35"/>
  <c r="H7" i="35"/>
  <c r="A8" i="35"/>
  <c r="D8" i="35"/>
  <c r="H8" i="35"/>
  <c r="A9" i="35"/>
  <c r="D9" i="35"/>
  <c r="H9" i="35"/>
  <c r="A10" i="35"/>
  <c r="D10" i="35"/>
  <c r="H10" i="35"/>
  <c r="A11" i="35"/>
  <c r="D11" i="35"/>
  <c r="H11" i="35"/>
  <c r="A12" i="35"/>
  <c r="D12" i="35"/>
  <c r="H12" i="35"/>
  <c r="A13" i="35"/>
  <c r="D13" i="35"/>
  <c r="H13" i="35"/>
  <c r="A14" i="35"/>
  <c r="D14" i="35"/>
  <c r="H14" i="35"/>
  <c r="A15" i="35"/>
  <c r="D15" i="35"/>
  <c r="H15" i="35"/>
  <c r="A16" i="35"/>
  <c r="D16" i="35"/>
  <c r="H16" i="35"/>
  <c r="A17" i="35"/>
  <c r="D17" i="35"/>
  <c r="H17" i="35"/>
  <c r="A18" i="35"/>
  <c r="D18" i="35"/>
  <c r="H18" i="35"/>
  <c r="A19" i="35"/>
  <c r="D19" i="35"/>
  <c r="H19" i="35"/>
  <c r="N19" i="35"/>
  <c r="N26" i="35" s="1"/>
  <c r="A20" i="35"/>
  <c r="D20" i="35"/>
  <c r="H20" i="35"/>
  <c r="A21" i="35"/>
  <c r="D21" i="35"/>
  <c r="H21" i="35"/>
  <c r="A22" i="35"/>
  <c r="D22" i="35"/>
  <c r="H22" i="35"/>
  <c r="A23" i="35"/>
  <c r="D23" i="35"/>
  <c r="H23" i="35"/>
  <c r="A24" i="35"/>
  <c r="D24" i="35"/>
  <c r="H24" i="35"/>
  <c r="A25" i="35"/>
  <c r="D25" i="35"/>
  <c r="H25" i="35"/>
  <c r="A26" i="35"/>
  <c r="D26" i="35"/>
  <c r="H26" i="35"/>
  <c r="A27" i="35"/>
  <c r="D27" i="35"/>
  <c r="H27" i="35"/>
  <c r="A28" i="35"/>
  <c r="D28" i="35"/>
  <c r="H28" i="35"/>
  <c r="A29" i="35"/>
  <c r="D29" i="35"/>
  <c r="H29" i="35"/>
  <c r="A30" i="35"/>
  <c r="D30" i="35"/>
  <c r="H30" i="35"/>
  <c r="A31" i="35"/>
  <c r="D31" i="35"/>
  <c r="H31" i="35"/>
  <c r="A32" i="35"/>
  <c r="D32" i="35"/>
  <c r="H32" i="35"/>
  <c r="A33" i="35"/>
  <c r="D33" i="35"/>
  <c r="H33" i="35"/>
  <c r="A34" i="35"/>
  <c r="D34" i="35"/>
  <c r="H34" i="35"/>
  <c r="A35" i="35"/>
  <c r="D35" i="35"/>
  <c r="H35" i="35"/>
  <c r="Q36" i="35"/>
  <c r="R36" i="35"/>
  <c r="R38" i="35" s="1"/>
  <c r="S36" i="35"/>
  <c r="S38" i="35" s="1"/>
  <c r="T36" i="35"/>
  <c r="T38" i="35" s="1"/>
  <c r="U36" i="35"/>
  <c r="U38" i="35" s="1"/>
  <c r="V36" i="35"/>
  <c r="V38" i="35" s="1"/>
  <c r="W36" i="35"/>
  <c r="W38" i="35" s="1"/>
  <c r="X36" i="35"/>
  <c r="Y36" i="35"/>
  <c r="Y38" i="35" s="1"/>
  <c r="Z36" i="35"/>
  <c r="Z38" i="35" s="1"/>
  <c r="AA36" i="35"/>
  <c r="AA38" i="35" s="1"/>
  <c r="AB36" i="35"/>
  <c r="AB38" i="35" s="1"/>
  <c r="AC36" i="35"/>
  <c r="AD36" i="35"/>
  <c r="AD38" i="35" s="1"/>
  <c r="AE36" i="35"/>
  <c r="AE38" i="35" s="1"/>
  <c r="AF36" i="35"/>
  <c r="AG36" i="35"/>
  <c r="AH36" i="35"/>
  <c r="AI36" i="35"/>
  <c r="AI38" i="35" s="1"/>
  <c r="AJ36" i="35"/>
  <c r="AK36" i="35"/>
  <c r="AL36" i="35"/>
  <c r="AL38" i="35" s="1"/>
  <c r="AM36" i="35"/>
  <c r="AM38" i="35" s="1"/>
  <c r="AN36" i="35"/>
  <c r="AN38" i="35" s="1"/>
  <c r="AO36" i="35"/>
  <c r="AO38" i="35" s="1"/>
  <c r="AP36" i="35"/>
  <c r="AP38" i="35" s="1"/>
  <c r="AQ36" i="35"/>
  <c r="AQ38" i="35" s="1"/>
  <c r="AR36" i="35"/>
  <c r="AR38" i="35" s="1"/>
  <c r="AS36" i="35"/>
  <c r="AT36" i="35"/>
  <c r="AT38" i="35" s="1"/>
  <c r="AU36" i="35"/>
  <c r="AU38" i="35" s="1"/>
  <c r="AV36" i="35"/>
  <c r="AV38" i="35" s="1"/>
  <c r="AW36" i="35"/>
  <c r="B37" i="35"/>
  <c r="C37" i="35"/>
  <c r="E37" i="35"/>
  <c r="F37" i="35"/>
  <c r="G37" i="35"/>
  <c r="I37" i="35"/>
  <c r="J37" i="35" s="1"/>
  <c r="Q38" i="35"/>
  <c r="X38" i="35"/>
  <c r="AC38" i="35"/>
  <c r="AF38" i="35"/>
  <c r="AG38" i="35"/>
  <c r="AH38" i="35"/>
  <c r="AJ38" i="35"/>
  <c r="AK38" i="35"/>
  <c r="AS38" i="35"/>
  <c r="AW38" i="35"/>
  <c r="H41" i="34"/>
  <c r="H39" i="35" l="1"/>
  <c r="H37" i="24"/>
  <c r="D37" i="24"/>
  <c r="N27" i="24" s="1"/>
  <c r="H41" i="35"/>
  <c r="AX38" i="35"/>
  <c r="AX36" i="35"/>
  <c r="D37" i="35"/>
  <c r="Q38" i="24"/>
  <c r="H37" i="35"/>
  <c r="N25" i="35" s="1"/>
  <c r="F37" i="34"/>
  <c r="E37" i="34"/>
  <c r="A15" i="34"/>
  <c r="AX5" i="34"/>
  <c r="AX6" i="34"/>
  <c r="AX7" i="34"/>
  <c r="AX8" i="34"/>
  <c r="AX9" i="34"/>
  <c r="AX10" i="34"/>
  <c r="AX11" i="34"/>
  <c r="AX12" i="34"/>
  <c r="AX13" i="34"/>
  <c r="AX14" i="34"/>
  <c r="AX15" i="34"/>
  <c r="AX16" i="34"/>
  <c r="AX17" i="34"/>
  <c r="AX18" i="34"/>
  <c r="AX19" i="34"/>
  <c r="AX20" i="34"/>
  <c r="AX21" i="34"/>
  <c r="AX22" i="34"/>
  <c r="AX23" i="34"/>
  <c r="AX24" i="34"/>
  <c r="AX25" i="34"/>
  <c r="AX26" i="34"/>
  <c r="AX27" i="34"/>
  <c r="AX28" i="34"/>
  <c r="AX29" i="34"/>
  <c r="AX30" i="34"/>
  <c r="AX31" i="34"/>
  <c r="AX32" i="34"/>
  <c r="AX33" i="34"/>
  <c r="AX34" i="34"/>
  <c r="AX35" i="34"/>
  <c r="B46" i="34"/>
  <c r="I37" i="34"/>
  <c r="J37" i="34" s="1"/>
  <c r="G37" i="34"/>
  <c r="C37" i="34"/>
  <c r="B37" i="34"/>
  <c r="AW36" i="34"/>
  <c r="AW38" i="34" s="1"/>
  <c r="AV36" i="34"/>
  <c r="AV38" i="34" s="1"/>
  <c r="AU36" i="34"/>
  <c r="AU38" i="34" s="1"/>
  <c r="AT36" i="34"/>
  <c r="AT38" i="34" s="1"/>
  <c r="AS36" i="34"/>
  <c r="AS38" i="34" s="1"/>
  <c r="AR36" i="34"/>
  <c r="AR38" i="34" s="1"/>
  <c r="AQ36" i="34"/>
  <c r="AQ38" i="34" s="1"/>
  <c r="AP36" i="34"/>
  <c r="AP38" i="34" s="1"/>
  <c r="AO36" i="34"/>
  <c r="AO38" i="34" s="1"/>
  <c r="AN36" i="34"/>
  <c r="AN38" i="34" s="1"/>
  <c r="AM36" i="34"/>
  <c r="AM38" i="34" s="1"/>
  <c r="AL36" i="34"/>
  <c r="AL38" i="34" s="1"/>
  <c r="AK36" i="34"/>
  <c r="AK38" i="34" s="1"/>
  <c r="AJ36" i="34"/>
  <c r="AJ38" i="34" s="1"/>
  <c r="AI36" i="34"/>
  <c r="AI38" i="34" s="1"/>
  <c r="AH36" i="34"/>
  <c r="AH38" i="34" s="1"/>
  <c r="AG36" i="34"/>
  <c r="AG38" i="34" s="1"/>
  <c r="AF36" i="34"/>
  <c r="AF38" i="34" s="1"/>
  <c r="AE36" i="34"/>
  <c r="AE38" i="34" s="1"/>
  <c r="AD36" i="34"/>
  <c r="AD38" i="34" s="1"/>
  <c r="AC36" i="34"/>
  <c r="AC38" i="34" s="1"/>
  <c r="AB36" i="34"/>
  <c r="AB38" i="34" s="1"/>
  <c r="AA36" i="34"/>
  <c r="AA38" i="34" s="1"/>
  <c r="Z36" i="34"/>
  <c r="Z38" i="34" s="1"/>
  <c r="Y36" i="34"/>
  <c r="Y38" i="34" s="1"/>
  <c r="X36" i="34"/>
  <c r="X38" i="34" s="1"/>
  <c r="W36" i="34"/>
  <c r="W38" i="34" s="1"/>
  <c r="V36" i="34"/>
  <c r="V38" i="34" s="1"/>
  <c r="U36" i="34"/>
  <c r="U38" i="34" s="1"/>
  <c r="T36" i="34"/>
  <c r="T38" i="34" s="1"/>
  <c r="S36" i="34"/>
  <c r="S38" i="34" s="1"/>
  <c r="R36" i="34"/>
  <c r="Q36" i="34"/>
  <c r="Q38" i="34" s="1"/>
  <c r="H35" i="34"/>
  <c r="D35" i="34"/>
  <c r="A35" i="34"/>
  <c r="H34" i="34"/>
  <c r="D34" i="34"/>
  <c r="A34" i="34"/>
  <c r="H33" i="34"/>
  <c r="D33" i="34"/>
  <c r="A33" i="34"/>
  <c r="H32" i="34"/>
  <c r="D32" i="34"/>
  <c r="A32" i="34"/>
  <c r="H31" i="34"/>
  <c r="D31" i="34"/>
  <c r="A31" i="34"/>
  <c r="H30" i="34"/>
  <c r="D30" i="34"/>
  <c r="A30" i="34"/>
  <c r="H29" i="34"/>
  <c r="D29" i="34"/>
  <c r="A29" i="34"/>
  <c r="H28" i="34"/>
  <c r="D28" i="34"/>
  <c r="A28" i="34"/>
  <c r="H27" i="34"/>
  <c r="D27" i="34"/>
  <c r="A27" i="34"/>
  <c r="H26" i="34"/>
  <c r="D26" i="34"/>
  <c r="A26" i="34"/>
  <c r="H25" i="34"/>
  <c r="D25" i="34"/>
  <c r="A25" i="34"/>
  <c r="H24" i="34"/>
  <c r="D24" i="34"/>
  <c r="A24" i="34"/>
  <c r="H23" i="34"/>
  <c r="D23" i="34"/>
  <c r="A23" i="34"/>
  <c r="H22" i="34"/>
  <c r="D22" i="34"/>
  <c r="A22" i="34"/>
  <c r="H21" i="34"/>
  <c r="D21" i="34"/>
  <c r="A21" i="34"/>
  <c r="H20" i="34"/>
  <c r="D20" i="34"/>
  <c r="A20" i="34"/>
  <c r="N19" i="34"/>
  <c r="N26" i="34" s="1"/>
  <c r="H19" i="34"/>
  <c r="D19" i="34"/>
  <c r="A19" i="34"/>
  <c r="H18" i="34"/>
  <c r="D18" i="34"/>
  <c r="A18" i="34"/>
  <c r="H17" i="34"/>
  <c r="D17" i="34"/>
  <c r="A17" i="34"/>
  <c r="H16" i="34"/>
  <c r="D16" i="34"/>
  <c r="A16" i="34"/>
  <c r="H15" i="34"/>
  <c r="D15" i="34"/>
  <c r="H14" i="34"/>
  <c r="D14" i="34"/>
  <c r="A14" i="34"/>
  <c r="H13" i="34"/>
  <c r="D13" i="34"/>
  <c r="A13" i="34"/>
  <c r="H12" i="34"/>
  <c r="D12" i="34"/>
  <c r="A12" i="34"/>
  <c r="H11" i="34"/>
  <c r="D11" i="34"/>
  <c r="A11" i="34"/>
  <c r="H10" i="34"/>
  <c r="D10" i="34"/>
  <c r="A10" i="34"/>
  <c r="H9" i="34"/>
  <c r="D9" i="34"/>
  <c r="A9" i="34"/>
  <c r="H8" i="34"/>
  <c r="D8" i="34"/>
  <c r="A8" i="34"/>
  <c r="H7" i="34"/>
  <c r="D7" i="34"/>
  <c r="A7" i="34"/>
  <c r="H6" i="34"/>
  <c r="D6" i="34"/>
  <c r="A6" i="34"/>
  <c r="H5" i="34"/>
  <c r="H37" i="34" s="1"/>
  <c r="H39" i="34" s="1"/>
  <c r="D5" i="34"/>
  <c r="A5" i="34"/>
  <c r="H43" i="33"/>
  <c r="B46" i="33"/>
  <c r="N24" i="35" l="1"/>
  <c r="D37" i="34"/>
  <c r="N24" i="34" s="1"/>
  <c r="AX36" i="34"/>
  <c r="N25" i="34"/>
  <c r="R38" i="34"/>
  <c r="AW6" i="33"/>
  <c r="AW7" i="33"/>
  <c r="AW8" i="33"/>
  <c r="AW9" i="33"/>
  <c r="AW10" i="33"/>
  <c r="AW11" i="33"/>
  <c r="AW12" i="33"/>
  <c r="AW13" i="33"/>
  <c r="AW14" i="33"/>
  <c r="AW15" i="33"/>
  <c r="AW16" i="33"/>
  <c r="AW17" i="33"/>
  <c r="AW18" i="33"/>
  <c r="AW19" i="33"/>
  <c r="AW20" i="33"/>
  <c r="AW21" i="33"/>
  <c r="AW22" i="33"/>
  <c r="AW23" i="33"/>
  <c r="AW24" i="33"/>
  <c r="AW25" i="33"/>
  <c r="AW26" i="33"/>
  <c r="AW27" i="33"/>
  <c r="AW28" i="33"/>
  <c r="AW29" i="33"/>
  <c r="AW30" i="33"/>
  <c r="AW31" i="33"/>
  <c r="AW32" i="33"/>
  <c r="AW33" i="33"/>
  <c r="AW34" i="33"/>
  <c r="AW35" i="33"/>
  <c r="AW5" i="33"/>
  <c r="N27" i="35" l="1"/>
  <c r="N27" i="34"/>
  <c r="H3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5" i="33"/>
  <c r="AF38" i="33" l="1"/>
  <c r="H37" i="33"/>
  <c r="H41" i="33" s="1"/>
  <c r="G37" i="33"/>
  <c r="F37" i="33"/>
  <c r="E37" i="33"/>
  <c r="C37" i="33"/>
  <c r="B37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5" i="33"/>
  <c r="N25" i="33" l="1"/>
  <c r="D37" i="33"/>
  <c r="N24" i="33" s="1"/>
  <c r="AV36" i="33"/>
  <c r="AV38" i="33" s="1"/>
  <c r="AU36" i="33"/>
  <c r="AU38" i="33" s="1"/>
  <c r="AT36" i="33"/>
  <c r="AT38" i="33" s="1"/>
  <c r="AS36" i="33"/>
  <c r="AS38" i="33" s="1"/>
  <c r="AR36" i="33"/>
  <c r="AR38" i="33" s="1"/>
  <c r="AQ36" i="33"/>
  <c r="AQ38" i="33" s="1"/>
  <c r="AP36" i="33"/>
  <c r="AP38" i="33" s="1"/>
  <c r="AO36" i="33"/>
  <c r="AO38" i="33" s="1"/>
  <c r="AN36" i="33"/>
  <c r="AN38" i="33" s="1"/>
  <c r="AM36" i="33"/>
  <c r="AM38" i="33" s="1"/>
  <c r="AL36" i="33"/>
  <c r="AL38" i="33" s="1"/>
  <c r="AK36" i="33"/>
  <c r="AK38" i="33" s="1"/>
  <c r="AJ36" i="33"/>
  <c r="AJ38" i="33" s="1"/>
  <c r="AI36" i="33"/>
  <c r="AI38" i="33" s="1"/>
  <c r="AH36" i="33"/>
  <c r="AH38" i="33" s="1"/>
  <c r="AG36" i="33"/>
  <c r="AG38" i="33" s="1"/>
  <c r="AF36" i="33"/>
  <c r="AE36" i="33"/>
  <c r="AE38" i="33" s="1"/>
  <c r="AD36" i="33"/>
  <c r="AD38" i="33" s="1"/>
  <c r="AC36" i="33"/>
  <c r="AC38" i="33" s="1"/>
  <c r="AB36" i="33"/>
  <c r="AB38" i="33" s="1"/>
  <c r="AA36" i="33"/>
  <c r="AA38" i="33" s="1"/>
  <c r="Z36" i="33"/>
  <c r="Z38" i="33" s="1"/>
  <c r="Y36" i="33"/>
  <c r="Y38" i="33" s="1"/>
  <c r="X36" i="33"/>
  <c r="X38" i="33" s="1"/>
  <c r="W36" i="33"/>
  <c r="W38" i="33" s="1"/>
  <c r="V36" i="33"/>
  <c r="V38" i="33" s="1"/>
  <c r="U36" i="33"/>
  <c r="U38" i="33" s="1"/>
  <c r="T36" i="33"/>
  <c r="T38" i="33" s="1"/>
  <c r="S36" i="33"/>
  <c r="S38" i="33" s="1"/>
  <c r="R36" i="33"/>
  <c r="R38" i="33" s="1"/>
  <c r="Q36" i="33"/>
  <c r="Q38" i="33" s="1"/>
  <c r="N19" i="33"/>
  <c r="N26" i="33" s="1"/>
  <c r="AG37" i="32"/>
  <c r="AD37" i="32"/>
  <c r="AA37" i="32"/>
  <c r="X37" i="32"/>
  <c r="U37" i="32"/>
  <c r="R37" i="32"/>
  <c r="I37" i="32"/>
  <c r="J37" i="32" s="1"/>
  <c r="G37" i="32"/>
  <c r="C37" i="32"/>
  <c r="B37" i="32"/>
  <c r="BP36" i="32"/>
  <c r="BP38" i="32" s="1"/>
  <c r="BO36" i="32"/>
  <c r="BO38" i="32" s="1"/>
  <c r="BN36" i="32"/>
  <c r="BN38" i="32" s="1"/>
  <c r="BM36" i="32"/>
  <c r="BM38" i="32" s="1"/>
  <c r="BL36" i="32"/>
  <c r="BL38" i="32" s="1"/>
  <c r="BK36" i="32"/>
  <c r="BK38" i="32" s="1"/>
  <c r="BJ36" i="32"/>
  <c r="BJ38" i="32" s="1"/>
  <c r="BI36" i="32"/>
  <c r="BI38" i="32" s="1"/>
  <c r="BH36" i="32"/>
  <c r="BH38" i="32" s="1"/>
  <c r="BG36" i="32"/>
  <c r="BG38" i="32" s="1"/>
  <c r="BF36" i="32"/>
  <c r="BF38" i="32" s="1"/>
  <c r="BE36" i="32"/>
  <c r="BD36" i="32"/>
  <c r="BD38" i="32" s="1"/>
  <c r="BC36" i="32"/>
  <c r="BC38" i="32" s="1"/>
  <c r="BB36" i="32"/>
  <c r="BB38" i="32" s="1"/>
  <c r="BA36" i="32"/>
  <c r="BA38" i="32" s="1"/>
  <c r="AZ36" i="32"/>
  <c r="AZ38" i="32" s="1"/>
  <c r="AY36" i="32"/>
  <c r="AY38" i="32" s="1"/>
  <c r="AX36" i="32"/>
  <c r="AX38" i="32" s="1"/>
  <c r="AW36" i="32"/>
  <c r="AW38" i="32" s="1"/>
  <c r="AV36" i="32"/>
  <c r="AV38" i="32" s="1"/>
  <c r="AU36" i="32"/>
  <c r="AU38" i="32" s="1"/>
  <c r="AT36" i="32"/>
  <c r="AT38" i="32" s="1"/>
  <c r="AS36" i="32"/>
  <c r="AS38" i="32" s="1"/>
  <c r="AR36" i="32"/>
  <c r="AR38" i="32" s="1"/>
  <c r="AQ36" i="32"/>
  <c r="AQ38" i="32" s="1"/>
  <c r="AP36" i="32"/>
  <c r="AP38" i="32" s="1"/>
  <c r="AO36" i="32"/>
  <c r="AO38" i="32" s="1"/>
  <c r="AN36" i="32"/>
  <c r="AN38" i="32" s="1"/>
  <c r="AM36" i="32"/>
  <c r="AM38" i="32" s="1"/>
  <c r="AL36" i="32"/>
  <c r="AL38" i="32" s="1"/>
  <c r="AK36" i="32"/>
  <c r="AK38" i="32" s="1"/>
  <c r="J35" i="32"/>
  <c r="H35" i="32"/>
  <c r="D35" i="32"/>
  <c r="A35" i="32"/>
  <c r="AJ35" i="32" s="1"/>
  <c r="J34" i="32"/>
  <c r="H34" i="32"/>
  <c r="D34" i="32"/>
  <c r="A34" i="32"/>
  <c r="AJ34" i="32" s="1"/>
  <c r="J33" i="32"/>
  <c r="H33" i="32"/>
  <c r="D33" i="32"/>
  <c r="A33" i="32"/>
  <c r="P33" i="32" s="1"/>
  <c r="J32" i="32"/>
  <c r="H32" i="32"/>
  <c r="D32" i="32"/>
  <c r="A32" i="32"/>
  <c r="P32" i="32" s="1"/>
  <c r="AJ32" i="32" s="1"/>
  <c r="J31" i="32"/>
  <c r="H31" i="32"/>
  <c r="D31" i="32"/>
  <c r="A31" i="32"/>
  <c r="P31" i="32" s="1"/>
  <c r="AJ31" i="32" s="1"/>
  <c r="J30" i="32"/>
  <c r="H30" i="32"/>
  <c r="D30" i="32"/>
  <c r="A30" i="32"/>
  <c r="P30" i="32" s="1"/>
  <c r="AJ30" i="32" s="1"/>
  <c r="J29" i="32"/>
  <c r="H29" i="32"/>
  <c r="D29" i="32"/>
  <c r="A29" i="32"/>
  <c r="P29" i="32" s="1"/>
  <c r="AJ29" i="32" s="1"/>
  <c r="N28" i="32"/>
  <c r="N34" i="32" s="1"/>
  <c r="J28" i="32"/>
  <c r="H28" i="32"/>
  <c r="D28" i="32"/>
  <c r="A28" i="32"/>
  <c r="P28" i="32" s="1"/>
  <c r="AJ28" i="32" s="1"/>
  <c r="J27" i="32"/>
  <c r="H27" i="32"/>
  <c r="D27" i="32"/>
  <c r="A27" i="32"/>
  <c r="P27" i="32" s="1"/>
  <c r="AJ27" i="32" s="1"/>
  <c r="J26" i="32"/>
  <c r="H26" i="32"/>
  <c r="D26" i="32"/>
  <c r="A26" i="32"/>
  <c r="P26" i="32" s="1"/>
  <c r="AJ26" i="32" s="1"/>
  <c r="J25" i="32"/>
  <c r="H25" i="32"/>
  <c r="D25" i="32"/>
  <c r="A25" i="32"/>
  <c r="P25" i="32" s="1"/>
  <c r="AJ25" i="32" s="1"/>
  <c r="J24" i="32"/>
  <c r="D24" i="32"/>
  <c r="A24" i="32"/>
  <c r="P24" i="32" s="1"/>
  <c r="AJ24" i="32" s="1"/>
  <c r="J23" i="32"/>
  <c r="H23" i="32"/>
  <c r="D23" i="32"/>
  <c r="A23" i="32"/>
  <c r="P23" i="32" s="1"/>
  <c r="AJ23" i="32" s="1"/>
  <c r="J22" i="32"/>
  <c r="F22" i="32"/>
  <c r="H22" i="32" s="1"/>
  <c r="D22" i="32"/>
  <c r="A22" i="32"/>
  <c r="P22" i="32" s="1"/>
  <c r="AJ22" i="32" s="1"/>
  <c r="J21" i="32"/>
  <c r="E21" i="32"/>
  <c r="H21" i="32" s="1"/>
  <c r="D21" i="32"/>
  <c r="A21" i="32"/>
  <c r="P21" i="32" s="1"/>
  <c r="AJ21" i="32" s="1"/>
  <c r="J20" i="32"/>
  <c r="H20" i="32"/>
  <c r="D20" i="32"/>
  <c r="A20" i="32"/>
  <c r="P20" i="32" s="1"/>
  <c r="AJ20" i="32" s="1"/>
  <c r="J19" i="32"/>
  <c r="H19" i="32"/>
  <c r="H24" i="32" s="1"/>
  <c r="D19" i="32"/>
  <c r="A19" i="32"/>
  <c r="P19" i="32" s="1"/>
  <c r="AJ19" i="32" s="1"/>
  <c r="J18" i="32"/>
  <c r="H18" i="32"/>
  <c r="D18" i="32"/>
  <c r="A18" i="32"/>
  <c r="P18" i="32" s="1"/>
  <c r="AJ18" i="32" s="1"/>
  <c r="J17" i="32"/>
  <c r="H17" i="32"/>
  <c r="F17" i="32"/>
  <c r="D17" i="32"/>
  <c r="A17" i="32"/>
  <c r="P17" i="32" s="1"/>
  <c r="AJ17" i="32" s="1"/>
  <c r="J16" i="32"/>
  <c r="H16" i="32"/>
  <c r="D16" i="32"/>
  <c r="A16" i="32"/>
  <c r="P16" i="32" s="1"/>
  <c r="AJ16" i="32" s="1"/>
  <c r="J15" i="32"/>
  <c r="H15" i="32"/>
  <c r="D15" i="32"/>
  <c r="A15" i="32"/>
  <c r="P15" i="32" s="1"/>
  <c r="AJ15" i="32" s="1"/>
  <c r="J14" i="32"/>
  <c r="E14" i="32"/>
  <c r="D14" i="32"/>
  <c r="A14" i="32"/>
  <c r="P14" i="32" s="1"/>
  <c r="AJ14" i="32" s="1"/>
  <c r="J13" i="32"/>
  <c r="H13" i="32"/>
  <c r="D13" i="32"/>
  <c r="A13" i="32"/>
  <c r="P13" i="32" s="1"/>
  <c r="AJ13" i="32" s="1"/>
  <c r="J12" i="32"/>
  <c r="H12" i="32"/>
  <c r="D12" i="32"/>
  <c r="A12" i="32"/>
  <c r="P12" i="32" s="1"/>
  <c r="AJ12" i="32" s="1"/>
  <c r="J11" i="32"/>
  <c r="H11" i="32"/>
  <c r="D11" i="32"/>
  <c r="A11" i="32"/>
  <c r="P11" i="32" s="1"/>
  <c r="AJ11" i="32" s="1"/>
  <c r="J10" i="32"/>
  <c r="H10" i="32"/>
  <c r="D10" i="32"/>
  <c r="A10" i="32"/>
  <c r="P10" i="32" s="1"/>
  <c r="AJ10" i="32" s="1"/>
  <c r="J9" i="32"/>
  <c r="H9" i="32"/>
  <c r="D9" i="32"/>
  <c r="A9" i="32"/>
  <c r="P9" i="32" s="1"/>
  <c r="AJ9" i="32" s="1"/>
  <c r="J8" i="32"/>
  <c r="H8" i="32"/>
  <c r="D8" i="32"/>
  <c r="A8" i="32"/>
  <c r="P8" i="32" s="1"/>
  <c r="AJ8" i="32" s="1"/>
  <c r="J7" i="32"/>
  <c r="H7" i="32"/>
  <c r="D7" i="32"/>
  <c r="A7" i="32"/>
  <c r="P7" i="32" s="1"/>
  <c r="AJ7" i="32" s="1"/>
  <c r="J6" i="32"/>
  <c r="H6" i="32"/>
  <c r="D6" i="32"/>
  <c r="A6" i="32"/>
  <c r="P6" i="32" s="1"/>
  <c r="AJ6" i="32" s="1"/>
  <c r="J5" i="32"/>
  <c r="H5" i="32"/>
  <c r="D5" i="32"/>
  <c r="A5" i="32"/>
  <c r="P5" i="32" s="1"/>
  <c r="AJ5" i="32" s="1"/>
  <c r="B60" i="32"/>
  <c r="E34" i="31"/>
  <c r="D37" i="32" l="1"/>
  <c r="N32" i="32" s="1"/>
  <c r="E37" i="32"/>
  <c r="F37" i="32"/>
  <c r="AJ33" i="32"/>
  <c r="P35" i="32"/>
  <c r="AW36" i="33"/>
  <c r="N27" i="33"/>
  <c r="H14" i="32"/>
  <c r="H37" i="32" s="1"/>
  <c r="N33" i="32" s="1"/>
  <c r="N35" i="32" s="1"/>
  <c r="P34" i="32"/>
  <c r="BL36" i="31"/>
  <c r="BM36" i="31"/>
  <c r="BN36" i="31"/>
  <c r="BK36" i="31"/>
  <c r="E27" i="31"/>
  <c r="BJ36" i="31"/>
  <c r="BH36" i="31"/>
  <c r="BI36" i="31" l="1"/>
  <c r="BG36" i="31"/>
  <c r="E5" i="31" l="1"/>
  <c r="AG37" i="31"/>
  <c r="AD37" i="31"/>
  <c r="AA37" i="31"/>
  <c r="X37" i="31"/>
  <c r="U37" i="31"/>
  <c r="R37" i="31"/>
  <c r="I37" i="31"/>
  <c r="J37" i="31" s="1"/>
  <c r="G37" i="31"/>
  <c r="F37" i="31"/>
  <c r="E37" i="31"/>
  <c r="C37" i="31"/>
  <c r="B37" i="31"/>
  <c r="BP36" i="31"/>
  <c r="BO36" i="31"/>
  <c r="BF36" i="31"/>
  <c r="BE36" i="31"/>
  <c r="BD36" i="31"/>
  <c r="BC36" i="31"/>
  <c r="BB36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J35" i="31"/>
  <c r="H35" i="31"/>
  <c r="D35" i="31"/>
  <c r="A35" i="31"/>
  <c r="P35" i="31" s="1"/>
  <c r="J34" i="31"/>
  <c r="H34" i="31"/>
  <c r="D34" i="31"/>
  <c r="A34" i="31"/>
  <c r="AJ34" i="31" s="1"/>
  <c r="J33" i="31"/>
  <c r="H33" i="31"/>
  <c r="D33" i="31"/>
  <c r="A33" i="31"/>
  <c r="P33" i="31" s="1"/>
  <c r="J32" i="31"/>
  <c r="H32" i="31"/>
  <c r="D32" i="31"/>
  <c r="A32" i="31"/>
  <c r="P32" i="31" s="1"/>
  <c r="AJ32" i="31" s="1"/>
  <c r="J31" i="31"/>
  <c r="H31" i="31"/>
  <c r="D31" i="31"/>
  <c r="A31" i="31"/>
  <c r="P31" i="31" s="1"/>
  <c r="AJ31" i="31" s="1"/>
  <c r="J30" i="31"/>
  <c r="H30" i="31"/>
  <c r="D30" i="31"/>
  <c r="A30" i="31"/>
  <c r="P30" i="31" s="1"/>
  <c r="AJ30" i="31" s="1"/>
  <c r="J29" i="31"/>
  <c r="H29" i="31"/>
  <c r="D29" i="31"/>
  <c r="A29" i="31"/>
  <c r="P29" i="31" s="1"/>
  <c r="AJ29" i="31" s="1"/>
  <c r="N28" i="31"/>
  <c r="N34" i="31" s="1"/>
  <c r="J28" i="31"/>
  <c r="H28" i="31"/>
  <c r="D28" i="31"/>
  <c r="A28" i="31"/>
  <c r="P28" i="31" s="1"/>
  <c r="AJ28" i="31" s="1"/>
  <c r="J27" i="31"/>
  <c r="H27" i="31"/>
  <c r="D27" i="31"/>
  <c r="A27" i="31"/>
  <c r="P27" i="31" s="1"/>
  <c r="AJ27" i="31" s="1"/>
  <c r="J26" i="31"/>
  <c r="H26" i="31"/>
  <c r="D26" i="31"/>
  <c r="A26" i="31"/>
  <c r="P26" i="31" s="1"/>
  <c r="AJ26" i="31" s="1"/>
  <c r="J25" i="31"/>
  <c r="H25" i="31"/>
  <c r="D25" i="31"/>
  <c r="A25" i="31"/>
  <c r="P25" i="31" s="1"/>
  <c r="AJ25" i="31" s="1"/>
  <c r="J24" i="31"/>
  <c r="D24" i="31"/>
  <c r="A24" i="31"/>
  <c r="P24" i="31" s="1"/>
  <c r="AJ24" i="31" s="1"/>
  <c r="J23" i="31"/>
  <c r="H23" i="31"/>
  <c r="D23" i="31"/>
  <c r="A23" i="31"/>
  <c r="P23" i="31" s="1"/>
  <c r="AJ23" i="31" s="1"/>
  <c r="J22" i="31"/>
  <c r="H22" i="31"/>
  <c r="D22" i="31"/>
  <c r="A22" i="31"/>
  <c r="P22" i="31" s="1"/>
  <c r="AJ22" i="31" s="1"/>
  <c r="J21" i="31"/>
  <c r="H21" i="31"/>
  <c r="D21" i="31"/>
  <c r="A21" i="31"/>
  <c r="P21" i="31" s="1"/>
  <c r="AJ21" i="31" s="1"/>
  <c r="J20" i="31"/>
  <c r="H20" i="31"/>
  <c r="D20" i="31"/>
  <c r="A20" i="31"/>
  <c r="P20" i="31" s="1"/>
  <c r="AJ20" i="31" s="1"/>
  <c r="J19" i="31"/>
  <c r="H19" i="31"/>
  <c r="H24" i="31" s="1"/>
  <c r="D19" i="31"/>
  <c r="A19" i="31"/>
  <c r="P19" i="31" s="1"/>
  <c r="AJ19" i="31" s="1"/>
  <c r="J18" i="31"/>
  <c r="H18" i="31"/>
  <c r="D18" i="31"/>
  <c r="A18" i="31"/>
  <c r="P18" i="31" s="1"/>
  <c r="AJ18" i="31" s="1"/>
  <c r="J17" i="31"/>
  <c r="H17" i="31"/>
  <c r="D17" i="31"/>
  <c r="A17" i="31"/>
  <c r="P17" i="31" s="1"/>
  <c r="AJ17" i="31" s="1"/>
  <c r="J16" i="31"/>
  <c r="H16" i="31"/>
  <c r="D16" i="31"/>
  <c r="A16" i="31"/>
  <c r="P16" i="31" s="1"/>
  <c r="AJ16" i="31" s="1"/>
  <c r="J15" i="31"/>
  <c r="H15" i="31"/>
  <c r="D15" i="31"/>
  <c r="A15" i="31"/>
  <c r="P15" i="31" s="1"/>
  <c r="AJ15" i="31" s="1"/>
  <c r="J14" i="31"/>
  <c r="H14" i="31"/>
  <c r="D14" i="31"/>
  <c r="A14" i="31"/>
  <c r="P14" i="31" s="1"/>
  <c r="AJ14" i="31" s="1"/>
  <c r="J13" i="31"/>
  <c r="H13" i="31"/>
  <c r="D13" i="31"/>
  <c r="A13" i="31"/>
  <c r="P13" i="31" s="1"/>
  <c r="AJ13" i="31" s="1"/>
  <c r="J12" i="31"/>
  <c r="H12" i="31"/>
  <c r="D12" i="31"/>
  <c r="A12" i="31"/>
  <c r="P12" i="31" s="1"/>
  <c r="AJ12" i="31" s="1"/>
  <c r="J11" i="31"/>
  <c r="H11" i="31"/>
  <c r="D11" i="31"/>
  <c r="A11" i="31"/>
  <c r="P11" i="31" s="1"/>
  <c r="AJ11" i="31" s="1"/>
  <c r="J10" i="31"/>
  <c r="H10" i="31"/>
  <c r="D10" i="31"/>
  <c r="A10" i="31"/>
  <c r="P10" i="31" s="1"/>
  <c r="AJ10" i="31" s="1"/>
  <c r="J9" i="31"/>
  <c r="H9" i="31"/>
  <c r="D9" i="31"/>
  <c r="A9" i="31"/>
  <c r="P9" i="31" s="1"/>
  <c r="AJ9" i="31" s="1"/>
  <c r="J8" i="31"/>
  <c r="H8" i="31"/>
  <c r="D8" i="31"/>
  <c r="A8" i="31"/>
  <c r="P8" i="31" s="1"/>
  <c r="AJ8" i="31" s="1"/>
  <c r="J7" i="31"/>
  <c r="H7" i="31"/>
  <c r="D7" i="31"/>
  <c r="A7" i="31"/>
  <c r="P7" i="31" s="1"/>
  <c r="AJ7" i="31" s="1"/>
  <c r="J6" i="31"/>
  <c r="H6" i="31"/>
  <c r="D6" i="31"/>
  <c r="A6" i="31"/>
  <c r="P6" i="31" s="1"/>
  <c r="AJ6" i="31" s="1"/>
  <c r="J5" i="31"/>
  <c r="H5" i="31"/>
  <c r="D5" i="31"/>
  <c r="A5" i="31"/>
  <c r="P5" i="31" s="1"/>
  <c r="AJ5" i="31" s="1"/>
  <c r="C37" i="30"/>
  <c r="BS36" i="30"/>
  <c r="F29" i="30"/>
  <c r="BH36" i="30"/>
  <c r="BQ36" i="30"/>
  <c r="B22" i="30"/>
  <c r="E22" i="30"/>
  <c r="BO36" i="30"/>
  <c r="BP36" i="30"/>
  <c r="E16" i="30"/>
  <c r="AJ33" i="31" l="1"/>
  <c r="H37" i="31"/>
  <c r="N33" i="31" s="1"/>
  <c r="D37" i="31"/>
  <c r="N32" i="31" s="1"/>
  <c r="P34" i="31"/>
  <c r="AJ35" i="31"/>
  <c r="BR36" i="30"/>
  <c r="BN36" i="30"/>
  <c r="F14" i="30"/>
  <c r="E13" i="30"/>
  <c r="E37" i="30" s="1"/>
  <c r="BL36" i="30"/>
  <c r="N35" i="31" l="1"/>
  <c r="BG36" i="30"/>
  <c r="BI36" i="30"/>
  <c r="BJ36" i="30"/>
  <c r="BK36" i="30"/>
  <c r="BM36" i="30"/>
  <c r="BT36" i="30"/>
  <c r="BU36" i="30"/>
  <c r="BV36" i="30"/>
  <c r="BQ36" i="29"/>
  <c r="BP36" i="29"/>
  <c r="AG37" i="30"/>
  <c r="AD37" i="30"/>
  <c r="AA37" i="30"/>
  <c r="X37" i="30"/>
  <c r="U37" i="30"/>
  <c r="R37" i="30"/>
  <c r="I37" i="30"/>
  <c r="J37" i="30" s="1"/>
  <c r="G37" i="30"/>
  <c r="F37" i="30"/>
  <c r="B37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J35" i="30"/>
  <c r="H35" i="30"/>
  <c r="D35" i="30"/>
  <c r="A35" i="30"/>
  <c r="AJ35" i="30" s="1"/>
  <c r="J34" i="30"/>
  <c r="H34" i="30"/>
  <c r="D34" i="30"/>
  <c r="A34" i="30"/>
  <c r="AJ34" i="30" s="1"/>
  <c r="J33" i="30"/>
  <c r="H33" i="30"/>
  <c r="D33" i="30"/>
  <c r="A33" i="30"/>
  <c r="P33" i="30" s="1"/>
  <c r="J32" i="30"/>
  <c r="H32" i="30"/>
  <c r="D32" i="30"/>
  <c r="A32" i="30"/>
  <c r="P32" i="30" s="1"/>
  <c r="AJ32" i="30" s="1"/>
  <c r="J31" i="30"/>
  <c r="H31" i="30"/>
  <c r="D31" i="30"/>
  <c r="A31" i="30"/>
  <c r="P31" i="30" s="1"/>
  <c r="AJ31" i="30" s="1"/>
  <c r="J30" i="30"/>
  <c r="H30" i="30"/>
  <c r="D30" i="30"/>
  <c r="A30" i="30"/>
  <c r="P30" i="30" s="1"/>
  <c r="AJ30" i="30" s="1"/>
  <c r="J29" i="30"/>
  <c r="H29" i="30"/>
  <c r="D29" i="30"/>
  <c r="A29" i="30"/>
  <c r="P29" i="30" s="1"/>
  <c r="AJ29" i="30" s="1"/>
  <c r="N28" i="30"/>
  <c r="N34" i="30" s="1"/>
  <c r="J28" i="30"/>
  <c r="H28" i="30"/>
  <c r="D28" i="30"/>
  <c r="A28" i="30"/>
  <c r="P28" i="30" s="1"/>
  <c r="AJ28" i="30" s="1"/>
  <c r="J27" i="30"/>
  <c r="H27" i="30"/>
  <c r="D27" i="30"/>
  <c r="A27" i="30"/>
  <c r="P27" i="30" s="1"/>
  <c r="AJ27" i="30" s="1"/>
  <c r="J26" i="30"/>
  <c r="H26" i="30"/>
  <c r="D26" i="30"/>
  <c r="A26" i="30"/>
  <c r="P26" i="30" s="1"/>
  <c r="AJ26" i="30" s="1"/>
  <c r="J25" i="30"/>
  <c r="H25" i="30"/>
  <c r="D25" i="30"/>
  <c r="A25" i="30"/>
  <c r="P25" i="30" s="1"/>
  <c r="AJ25" i="30" s="1"/>
  <c r="J24" i="30"/>
  <c r="D24" i="30"/>
  <c r="A24" i="30"/>
  <c r="P24" i="30" s="1"/>
  <c r="AJ24" i="30" s="1"/>
  <c r="J23" i="30"/>
  <c r="H23" i="30"/>
  <c r="D23" i="30"/>
  <c r="A23" i="30"/>
  <c r="P23" i="30" s="1"/>
  <c r="AJ23" i="30" s="1"/>
  <c r="J22" i="30"/>
  <c r="H22" i="30"/>
  <c r="D22" i="30"/>
  <c r="A22" i="30"/>
  <c r="P22" i="30" s="1"/>
  <c r="AJ22" i="30" s="1"/>
  <c r="J21" i="30"/>
  <c r="H21" i="30"/>
  <c r="D21" i="30"/>
  <c r="A21" i="30"/>
  <c r="P21" i="30" s="1"/>
  <c r="AJ21" i="30" s="1"/>
  <c r="J20" i="30"/>
  <c r="H20" i="30"/>
  <c r="D20" i="30"/>
  <c r="A20" i="30"/>
  <c r="P20" i="30" s="1"/>
  <c r="AJ20" i="30" s="1"/>
  <c r="J19" i="30"/>
  <c r="H19" i="30"/>
  <c r="D19" i="30"/>
  <c r="A19" i="30"/>
  <c r="P19" i="30" s="1"/>
  <c r="AJ19" i="30" s="1"/>
  <c r="J18" i="30"/>
  <c r="H18" i="30"/>
  <c r="D18" i="30"/>
  <c r="A18" i="30"/>
  <c r="P18" i="30" s="1"/>
  <c r="AJ18" i="30" s="1"/>
  <c r="J17" i="30"/>
  <c r="H17" i="30"/>
  <c r="D17" i="30"/>
  <c r="A17" i="30"/>
  <c r="P17" i="30" s="1"/>
  <c r="AJ17" i="30" s="1"/>
  <c r="J16" i="30"/>
  <c r="H16" i="30"/>
  <c r="D16" i="30"/>
  <c r="A16" i="30"/>
  <c r="P16" i="30" s="1"/>
  <c r="AJ16" i="30" s="1"/>
  <c r="J15" i="30"/>
  <c r="H15" i="30"/>
  <c r="D15" i="30"/>
  <c r="A15" i="30"/>
  <c r="P15" i="30" s="1"/>
  <c r="AJ15" i="30" s="1"/>
  <c r="J14" i="30"/>
  <c r="H14" i="30"/>
  <c r="D14" i="30"/>
  <c r="A14" i="30"/>
  <c r="P14" i="30" s="1"/>
  <c r="AJ14" i="30" s="1"/>
  <c r="J13" i="30"/>
  <c r="H13" i="30"/>
  <c r="D13" i="30"/>
  <c r="A13" i="30"/>
  <c r="P13" i="30" s="1"/>
  <c r="AJ13" i="30" s="1"/>
  <c r="J12" i="30"/>
  <c r="H12" i="30"/>
  <c r="D12" i="30"/>
  <c r="A12" i="30"/>
  <c r="P12" i="30" s="1"/>
  <c r="AJ12" i="30" s="1"/>
  <c r="J11" i="30"/>
  <c r="H11" i="30"/>
  <c r="D11" i="30"/>
  <c r="A11" i="30"/>
  <c r="P11" i="30" s="1"/>
  <c r="AJ11" i="30" s="1"/>
  <c r="J10" i="30"/>
  <c r="H10" i="30"/>
  <c r="D10" i="30"/>
  <c r="A10" i="30"/>
  <c r="P10" i="30" s="1"/>
  <c r="AJ10" i="30" s="1"/>
  <c r="J9" i="30"/>
  <c r="H9" i="30"/>
  <c r="D9" i="30"/>
  <c r="A9" i="30"/>
  <c r="P9" i="30" s="1"/>
  <c r="AJ9" i="30" s="1"/>
  <c r="J8" i="30"/>
  <c r="H8" i="30"/>
  <c r="D8" i="30"/>
  <c r="A8" i="30"/>
  <c r="P8" i="30" s="1"/>
  <c r="AJ8" i="30" s="1"/>
  <c r="J7" i="30"/>
  <c r="H7" i="30"/>
  <c r="D7" i="30"/>
  <c r="A7" i="30"/>
  <c r="P7" i="30" s="1"/>
  <c r="AJ7" i="30" s="1"/>
  <c r="J6" i="30"/>
  <c r="H6" i="30"/>
  <c r="D6" i="30"/>
  <c r="A6" i="30"/>
  <c r="P6" i="30" s="1"/>
  <c r="AJ6" i="30" s="1"/>
  <c r="J5" i="30"/>
  <c r="H5" i="30"/>
  <c r="D5" i="30"/>
  <c r="A5" i="30"/>
  <c r="P5" i="30" s="1"/>
  <c r="AJ5" i="30" s="1"/>
  <c r="BU36" i="29"/>
  <c r="BT36" i="29"/>
  <c r="BR36" i="29"/>
  <c r="BI36" i="29"/>
  <c r="D37" i="30" l="1"/>
  <c r="N32" i="30" s="1"/>
  <c r="H37" i="30"/>
  <c r="N33" i="30" s="1"/>
  <c r="AJ33" i="30"/>
  <c r="P35" i="30"/>
  <c r="P34" i="30"/>
  <c r="BO36" i="29"/>
  <c r="BS36" i="29"/>
  <c r="BK36" i="29"/>
  <c r="BL36" i="29"/>
  <c r="BM36" i="29"/>
  <c r="BN36" i="29"/>
  <c r="BF36" i="29"/>
  <c r="BG36" i="29"/>
  <c r="BH36" i="29"/>
  <c r="BJ36" i="29"/>
  <c r="A35" i="29"/>
  <c r="P35" i="29" s="1"/>
  <c r="AG37" i="29"/>
  <c r="AD37" i="29"/>
  <c r="AA37" i="29"/>
  <c r="X37" i="29"/>
  <c r="U37" i="29"/>
  <c r="R37" i="29"/>
  <c r="I37" i="29"/>
  <c r="J37" i="29" s="1"/>
  <c r="G37" i="29"/>
  <c r="F37" i="29"/>
  <c r="E37" i="29"/>
  <c r="C37" i="29"/>
  <c r="B37" i="29"/>
  <c r="BW36" i="29"/>
  <c r="BV36" i="29"/>
  <c r="BE36" i="29"/>
  <c r="BD36" i="29"/>
  <c r="BC36" i="29"/>
  <c r="BB36" i="29"/>
  <c r="BA36" i="29"/>
  <c r="AZ36" i="29"/>
  <c r="AY36" i="29"/>
  <c r="AX36" i="29"/>
  <c r="AW36" i="29"/>
  <c r="AV36" i="29"/>
  <c r="AU36" i="29"/>
  <c r="AT36" i="29"/>
  <c r="AS36" i="29"/>
  <c r="AR36" i="29"/>
  <c r="AQ36" i="29"/>
  <c r="AP36" i="29"/>
  <c r="AO36" i="29"/>
  <c r="AN36" i="29"/>
  <c r="AM36" i="29"/>
  <c r="AL36" i="29"/>
  <c r="AK36" i="29"/>
  <c r="J35" i="29"/>
  <c r="H35" i="29"/>
  <c r="D35" i="29"/>
  <c r="J34" i="29"/>
  <c r="H34" i="29"/>
  <c r="D34" i="29"/>
  <c r="A34" i="29"/>
  <c r="AJ34" i="29" s="1"/>
  <c r="J33" i="29"/>
  <c r="H33" i="29"/>
  <c r="D33" i="29"/>
  <c r="A33" i="29"/>
  <c r="P33" i="29" s="1"/>
  <c r="J32" i="29"/>
  <c r="H32" i="29"/>
  <c r="D32" i="29"/>
  <c r="A32" i="29"/>
  <c r="P32" i="29" s="1"/>
  <c r="AJ32" i="29" s="1"/>
  <c r="J31" i="29"/>
  <c r="H31" i="29"/>
  <c r="D31" i="29"/>
  <c r="A31" i="29"/>
  <c r="P31" i="29" s="1"/>
  <c r="AJ31" i="29" s="1"/>
  <c r="J30" i="29"/>
  <c r="H30" i="29"/>
  <c r="D30" i="29"/>
  <c r="A30" i="29"/>
  <c r="P30" i="29" s="1"/>
  <c r="AJ30" i="29" s="1"/>
  <c r="J29" i="29"/>
  <c r="H29" i="29"/>
  <c r="D29" i="29"/>
  <c r="A29" i="29"/>
  <c r="P29" i="29" s="1"/>
  <c r="AJ29" i="29" s="1"/>
  <c r="N28" i="29"/>
  <c r="N34" i="29" s="1"/>
  <c r="J28" i="29"/>
  <c r="H28" i="29"/>
  <c r="D28" i="29"/>
  <c r="A28" i="29"/>
  <c r="P28" i="29" s="1"/>
  <c r="AJ28" i="29" s="1"/>
  <c r="J27" i="29"/>
  <c r="H27" i="29"/>
  <c r="D27" i="29"/>
  <c r="A27" i="29"/>
  <c r="P27" i="29" s="1"/>
  <c r="AJ27" i="29" s="1"/>
  <c r="J26" i="29"/>
  <c r="H26" i="29"/>
  <c r="D26" i="29"/>
  <c r="A26" i="29"/>
  <c r="P26" i="29" s="1"/>
  <c r="AJ26" i="29" s="1"/>
  <c r="J25" i="29"/>
  <c r="H25" i="29"/>
  <c r="D25" i="29"/>
  <c r="A25" i="29"/>
  <c r="P25" i="29" s="1"/>
  <c r="AJ25" i="29" s="1"/>
  <c r="J24" i="29"/>
  <c r="D24" i="29"/>
  <c r="A24" i="29"/>
  <c r="P24" i="29" s="1"/>
  <c r="AJ24" i="29" s="1"/>
  <c r="J23" i="29"/>
  <c r="H23" i="29"/>
  <c r="D23" i="29"/>
  <c r="A23" i="29"/>
  <c r="P23" i="29" s="1"/>
  <c r="AJ23" i="29" s="1"/>
  <c r="J22" i="29"/>
  <c r="H22" i="29"/>
  <c r="D22" i="29"/>
  <c r="A22" i="29"/>
  <c r="P22" i="29" s="1"/>
  <c r="AJ22" i="29" s="1"/>
  <c r="J21" i="29"/>
  <c r="H21" i="29"/>
  <c r="D21" i="29"/>
  <c r="A21" i="29"/>
  <c r="P21" i="29" s="1"/>
  <c r="AJ21" i="29" s="1"/>
  <c r="J20" i="29"/>
  <c r="H20" i="29"/>
  <c r="D20" i="29"/>
  <c r="A20" i="29"/>
  <c r="P20" i="29" s="1"/>
  <c r="AJ20" i="29" s="1"/>
  <c r="J19" i="29"/>
  <c r="H19" i="29"/>
  <c r="H24" i="29" s="1"/>
  <c r="D19" i="29"/>
  <c r="A19" i="29"/>
  <c r="P19" i="29" s="1"/>
  <c r="AJ19" i="29" s="1"/>
  <c r="J18" i="29"/>
  <c r="H18" i="29"/>
  <c r="D18" i="29"/>
  <c r="A18" i="29"/>
  <c r="P18" i="29" s="1"/>
  <c r="AJ18" i="29" s="1"/>
  <c r="J17" i="29"/>
  <c r="H17" i="29"/>
  <c r="D17" i="29"/>
  <c r="A17" i="29"/>
  <c r="P17" i="29" s="1"/>
  <c r="AJ17" i="29" s="1"/>
  <c r="J16" i="29"/>
  <c r="H16" i="29"/>
  <c r="D16" i="29"/>
  <c r="A16" i="29"/>
  <c r="P16" i="29" s="1"/>
  <c r="AJ16" i="29" s="1"/>
  <c r="J15" i="29"/>
  <c r="H15" i="29"/>
  <c r="D15" i="29"/>
  <c r="A15" i="29"/>
  <c r="P15" i="29" s="1"/>
  <c r="AJ15" i="29" s="1"/>
  <c r="J14" i="29"/>
  <c r="H14" i="29"/>
  <c r="D14" i="29"/>
  <c r="A14" i="29"/>
  <c r="P14" i="29" s="1"/>
  <c r="AJ14" i="29" s="1"/>
  <c r="J13" i="29"/>
  <c r="H13" i="29"/>
  <c r="D13" i="29"/>
  <c r="A13" i="29"/>
  <c r="P13" i="29" s="1"/>
  <c r="AJ13" i="29" s="1"/>
  <c r="J12" i="29"/>
  <c r="H12" i="29"/>
  <c r="D12" i="29"/>
  <c r="A12" i="29"/>
  <c r="P12" i="29" s="1"/>
  <c r="AJ12" i="29" s="1"/>
  <c r="J11" i="29"/>
  <c r="H11" i="29"/>
  <c r="D11" i="29"/>
  <c r="A11" i="29"/>
  <c r="P11" i="29" s="1"/>
  <c r="AJ11" i="29" s="1"/>
  <c r="J10" i="29"/>
  <c r="H10" i="29"/>
  <c r="D10" i="29"/>
  <c r="A10" i="29"/>
  <c r="P10" i="29" s="1"/>
  <c r="AJ10" i="29" s="1"/>
  <c r="J9" i="29"/>
  <c r="H9" i="29"/>
  <c r="D9" i="29"/>
  <c r="A9" i="29"/>
  <c r="P9" i="29" s="1"/>
  <c r="AJ9" i="29" s="1"/>
  <c r="J8" i="29"/>
  <c r="H8" i="29"/>
  <c r="D8" i="29"/>
  <c r="A8" i="29"/>
  <c r="P8" i="29" s="1"/>
  <c r="AJ8" i="29" s="1"/>
  <c r="J7" i="29"/>
  <c r="H7" i="29"/>
  <c r="D7" i="29"/>
  <c r="A7" i="29"/>
  <c r="P7" i="29" s="1"/>
  <c r="AJ7" i="29" s="1"/>
  <c r="J6" i="29"/>
  <c r="H6" i="29"/>
  <c r="D6" i="29"/>
  <c r="A6" i="29"/>
  <c r="P6" i="29" s="1"/>
  <c r="AJ6" i="29" s="1"/>
  <c r="J5" i="29"/>
  <c r="H5" i="29"/>
  <c r="D5" i="29"/>
  <c r="A5" i="29"/>
  <c r="P5" i="29" s="1"/>
  <c r="AJ5" i="29" s="1"/>
  <c r="BH36" i="28"/>
  <c r="BI36" i="28"/>
  <c r="D35" i="28"/>
  <c r="BG36" i="28"/>
  <c r="BJ36" i="28"/>
  <c r="B37" i="28"/>
  <c r="C37" i="28"/>
  <c r="D34" i="28"/>
  <c r="D33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G37" i="28"/>
  <c r="AD37" i="28"/>
  <c r="AA37" i="28"/>
  <c r="X37" i="28"/>
  <c r="U37" i="28"/>
  <c r="R37" i="28"/>
  <c r="I37" i="28"/>
  <c r="J37" i="28" s="1"/>
  <c r="G37" i="28"/>
  <c r="F37" i="28"/>
  <c r="E37" i="28"/>
  <c r="BL36" i="28"/>
  <c r="BK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J35" i="28"/>
  <c r="H35" i="28"/>
  <c r="A35" i="28"/>
  <c r="P35" i="28" s="1"/>
  <c r="J34" i="28"/>
  <c r="H34" i="28"/>
  <c r="A34" i="28"/>
  <c r="AJ34" i="28" s="1"/>
  <c r="J33" i="28"/>
  <c r="H33" i="28"/>
  <c r="A33" i="28"/>
  <c r="P33" i="28" s="1"/>
  <c r="J32" i="28"/>
  <c r="H32" i="28"/>
  <c r="D32" i="28"/>
  <c r="A32" i="28"/>
  <c r="P32" i="28" s="1"/>
  <c r="AJ32" i="28" s="1"/>
  <c r="J31" i="28"/>
  <c r="H31" i="28"/>
  <c r="D31" i="28"/>
  <c r="A31" i="28"/>
  <c r="P31" i="28" s="1"/>
  <c r="AJ31" i="28" s="1"/>
  <c r="J30" i="28"/>
  <c r="H30" i="28"/>
  <c r="D30" i="28"/>
  <c r="A30" i="28"/>
  <c r="P30" i="28" s="1"/>
  <c r="AJ30" i="28" s="1"/>
  <c r="J29" i="28"/>
  <c r="H29" i="28"/>
  <c r="D29" i="28"/>
  <c r="A29" i="28"/>
  <c r="P29" i="28" s="1"/>
  <c r="AJ29" i="28" s="1"/>
  <c r="N28" i="28"/>
  <c r="N34" i="28" s="1"/>
  <c r="J28" i="28"/>
  <c r="H28" i="28"/>
  <c r="D28" i="28"/>
  <c r="A28" i="28"/>
  <c r="P28" i="28" s="1"/>
  <c r="AJ28" i="28" s="1"/>
  <c r="J27" i="28"/>
  <c r="H27" i="28"/>
  <c r="D27" i="28"/>
  <c r="A27" i="28"/>
  <c r="P27" i="28" s="1"/>
  <c r="AJ27" i="28" s="1"/>
  <c r="J26" i="28"/>
  <c r="H26" i="28"/>
  <c r="D26" i="28"/>
  <c r="A26" i="28"/>
  <c r="P26" i="28" s="1"/>
  <c r="AJ26" i="28" s="1"/>
  <c r="J25" i="28"/>
  <c r="H25" i="28"/>
  <c r="D25" i="28"/>
  <c r="A25" i="28"/>
  <c r="P25" i="28" s="1"/>
  <c r="AJ25" i="28" s="1"/>
  <c r="J24" i="28"/>
  <c r="D24" i="28"/>
  <c r="A24" i="28"/>
  <c r="P24" i="28" s="1"/>
  <c r="AJ24" i="28" s="1"/>
  <c r="J23" i="28"/>
  <c r="H23" i="28"/>
  <c r="D23" i="28"/>
  <c r="A23" i="28"/>
  <c r="P23" i="28" s="1"/>
  <c r="AJ23" i="28" s="1"/>
  <c r="J22" i="28"/>
  <c r="H22" i="28"/>
  <c r="D22" i="28"/>
  <c r="A22" i="28"/>
  <c r="P22" i="28" s="1"/>
  <c r="AJ22" i="28" s="1"/>
  <c r="J21" i="28"/>
  <c r="H21" i="28"/>
  <c r="D21" i="28"/>
  <c r="A21" i="28"/>
  <c r="P21" i="28" s="1"/>
  <c r="AJ21" i="28" s="1"/>
  <c r="J20" i="28"/>
  <c r="H20" i="28"/>
  <c r="D20" i="28"/>
  <c r="A20" i="28"/>
  <c r="P20" i="28" s="1"/>
  <c r="AJ20" i="28" s="1"/>
  <c r="J19" i="28"/>
  <c r="H19" i="28"/>
  <c r="D19" i="28"/>
  <c r="A19" i="28"/>
  <c r="P19" i="28" s="1"/>
  <c r="AJ19" i="28" s="1"/>
  <c r="J18" i="28"/>
  <c r="H18" i="28"/>
  <c r="D18" i="28"/>
  <c r="A18" i="28"/>
  <c r="P18" i="28" s="1"/>
  <c r="AJ18" i="28" s="1"/>
  <c r="J17" i="28"/>
  <c r="H17" i="28"/>
  <c r="D17" i="28"/>
  <c r="A17" i="28"/>
  <c r="P17" i="28" s="1"/>
  <c r="AJ17" i="28" s="1"/>
  <c r="J16" i="28"/>
  <c r="H16" i="28"/>
  <c r="D16" i="28"/>
  <c r="A16" i="28"/>
  <c r="P16" i="28" s="1"/>
  <c r="AJ16" i="28" s="1"/>
  <c r="J15" i="28"/>
  <c r="H15" i="28"/>
  <c r="D15" i="28"/>
  <c r="A15" i="28"/>
  <c r="P15" i="28" s="1"/>
  <c r="AJ15" i="28" s="1"/>
  <c r="J14" i="28"/>
  <c r="H14" i="28"/>
  <c r="D14" i="28"/>
  <c r="A14" i="28"/>
  <c r="P14" i="28" s="1"/>
  <c r="AJ14" i="28" s="1"/>
  <c r="J13" i="28"/>
  <c r="H13" i="28"/>
  <c r="D13" i="28"/>
  <c r="A13" i="28"/>
  <c r="P13" i="28" s="1"/>
  <c r="AJ13" i="28" s="1"/>
  <c r="J12" i="28"/>
  <c r="H12" i="28"/>
  <c r="D12" i="28"/>
  <c r="A12" i="28"/>
  <c r="P12" i="28" s="1"/>
  <c r="AJ12" i="28" s="1"/>
  <c r="J11" i="28"/>
  <c r="H11" i="28"/>
  <c r="D11" i="28"/>
  <c r="A11" i="28"/>
  <c r="P11" i="28" s="1"/>
  <c r="AJ11" i="28" s="1"/>
  <c r="J10" i="28"/>
  <c r="H10" i="28"/>
  <c r="D10" i="28"/>
  <c r="A10" i="28"/>
  <c r="P10" i="28" s="1"/>
  <c r="AJ10" i="28" s="1"/>
  <c r="J9" i="28"/>
  <c r="H9" i="28"/>
  <c r="D9" i="28"/>
  <c r="A9" i="28"/>
  <c r="P9" i="28" s="1"/>
  <c r="AJ9" i="28" s="1"/>
  <c r="J8" i="28"/>
  <c r="H8" i="28"/>
  <c r="D8" i="28"/>
  <c r="A8" i="28"/>
  <c r="P8" i="28" s="1"/>
  <c r="AJ8" i="28" s="1"/>
  <c r="J7" i="28"/>
  <c r="H7" i="28"/>
  <c r="D7" i="28"/>
  <c r="A7" i="28"/>
  <c r="P7" i="28" s="1"/>
  <c r="AJ7" i="28" s="1"/>
  <c r="J6" i="28"/>
  <c r="H6" i="28"/>
  <c r="D6" i="28"/>
  <c r="A6" i="28"/>
  <c r="P6" i="28" s="1"/>
  <c r="AJ6" i="28" s="1"/>
  <c r="J5" i="28"/>
  <c r="H5" i="28"/>
  <c r="D5" i="28"/>
  <c r="A5" i="28"/>
  <c r="P5" i="28" s="1"/>
  <c r="AJ5" i="28" s="1"/>
  <c r="BJ36" i="27"/>
  <c r="N35" i="30" l="1"/>
  <c r="H37" i="29"/>
  <c r="N33" i="29" s="1"/>
  <c r="D37" i="29"/>
  <c r="N32" i="29" s="1"/>
  <c r="AJ33" i="29"/>
  <c r="P34" i="29"/>
  <c r="AJ35" i="29"/>
  <c r="H37" i="28"/>
  <c r="N33" i="28" s="1"/>
  <c r="D37" i="28"/>
  <c r="N32" i="28" s="1"/>
  <c r="AJ33" i="28"/>
  <c r="P34" i="28"/>
  <c r="AJ35" i="28"/>
  <c r="BH36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BK36" i="27"/>
  <c r="E37" i="27"/>
  <c r="I37" i="27"/>
  <c r="N35" i="29" l="1"/>
  <c r="N35" i="28"/>
  <c r="BG36" i="27"/>
  <c r="BI36" i="27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36" i="26"/>
  <c r="BE36" i="26"/>
  <c r="BF36" i="26"/>
  <c r="BG36" i="26"/>
  <c r="BH36" i="26"/>
  <c r="BI36" i="26"/>
  <c r="BJ36" i="26"/>
  <c r="BK36" i="26"/>
  <c r="BL36" i="26"/>
  <c r="BM36" i="26"/>
  <c r="BN36" i="26"/>
  <c r="BO36" i="26"/>
  <c r="BP36" i="26"/>
  <c r="BQ36" i="26"/>
  <c r="BR36" i="26"/>
  <c r="BS36" i="26"/>
  <c r="BT36" i="26"/>
  <c r="BU36" i="26"/>
  <c r="BV36" i="26"/>
  <c r="BW36" i="26"/>
  <c r="BX36" i="26"/>
  <c r="BY36" i="26"/>
  <c r="BZ36" i="26"/>
  <c r="CA36" i="26"/>
  <c r="CB36" i="26"/>
  <c r="CC36" i="26"/>
  <c r="CD36" i="26"/>
  <c r="CE36" i="26"/>
  <c r="CF36" i="26"/>
  <c r="AK36" i="26"/>
  <c r="I37" i="26"/>
  <c r="C37" i="26"/>
  <c r="E37" i="26"/>
  <c r="F37" i="26"/>
  <c r="G37" i="26"/>
  <c r="K37" i="26"/>
  <c r="B37" i="26"/>
  <c r="A35" i="26"/>
  <c r="P35" i="26" s="1"/>
  <c r="AJ35" i="26" s="1"/>
  <c r="AG37" i="27"/>
  <c r="AD37" i="27"/>
  <c r="AA37" i="27"/>
  <c r="X37" i="27"/>
  <c r="U37" i="27"/>
  <c r="R37" i="27"/>
  <c r="G37" i="27"/>
  <c r="F37" i="27"/>
  <c r="C37" i="27"/>
  <c r="B37" i="27"/>
  <c r="BM36" i="27"/>
  <c r="BL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P35" i="27"/>
  <c r="J34" i="27"/>
  <c r="D34" i="27"/>
  <c r="AJ34" i="27"/>
  <c r="J33" i="27"/>
  <c r="D33" i="27"/>
  <c r="AJ33" i="27"/>
  <c r="J32" i="27"/>
  <c r="D32" i="27"/>
  <c r="P32" i="27"/>
  <c r="AJ32" i="27" s="1"/>
  <c r="D31" i="27"/>
  <c r="P31" i="27"/>
  <c r="AJ31" i="27" s="1"/>
  <c r="J30" i="27"/>
  <c r="D30" i="27"/>
  <c r="P30" i="27"/>
  <c r="AJ30" i="27" s="1"/>
  <c r="D29" i="27"/>
  <c r="P29" i="27"/>
  <c r="AJ29" i="27" s="1"/>
  <c r="N28" i="27"/>
  <c r="N34" i="27" s="1"/>
  <c r="J28" i="27"/>
  <c r="D28" i="27"/>
  <c r="P28" i="27"/>
  <c r="AJ28" i="27" s="1"/>
  <c r="D27" i="27"/>
  <c r="P27" i="27"/>
  <c r="AJ27" i="27" s="1"/>
  <c r="J26" i="27"/>
  <c r="D26" i="27"/>
  <c r="P26" i="27"/>
  <c r="AJ26" i="27" s="1"/>
  <c r="D25" i="27"/>
  <c r="P25" i="27"/>
  <c r="AJ25" i="27" s="1"/>
  <c r="D24" i="27"/>
  <c r="P24" i="27"/>
  <c r="AJ24" i="27" s="1"/>
  <c r="J23" i="27"/>
  <c r="D23" i="27"/>
  <c r="P23" i="27"/>
  <c r="AJ23" i="27" s="1"/>
  <c r="J22" i="27"/>
  <c r="D22" i="27"/>
  <c r="P22" i="27"/>
  <c r="AJ22" i="27" s="1"/>
  <c r="J21" i="27"/>
  <c r="D21" i="27"/>
  <c r="P21" i="27"/>
  <c r="AJ21" i="27" s="1"/>
  <c r="J20" i="27"/>
  <c r="D20" i="27"/>
  <c r="P20" i="27"/>
  <c r="AJ20" i="27" s="1"/>
  <c r="J19" i="27"/>
  <c r="D19" i="27"/>
  <c r="P19" i="27"/>
  <c r="AJ19" i="27" s="1"/>
  <c r="J18" i="27"/>
  <c r="D18" i="27"/>
  <c r="P18" i="27"/>
  <c r="AJ18" i="27" s="1"/>
  <c r="J17" i="27"/>
  <c r="D17" i="27"/>
  <c r="P17" i="27"/>
  <c r="AJ17" i="27" s="1"/>
  <c r="J16" i="27"/>
  <c r="D16" i="27"/>
  <c r="P16" i="27"/>
  <c r="AJ16" i="27" s="1"/>
  <c r="J15" i="27"/>
  <c r="D15" i="27"/>
  <c r="P15" i="27"/>
  <c r="AJ15" i="27" s="1"/>
  <c r="J14" i="27"/>
  <c r="D14" i="27"/>
  <c r="P14" i="27"/>
  <c r="AJ14" i="27" s="1"/>
  <c r="J13" i="27"/>
  <c r="D13" i="27"/>
  <c r="P13" i="27"/>
  <c r="AJ13" i="27" s="1"/>
  <c r="J12" i="27"/>
  <c r="D12" i="27"/>
  <c r="P12" i="27"/>
  <c r="AJ12" i="27" s="1"/>
  <c r="D11" i="27"/>
  <c r="P11" i="27"/>
  <c r="AJ11" i="27" s="1"/>
  <c r="J10" i="27"/>
  <c r="D10" i="27"/>
  <c r="P10" i="27"/>
  <c r="AJ10" i="27" s="1"/>
  <c r="J9" i="27"/>
  <c r="D9" i="27"/>
  <c r="P9" i="27"/>
  <c r="AJ9" i="27" s="1"/>
  <c r="J8" i="27"/>
  <c r="D8" i="27"/>
  <c r="P8" i="27"/>
  <c r="AJ8" i="27" s="1"/>
  <c r="J7" i="27"/>
  <c r="D7" i="27"/>
  <c r="P7" i="27"/>
  <c r="AJ7" i="27" s="1"/>
  <c r="J6" i="27"/>
  <c r="D6" i="27"/>
  <c r="P6" i="27"/>
  <c r="AJ6" i="27" s="1"/>
  <c r="J5" i="27"/>
  <c r="H5" i="27"/>
  <c r="D5" i="27"/>
  <c r="A5" i="27"/>
  <c r="P5" i="27" s="1"/>
  <c r="AJ5" i="27" s="1"/>
  <c r="J37" i="27" l="1"/>
  <c r="D37" i="27"/>
  <c r="N32" i="27" s="1"/>
  <c r="H37" i="27"/>
  <c r="N33" i="27" s="1"/>
  <c r="P34" i="27"/>
  <c r="AJ35" i="27"/>
  <c r="P33" i="27"/>
  <c r="N35" i="27" l="1"/>
  <c r="AG37" i="26"/>
  <c r="AD37" i="26"/>
  <c r="AA37" i="26"/>
  <c r="X37" i="26"/>
  <c r="U37" i="26"/>
  <c r="R37" i="26"/>
  <c r="J34" i="26"/>
  <c r="D34" i="26"/>
  <c r="A34" i="26"/>
  <c r="P34" i="26" s="1"/>
  <c r="AJ34" i="26" s="1"/>
  <c r="J33" i="26"/>
  <c r="D33" i="26"/>
  <c r="A33" i="26"/>
  <c r="P33" i="26" s="1"/>
  <c r="AJ33" i="26" s="1"/>
  <c r="J32" i="26"/>
  <c r="D32" i="26"/>
  <c r="A32" i="26"/>
  <c r="P32" i="26" s="1"/>
  <c r="AJ32" i="26" s="1"/>
  <c r="J31" i="26"/>
  <c r="D31" i="26"/>
  <c r="A31" i="26"/>
  <c r="P31" i="26" s="1"/>
  <c r="AJ31" i="26" s="1"/>
  <c r="J30" i="26"/>
  <c r="D30" i="26"/>
  <c r="A30" i="26"/>
  <c r="P30" i="26" s="1"/>
  <c r="AJ30" i="26" s="1"/>
  <c r="J29" i="26"/>
  <c r="D29" i="26"/>
  <c r="A29" i="26"/>
  <c r="P29" i="26" s="1"/>
  <c r="AJ29" i="26" s="1"/>
  <c r="J28" i="26"/>
  <c r="D28" i="26"/>
  <c r="A28" i="26"/>
  <c r="P28" i="26" s="1"/>
  <c r="AJ28" i="26" s="1"/>
  <c r="N27" i="26"/>
  <c r="N33" i="26" s="1"/>
  <c r="J27" i="26"/>
  <c r="D27" i="26"/>
  <c r="A27" i="26"/>
  <c r="P27" i="26" s="1"/>
  <c r="AJ27" i="26" s="1"/>
  <c r="J26" i="26"/>
  <c r="D26" i="26"/>
  <c r="A26" i="26"/>
  <c r="P26" i="26" s="1"/>
  <c r="AJ26" i="26" s="1"/>
  <c r="J25" i="26"/>
  <c r="D25" i="26"/>
  <c r="A25" i="26"/>
  <c r="P25" i="26" s="1"/>
  <c r="AJ25" i="26" s="1"/>
  <c r="J24" i="26"/>
  <c r="D24" i="26"/>
  <c r="A24" i="26"/>
  <c r="P24" i="26" s="1"/>
  <c r="AJ24" i="26" s="1"/>
  <c r="J23" i="26"/>
  <c r="D23" i="26"/>
  <c r="A23" i="26"/>
  <c r="P23" i="26" s="1"/>
  <c r="AJ23" i="26" s="1"/>
  <c r="J22" i="26"/>
  <c r="D22" i="26"/>
  <c r="A22" i="26"/>
  <c r="P22" i="26" s="1"/>
  <c r="AJ22" i="26" s="1"/>
  <c r="J21" i="26"/>
  <c r="D21" i="26"/>
  <c r="A21" i="26"/>
  <c r="P21" i="26" s="1"/>
  <c r="AJ21" i="26" s="1"/>
  <c r="J20" i="26"/>
  <c r="D20" i="26"/>
  <c r="A20" i="26"/>
  <c r="P20" i="26" s="1"/>
  <c r="AJ20" i="26" s="1"/>
  <c r="J19" i="26"/>
  <c r="D19" i="26"/>
  <c r="A19" i="26"/>
  <c r="P19" i="26" s="1"/>
  <c r="AJ19" i="26" s="1"/>
  <c r="J18" i="26"/>
  <c r="D18" i="26"/>
  <c r="A18" i="26"/>
  <c r="P18" i="26" s="1"/>
  <c r="AJ18" i="26" s="1"/>
  <c r="J17" i="26"/>
  <c r="D17" i="26"/>
  <c r="A17" i="26"/>
  <c r="P17" i="26" s="1"/>
  <c r="AJ17" i="26" s="1"/>
  <c r="J16" i="26"/>
  <c r="D16" i="26"/>
  <c r="A16" i="26"/>
  <c r="P16" i="26" s="1"/>
  <c r="AJ16" i="26" s="1"/>
  <c r="J15" i="26"/>
  <c r="D15" i="26"/>
  <c r="A15" i="26"/>
  <c r="P15" i="26" s="1"/>
  <c r="AJ15" i="26" s="1"/>
  <c r="J14" i="26"/>
  <c r="D14" i="26"/>
  <c r="A14" i="26"/>
  <c r="P14" i="26" s="1"/>
  <c r="AJ14" i="26" s="1"/>
  <c r="J13" i="26"/>
  <c r="D13" i="26"/>
  <c r="A13" i="26"/>
  <c r="P13" i="26" s="1"/>
  <c r="AJ13" i="26" s="1"/>
  <c r="J12" i="26"/>
  <c r="D12" i="26"/>
  <c r="A12" i="26"/>
  <c r="P12" i="26" s="1"/>
  <c r="AJ12" i="26" s="1"/>
  <c r="J11" i="26"/>
  <c r="D11" i="26"/>
  <c r="A11" i="26"/>
  <c r="P11" i="26" s="1"/>
  <c r="AJ11" i="26" s="1"/>
  <c r="J10" i="26"/>
  <c r="D10" i="26"/>
  <c r="A10" i="26"/>
  <c r="P10" i="26" s="1"/>
  <c r="AJ10" i="26" s="1"/>
  <c r="J9" i="26"/>
  <c r="D9" i="26"/>
  <c r="A9" i="26"/>
  <c r="P9" i="26" s="1"/>
  <c r="AJ9" i="26" s="1"/>
  <c r="J8" i="26"/>
  <c r="D8" i="26"/>
  <c r="A8" i="26"/>
  <c r="P8" i="26" s="1"/>
  <c r="AJ8" i="26" s="1"/>
  <c r="J7" i="26"/>
  <c r="D7" i="26"/>
  <c r="A7" i="26"/>
  <c r="P7" i="26" s="1"/>
  <c r="AJ7" i="26" s="1"/>
  <c r="J6" i="26"/>
  <c r="D6" i="26"/>
  <c r="A6" i="26"/>
  <c r="P6" i="26" s="1"/>
  <c r="AJ6" i="26" s="1"/>
  <c r="J5" i="26"/>
  <c r="H5" i="26"/>
  <c r="D5" i="26"/>
  <c r="A5" i="26"/>
  <c r="P5" i="26" s="1"/>
  <c r="AJ5" i="26" s="1"/>
  <c r="BY36" i="18"/>
  <c r="BZ36" i="18"/>
  <c r="BX36" i="18"/>
  <c r="J37" i="26" l="1"/>
  <c r="D37" i="26"/>
  <c r="N31" i="26" s="1"/>
  <c r="H37" i="26"/>
  <c r="N32" i="26" s="1"/>
  <c r="BW36" i="18"/>
  <c r="E30" i="18"/>
  <c r="BV36" i="18"/>
  <c r="BU36" i="18"/>
  <c r="BS36" i="18"/>
  <c r="BT36" i="18"/>
  <c r="BR36" i="18"/>
  <c r="H24" i="18"/>
  <c r="BQ36" i="18"/>
  <c r="BM36" i="18"/>
  <c r="BN36" i="18"/>
  <c r="BF36" i="18"/>
  <c r="BG36" i="18"/>
  <c r="BH36" i="18"/>
  <c r="BI36" i="18"/>
  <c r="BJ36" i="18"/>
  <c r="BK36" i="18"/>
  <c r="BL36" i="18"/>
  <c r="BO36" i="18"/>
  <c r="BP36" i="18"/>
  <c r="CA36" i="18"/>
  <c r="CB36" i="18"/>
  <c r="F17" i="18"/>
  <c r="F13" i="18"/>
  <c r="N34" i="26" l="1"/>
  <c r="CD5" i="24"/>
  <c r="CP5" i="18" l="1"/>
  <c r="AV36" i="18"/>
  <c r="AT36" i="18"/>
  <c r="AM36" i="18"/>
  <c r="AO36" i="18"/>
  <c r="AQ36" i="18"/>
  <c r="AS36" i="18"/>
  <c r="AU36" i="18"/>
  <c r="AW36" i="18"/>
  <c r="AY36" i="18"/>
  <c r="BA36" i="18"/>
  <c r="BC36" i="18"/>
  <c r="BE36" i="18"/>
  <c r="AX36" i="18" l="1"/>
  <c r="AZ36" i="18"/>
  <c r="BD36" i="18"/>
  <c r="BB36" i="18"/>
  <c r="AR36" i="18"/>
  <c r="AP36" i="18"/>
  <c r="AN36" i="18"/>
  <c r="AL36" i="18"/>
  <c r="AG37" i="18"/>
  <c r="AD37" i="18"/>
  <c r="AA37" i="18"/>
  <c r="X37" i="18"/>
  <c r="U37" i="18"/>
  <c r="R37" i="18"/>
  <c r="I37" i="18"/>
  <c r="J37" i="18" s="1"/>
  <c r="G37" i="18"/>
  <c r="F37" i="18"/>
  <c r="E37" i="18"/>
  <c r="C37" i="18"/>
  <c r="B37" i="18"/>
  <c r="AK36" i="18"/>
  <c r="J35" i="18"/>
  <c r="H35" i="18"/>
  <c r="D35" i="18"/>
  <c r="A35" i="18"/>
  <c r="AJ35" i="18" s="1"/>
  <c r="J34" i="18"/>
  <c r="H34" i="18"/>
  <c r="D34" i="18"/>
  <c r="A34" i="18"/>
  <c r="AJ34" i="18" s="1"/>
  <c r="J33" i="18"/>
  <c r="H33" i="18"/>
  <c r="D33" i="18"/>
  <c r="A33" i="18"/>
  <c r="AJ33" i="18" s="1"/>
  <c r="J32" i="18"/>
  <c r="H32" i="18"/>
  <c r="D32" i="18"/>
  <c r="A32" i="18"/>
  <c r="P32" i="18" s="1"/>
  <c r="AJ32" i="18" s="1"/>
  <c r="J31" i="18"/>
  <c r="H31" i="18"/>
  <c r="D31" i="18"/>
  <c r="A31" i="18"/>
  <c r="P31" i="18" s="1"/>
  <c r="AJ31" i="18" s="1"/>
  <c r="J30" i="18"/>
  <c r="H30" i="18"/>
  <c r="D30" i="18"/>
  <c r="A30" i="18"/>
  <c r="P30" i="18" s="1"/>
  <c r="AJ30" i="18" s="1"/>
  <c r="J29" i="18"/>
  <c r="H29" i="18"/>
  <c r="D29" i="18"/>
  <c r="A29" i="18"/>
  <c r="P29" i="18" s="1"/>
  <c r="AJ29" i="18" s="1"/>
  <c r="N28" i="18"/>
  <c r="N34" i="18" s="1"/>
  <c r="J28" i="18"/>
  <c r="H28" i="18"/>
  <c r="D28" i="18"/>
  <c r="A28" i="18"/>
  <c r="P28" i="18" s="1"/>
  <c r="AJ28" i="18" s="1"/>
  <c r="J27" i="18"/>
  <c r="H27" i="18"/>
  <c r="D27" i="18"/>
  <c r="A27" i="18"/>
  <c r="P27" i="18" s="1"/>
  <c r="AJ27" i="18" s="1"/>
  <c r="J26" i="18"/>
  <c r="H26" i="18"/>
  <c r="D26" i="18"/>
  <c r="A26" i="18"/>
  <c r="P26" i="18" s="1"/>
  <c r="AJ26" i="18" s="1"/>
  <c r="J25" i="18"/>
  <c r="H25" i="18"/>
  <c r="D25" i="18"/>
  <c r="A25" i="18"/>
  <c r="P25" i="18" s="1"/>
  <c r="AJ25" i="18" s="1"/>
  <c r="J24" i="18"/>
  <c r="D24" i="18"/>
  <c r="A24" i="18"/>
  <c r="P24" i="18" s="1"/>
  <c r="AJ24" i="18" s="1"/>
  <c r="J23" i="18"/>
  <c r="H23" i="18"/>
  <c r="D23" i="18"/>
  <c r="A23" i="18"/>
  <c r="P23" i="18" s="1"/>
  <c r="AJ23" i="18" s="1"/>
  <c r="J22" i="18"/>
  <c r="H22" i="18"/>
  <c r="D22" i="18"/>
  <c r="A22" i="18"/>
  <c r="P22" i="18" s="1"/>
  <c r="AJ22" i="18" s="1"/>
  <c r="J21" i="18"/>
  <c r="H21" i="18"/>
  <c r="D21" i="18"/>
  <c r="A21" i="18"/>
  <c r="P21" i="18" s="1"/>
  <c r="AJ21" i="18" s="1"/>
  <c r="J20" i="18"/>
  <c r="H20" i="18"/>
  <c r="D20" i="18"/>
  <c r="A20" i="18"/>
  <c r="P20" i="18" s="1"/>
  <c r="AJ20" i="18" s="1"/>
  <c r="J19" i="18"/>
  <c r="H19" i="18"/>
  <c r="D19" i="18"/>
  <c r="A19" i="18"/>
  <c r="P19" i="18" s="1"/>
  <c r="AJ19" i="18" s="1"/>
  <c r="J18" i="18"/>
  <c r="H18" i="18"/>
  <c r="D18" i="18"/>
  <c r="A18" i="18"/>
  <c r="P18" i="18" s="1"/>
  <c r="AJ18" i="18" s="1"/>
  <c r="J17" i="18"/>
  <c r="H17" i="18"/>
  <c r="D17" i="18"/>
  <c r="A17" i="18"/>
  <c r="P17" i="18" s="1"/>
  <c r="AJ17" i="18" s="1"/>
  <c r="J16" i="18"/>
  <c r="H16" i="18"/>
  <c r="D16" i="18"/>
  <c r="A16" i="18"/>
  <c r="P16" i="18" s="1"/>
  <c r="AJ16" i="18" s="1"/>
  <c r="J15" i="18"/>
  <c r="H15" i="18"/>
  <c r="D15" i="18"/>
  <c r="A15" i="18"/>
  <c r="P15" i="18" s="1"/>
  <c r="AJ15" i="18" s="1"/>
  <c r="J14" i="18"/>
  <c r="H14" i="18"/>
  <c r="D14" i="18"/>
  <c r="A14" i="18"/>
  <c r="P14" i="18" s="1"/>
  <c r="AJ14" i="18" s="1"/>
  <c r="J13" i="18"/>
  <c r="H13" i="18"/>
  <c r="D13" i="18"/>
  <c r="A13" i="18"/>
  <c r="P13" i="18" s="1"/>
  <c r="AJ13" i="18" s="1"/>
  <c r="J12" i="18"/>
  <c r="H12" i="18"/>
  <c r="D12" i="18"/>
  <c r="A12" i="18"/>
  <c r="P12" i="18" s="1"/>
  <c r="AJ12" i="18" s="1"/>
  <c r="J11" i="18"/>
  <c r="H11" i="18"/>
  <c r="D11" i="18"/>
  <c r="A11" i="18"/>
  <c r="P11" i="18" s="1"/>
  <c r="AJ11" i="18" s="1"/>
  <c r="J10" i="18"/>
  <c r="H10" i="18"/>
  <c r="D10" i="18"/>
  <c r="A10" i="18"/>
  <c r="P10" i="18" s="1"/>
  <c r="AJ10" i="18" s="1"/>
  <c r="J9" i="18"/>
  <c r="H9" i="18"/>
  <c r="D9" i="18"/>
  <c r="A9" i="18"/>
  <c r="P9" i="18" s="1"/>
  <c r="AJ9" i="18" s="1"/>
  <c r="J8" i="18"/>
  <c r="H8" i="18"/>
  <c r="D8" i="18"/>
  <c r="A8" i="18"/>
  <c r="P8" i="18" s="1"/>
  <c r="AJ8" i="18" s="1"/>
  <c r="J7" i="18"/>
  <c r="H7" i="18"/>
  <c r="D7" i="18"/>
  <c r="A7" i="18"/>
  <c r="P7" i="18" s="1"/>
  <c r="AJ7" i="18" s="1"/>
  <c r="J6" i="18"/>
  <c r="H6" i="18"/>
  <c r="D6" i="18"/>
  <c r="A6" i="18"/>
  <c r="P6" i="18" s="1"/>
  <c r="AJ6" i="18" s="1"/>
  <c r="J5" i="18"/>
  <c r="H5" i="18"/>
  <c r="D5" i="18"/>
  <c r="A5" i="18"/>
  <c r="P5" i="18" s="1"/>
  <c r="AJ5" i="18" s="1"/>
  <c r="BN36" i="2"/>
  <c r="B34" i="2"/>
  <c r="BM36" i="2"/>
  <c r="E34" i="2"/>
  <c r="BL36" i="2"/>
  <c r="H37" i="18" l="1"/>
  <c r="N33" i="18" s="1"/>
  <c r="D37" i="18"/>
  <c r="N32" i="18" s="1"/>
  <c r="P33" i="18"/>
  <c r="P35" i="18"/>
  <c r="P34" i="18"/>
  <c r="E17" i="2"/>
  <c r="E14" i="2"/>
  <c r="E10" i="2"/>
  <c r="F17" i="2"/>
  <c r="F9" i="2"/>
  <c r="F7" i="2"/>
  <c r="F5" i="2"/>
  <c r="E8" i="2"/>
  <c r="H24" i="2"/>
  <c r="BK36" i="2"/>
  <c r="BA36" i="2"/>
  <c r="BB36" i="2"/>
  <c r="BC36" i="2"/>
  <c r="BD36" i="2"/>
  <c r="BE36" i="2"/>
  <c r="BF36" i="2"/>
  <c r="BG36" i="2"/>
  <c r="BH36" i="2"/>
  <c r="BI36" i="2"/>
  <c r="BJ36" i="2"/>
  <c r="BO36" i="2"/>
  <c r="AR36" i="2"/>
  <c r="AS36" i="2"/>
  <c r="AT36" i="2"/>
  <c r="AU36" i="2"/>
  <c r="AV36" i="2"/>
  <c r="AW36" i="2"/>
  <c r="AX36" i="2"/>
  <c r="AY36" i="2"/>
  <c r="AZ36" i="2"/>
  <c r="N35" i="18" l="1"/>
  <c r="AG37" i="2"/>
  <c r="AD37" i="2"/>
  <c r="AA37" i="2"/>
  <c r="X37" i="2"/>
  <c r="U37" i="2"/>
  <c r="R37" i="2"/>
  <c r="I37" i="2"/>
  <c r="J37" i="2" s="1"/>
  <c r="G37" i="2"/>
  <c r="F37" i="2"/>
  <c r="E37" i="2"/>
  <c r="C37" i="2"/>
  <c r="B37" i="2"/>
  <c r="AQ36" i="2"/>
  <c r="AP36" i="2"/>
  <c r="AO36" i="2"/>
  <c r="AN36" i="2"/>
  <c r="AM36" i="2"/>
  <c r="AL36" i="2"/>
  <c r="AK36" i="2"/>
  <c r="J35" i="2"/>
  <c r="H35" i="2"/>
  <c r="D35" i="2"/>
  <c r="A35" i="2"/>
  <c r="P35" i="2" s="1"/>
  <c r="J34" i="2"/>
  <c r="H34" i="2"/>
  <c r="D34" i="2"/>
  <c r="A34" i="2"/>
  <c r="AJ34" i="2" s="1"/>
  <c r="J33" i="2"/>
  <c r="H33" i="2"/>
  <c r="D33" i="2"/>
  <c r="A33" i="2"/>
  <c r="J32" i="2"/>
  <c r="H32" i="2"/>
  <c r="D32" i="2"/>
  <c r="A32" i="2"/>
  <c r="P32" i="2" s="1"/>
  <c r="AJ32" i="2" s="1"/>
  <c r="J31" i="2"/>
  <c r="H31" i="2"/>
  <c r="D31" i="2"/>
  <c r="A31" i="2"/>
  <c r="P31" i="2" s="1"/>
  <c r="AJ31" i="2" s="1"/>
  <c r="J30" i="2"/>
  <c r="H30" i="2"/>
  <c r="D30" i="2"/>
  <c r="A30" i="2"/>
  <c r="P30" i="2" s="1"/>
  <c r="AJ30" i="2" s="1"/>
  <c r="J29" i="2"/>
  <c r="H29" i="2"/>
  <c r="D29" i="2"/>
  <c r="A29" i="2"/>
  <c r="P29" i="2" s="1"/>
  <c r="AJ29" i="2" s="1"/>
  <c r="N28" i="2"/>
  <c r="N34" i="2" s="1"/>
  <c r="J28" i="2"/>
  <c r="H28" i="2"/>
  <c r="D28" i="2"/>
  <c r="A28" i="2"/>
  <c r="P28" i="2" s="1"/>
  <c r="AJ28" i="2" s="1"/>
  <c r="J27" i="2"/>
  <c r="H27" i="2"/>
  <c r="D27" i="2"/>
  <c r="A27" i="2"/>
  <c r="P27" i="2" s="1"/>
  <c r="AJ27" i="2" s="1"/>
  <c r="J26" i="2"/>
  <c r="H26" i="2"/>
  <c r="D26" i="2"/>
  <c r="A26" i="2"/>
  <c r="P26" i="2" s="1"/>
  <c r="AJ26" i="2" s="1"/>
  <c r="J25" i="2"/>
  <c r="H25" i="2"/>
  <c r="D25" i="2"/>
  <c r="A25" i="2"/>
  <c r="P25" i="2" s="1"/>
  <c r="AJ25" i="2" s="1"/>
  <c r="J24" i="2"/>
  <c r="D24" i="2"/>
  <c r="A24" i="2"/>
  <c r="P24" i="2" s="1"/>
  <c r="AJ24" i="2" s="1"/>
  <c r="J23" i="2"/>
  <c r="H23" i="2"/>
  <c r="D23" i="2"/>
  <c r="A23" i="2"/>
  <c r="P23" i="2" s="1"/>
  <c r="AJ23" i="2" s="1"/>
  <c r="J22" i="2"/>
  <c r="H22" i="2"/>
  <c r="D22" i="2"/>
  <c r="A22" i="2"/>
  <c r="P22" i="2" s="1"/>
  <c r="AJ22" i="2" s="1"/>
  <c r="J21" i="2"/>
  <c r="H21" i="2"/>
  <c r="D21" i="2"/>
  <c r="A21" i="2"/>
  <c r="P21" i="2" s="1"/>
  <c r="AJ21" i="2" s="1"/>
  <c r="J20" i="2"/>
  <c r="H20" i="2"/>
  <c r="D20" i="2"/>
  <c r="A20" i="2"/>
  <c r="P20" i="2" s="1"/>
  <c r="AJ20" i="2" s="1"/>
  <c r="J19" i="2"/>
  <c r="H19" i="2"/>
  <c r="D19" i="2"/>
  <c r="A19" i="2"/>
  <c r="P19" i="2" s="1"/>
  <c r="AJ19" i="2" s="1"/>
  <c r="J18" i="2"/>
  <c r="H18" i="2"/>
  <c r="D18" i="2"/>
  <c r="A18" i="2"/>
  <c r="P18" i="2" s="1"/>
  <c r="AJ18" i="2" s="1"/>
  <c r="J17" i="2"/>
  <c r="H17" i="2"/>
  <c r="D17" i="2"/>
  <c r="A17" i="2"/>
  <c r="P17" i="2" s="1"/>
  <c r="AJ17" i="2" s="1"/>
  <c r="J16" i="2"/>
  <c r="H16" i="2"/>
  <c r="D16" i="2"/>
  <c r="A16" i="2"/>
  <c r="P16" i="2" s="1"/>
  <c r="AJ16" i="2" s="1"/>
  <c r="J15" i="2"/>
  <c r="H15" i="2"/>
  <c r="D15" i="2"/>
  <c r="A15" i="2"/>
  <c r="P15" i="2" s="1"/>
  <c r="AJ15" i="2" s="1"/>
  <c r="J14" i="2"/>
  <c r="H14" i="2"/>
  <c r="D14" i="2"/>
  <c r="A14" i="2"/>
  <c r="P14" i="2" s="1"/>
  <c r="AJ14" i="2" s="1"/>
  <c r="J13" i="2"/>
  <c r="H13" i="2"/>
  <c r="D13" i="2"/>
  <c r="A13" i="2"/>
  <c r="P13" i="2" s="1"/>
  <c r="AJ13" i="2" s="1"/>
  <c r="J12" i="2"/>
  <c r="H12" i="2"/>
  <c r="D12" i="2"/>
  <c r="A12" i="2"/>
  <c r="P12" i="2" s="1"/>
  <c r="AJ12" i="2" s="1"/>
  <c r="J11" i="2"/>
  <c r="H11" i="2"/>
  <c r="D11" i="2"/>
  <c r="A11" i="2"/>
  <c r="P11" i="2" s="1"/>
  <c r="AJ11" i="2" s="1"/>
  <c r="J10" i="2"/>
  <c r="H10" i="2"/>
  <c r="D10" i="2"/>
  <c r="A10" i="2"/>
  <c r="P10" i="2" s="1"/>
  <c r="AJ10" i="2" s="1"/>
  <c r="J9" i="2"/>
  <c r="H9" i="2"/>
  <c r="D9" i="2"/>
  <c r="A9" i="2"/>
  <c r="P9" i="2" s="1"/>
  <c r="AJ9" i="2" s="1"/>
  <c r="J8" i="2"/>
  <c r="H8" i="2"/>
  <c r="D8" i="2"/>
  <c r="A8" i="2"/>
  <c r="P8" i="2" s="1"/>
  <c r="AJ8" i="2" s="1"/>
  <c r="J7" i="2"/>
  <c r="H7" i="2"/>
  <c r="D7" i="2"/>
  <c r="A7" i="2"/>
  <c r="P7" i="2" s="1"/>
  <c r="AJ7" i="2" s="1"/>
  <c r="J6" i="2"/>
  <c r="H6" i="2"/>
  <c r="D6" i="2"/>
  <c r="A6" i="2"/>
  <c r="P6" i="2" s="1"/>
  <c r="AJ6" i="2" s="1"/>
  <c r="J5" i="2"/>
  <c r="H5" i="2"/>
  <c r="D5" i="2"/>
  <c r="A5" i="2"/>
  <c r="P5" i="2" s="1"/>
  <c r="AJ5" i="2" s="1"/>
  <c r="H37" i="2" l="1"/>
  <c r="N33" i="2" s="1"/>
  <c r="AJ35" i="2"/>
  <c r="AJ33" i="2"/>
  <c r="P33" i="2"/>
  <c r="D37" i="2"/>
  <c r="N32" i="2" s="1"/>
  <c r="P34" i="2"/>
  <c r="N35" i="2" l="1"/>
  <c r="AA36" i="47"/>
  <c r="AX36" i="47" s="1"/>
  <c r="AX5" i="47"/>
  <c r="AA38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00000000-0006-0000-0100-000002000000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D642D00-4E34-BE49-B1DC-DFDCB758294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B6F25198-6A81-B545-8B1C-F5C86E6DEBCF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5A19AB8-8161-BF41-95F6-10C27F04F80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4453089A-794C-6546-BC8F-CB1B9D931A0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42D972F-9B7D-0D40-A991-BEF4BA5E950F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8874B9F8-3051-D643-B2AA-518A045EB5C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C1D062E-E61F-9F4A-88FA-DFC69644903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D4298ABB-1B06-EC41-817C-3F3BF0C77AD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267FAB6-4048-3745-85E8-9511A98CFDC0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7B456463-141E-8046-9529-036EA25E72E5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84A25A-EEEC-1C42-9301-1A0FA177EB09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F9E3CCD8-A730-684D-9852-D5087443006F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53233B1-884B-4E4C-ABE4-2DC97E380CE4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76DDD2E9-CEF6-4643-B721-7B102C09BFA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265793D-93B4-BA49-A4D2-3B74F8A0BED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8EEF0AFB-136E-524C-9ABE-84EBF3CFA01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EC897E9-0CC4-DC43-AF62-1196D816F9BA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20631D60-B99A-E444-B362-216D2DA476EA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1E7A68A-DB10-D04E-BA74-0E26D94B108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2E141CB9-BB46-0147-88BC-4CF8BE4BDD87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B7DB0E8-E2F8-B648-8D90-CA151E5CA0FD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DBA4AEE5-630F-2644-A945-4F026DFB4360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7A97C72-A986-0646-A059-EFCF31FEB86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DE5F8C27-54CF-0148-B24B-3A34DEFB152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6744F7E-EDCB-F44E-89C5-A008B7DB04E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EFBAD557-0917-B14F-B12E-58D03DF812A4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A7FF909-48A7-0F4D-B1D7-A60BCAE248D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A1A4C34C-C04A-F947-B389-64EF9DB0EF4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7D1EC87-39C5-F845-A3DA-65DFBD3F8CE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CB7D4992-932C-7543-B482-5D3AD01AA58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00AC96B-68B8-5248-BD73-99A75F8B429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4368BBD2-A719-DE41-907B-3A0F174E9568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EE07010-9D64-4046-9E0B-AB946DF84405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CC138F03-707F-0444-B14C-793B64AB7F47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BDF1762-9867-9A45-A2AB-972D76E525B0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4E385714-CE9E-C548-99FF-B9B202AB91A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E1DE21E-F278-A242-88A5-E6BA5FD23671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4BFC231C-FE30-E948-9596-B0721F987004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C02C88D0-5F47-B748-B19D-DBBFD3B637D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8C5B9E95-6453-E041-B03B-1BF64F6AF865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30FF75E-1E74-CB43-88B4-D5F05155963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5FBF3020-531D-5B42-9D93-A32058F23BED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20D745F-BE6F-834F-B21B-A41FF9A5CC8A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BFA15090-306B-794A-95DD-2F85C410CDCC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5810A97-39E7-2E4E-97DD-30A3B9B14315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0F33A68C-4520-734C-810B-AFA91D9094E6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B93ABDB-86B4-4B4D-974C-B6088051CEDD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E994FB70-8C84-0942-9C2B-201E825FBE1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38A39E-0462-8A42-A5B0-A571EC71B832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5A36542A-703D-7547-AC8C-B34C276FB731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B853EF6D-5C27-4BAB-82AF-71C7E3CAB584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西暦を入力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年」として表示したい場合は「</t>
        </r>
        <r>
          <rPr>
            <sz val="12"/>
            <color rgb="FF000000"/>
            <rFont val="游ゴシック"/>
            <family val="3"/>
            <charset val="128"/>
          </rPr>
          <t>2020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  <comment ref="B1" authorId="0" shapeId="0" xr:uid="{1B8D4494-60BD-425D-8F08-2F5526BEB893}">
      <text>
        <r>
          <rPr>
            <sz val="12"/>
            <color rgb="FF000000"/>
            <rFont val="游ゴシック"/>
            <family val="3"/>
            <charset val="128"/>
          </rPr>
          <t xml:space="preserve">atsushi:
</t>
        </r>
        <r>
          <rPr>
            <sz val="12"/>
            <color rgb="FF000000"/>
            <rFont val="游ゴシック"/>
            <family val="3"/>
            <charset val="128"/>
          </rPr>
          <t>月を入力</t>
        </r>
        <r>
          <rPr>
            <sz val="12"/>
            <color rgb="FF000000"/>
            <rFont val="游ゴシック"/>
            <family val="3"/>
            <charset val="128"/>
          </rPr>
          <t xml:space="preserve">
</t>
        </r>
        <r>
          <rPr>
            <sz val="12"/>
            <color rgb="FF000000"/>
            <rFont val="游ゴシック"/>
            <family val="3"/>
            <charset val="128"/>
          </rPr>
          <t>例：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月を表示したい場合は「</t>
        </r>
        <r>
          <rPr>
            <sz val="12"/>
            <color rgb="FF000000"/>
            <rFont val="游ゴシック"/>
            <family val="3"/>
            <charset val="128"/>
          </rPr>
          <t>1</t>
        </r>
        <r>
          <rPr>
            <sz val="12"/>
            <color rgb="FF000000"/>
            <rFont val="游ゴシック"/>
            <family val="3"/>
            <charset val="128"/>
          </rPr>
          <t>」を入力する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B76285-C5E1-45E7-B724-51A673E3AD9D}" keepAlive="1" name="クエリ - テーブル1" description="ブック内の 'テーブル1' クエリへの接続です。" type="5" refreshedVersion="6" background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<sst xmlns="http://schemas.openxmlformats.org/spreadsheetml/2006/main" count="2191" uniqueCount="346">
  <si>
    <t>　日付</t>
  </si>
  <si>
    <t>売上</t>
  </si>
  <si>
    <t>経費</t>
  </si>
  <si>
    <t>来客数</t>
  </si>
  <si>
    <t>客単価</t>
  </si>
  <si>
    <t>人件費</t>
  </si>
  <si>
    <t>ひょうた</t>
  </si>
  <si>
    <t>ゆうき</t>
  </si>
  <si>
    <t>BA時BA</t>
  </si>
  <si>
    <t>ごんちゃん</t>
  </si>
  <si>
    <t>りょうへい</t>
  </si>
  <si>
    <t>しばたくん</t>
  </si>
  <si>
    <t>現金</t>
  </si>
  <si>
    <t>カード</t>
  </si>
  <si>
    <t>日別売上</t>
  </si>
  <si>
    <t>酒屋</t>
  </si>
  <si>
    <t>その他</t>
  </si>
  <si>
    <t>　日別経費</t>
  </si>
  <si>
    <t>備考欄</t>
  </si>
  <si>
    <t>入</t>
  </si>
  <si>
    <t>出</t>
  </si>
  <si>
    <t>支給</t>
  </si>
  <si>
    <t>通常</t>
  </si>
  <si>
    <t>20-22</t>
  </si>
  <si>
    <t>深夜</t>
  </si>
  <si>
    <t>22以降</t>
  </si>
  <si>
    <t>ランニング経費</t>
  </si>
  <si>
    <t>家賃</t>
  </si>
  <si>
    <t>光熱費</t>
  </si>
  <si>
    <t>おしぼり</t>
  </si>
  <si>
    <t>ゴミ屋</t>
  </si>
  <si>
    <t>社員給料</t>
  </si>
  <si>
    <t>カラオケ</t>
  </si>
  <si>
    <t>合計</t>
  </si>
  <si>
    <t>総売上</t>
  </si>
  <si>
    <t>変動経費</t>
  </si>
  <si>
    <t>固定経費</t>
  </si>
  <si>
    <t>利益</t>
  </si>
  <si>
    <t>現金合計</t>
  </si>
  <si>
    <t>カード合計</t>
  </si>
  <si>
    <t>幸田</t>
  </si>
  <si>
    <t>合計変動経費</t>
  </si>
  <si>
    <t>総動員数</t>
  </si>
  <si>
    <t>平均</t>
  </si>
  <si>
    <t>出勤日数</t>
  </si>
  <si>
    <t>勤務時間</t>
  </si>
  <si>
    <t>合計時間</t>
  </si>
  <si>
    <t>金額</t>
  </si>
  <si>
    <t>名前</t>
  </si>
  <si>
    <t>ひでき</t>
  </si>
  <si>
    <t>りく</t>
  </si>
  <si>
    <t>りく</t>
    <phoneticPr fontId="9"/>
  </si>
  <si>
    <t>りょうた</t>
  </si>
  <si>
    <t>あゆ</t>
  </si>
  <si>
    <t>優作</t>
    <rPh sb="0" eb="2">
      <t>ユウサク</t>
    </rPh>
    <phoneticPr fontId="9"/>
  </si>
  <si>
    <t>りき君</t>
    <rPh sb="2" eb="3">
      <t>クn</t>
    </rPh>
    <phoneticPr fontId="9"/>
  </si>
  <si>
    <t>りの</t>
  </si>
  <si>
    <t>林竜輝</t>
    <rPh sb="0" eb="1">
      <t>ハヤセィ</t>
    </rPh>
    <rPh sb="1" eb="2">
      <t xml:space="preserve">リュウ </t>
    </rPh>
    <rPh sb="2" eb="3">
      <t>キ</t>
    </rPh>
    <phoneticPr fontId="9"/>
  </si>
  <si>
    <t>ふうか</t>
  </si>
  <si>
    <t>しずか</t>
  </si>
  <si>
    <t>しずか</t>
    <phoneticPr fontId="9"/>
  </si>
  <si>
    <t>たから</t>
  </si>
  <si>
    <t>まさとし</t>
  </si>
  <si>
    <t>ごり君</t>
    <rPh sb="2" eb="3">
      <t>クn</t>
    </rPh>
    <phoneticPr fontId="9"/>
  </si>
  <si>
    <t>しょうへい</t>
  </si>
  <si>
    <t>こうすけ</t>
  </si>
  <si>
    <t>いたりお</t>
    <phoneticPr fontId="9"/>
  </si>
  <si>
    <t>さやか</t>
    <phoneticPr fontId="9"/>
  </si>
  <si>
    <t>あべ</t>
    <phoneticPr fontId="9"/>
  </si>
  <si>
    <t>いたりお</t>
  </si>
  <si>
    <t>さやか</t>
  </si>
  <si>
    <t>しょうた</t>
  </si>
  <si>
    <t>あべ</t>
  </si>
  <si>
    <t>なお</t>
  </si>
  <si>
    <t>AXIS</t>
  </si>
  <si>
    <t>AXIS</t>
    <phoneticPr fontId="9"/>
  </si>
  <si>
    <t>りゅうせい</t>
  </si>
  <si>
    <t>つん</t>
  </si>
  <si>
    <t>つん</t>
    <phoneticPr fontId="9"/>
  </si>
  <si>
    <t>細川</t>
    <rPh sb="0" eb="2">
      <t>ホソカ</t>
    </rPh>
    <phoneticPr fontId="9"/>
  </si>
  <si>
    <t>ダーツ</t>
    <phoneticPr fontId="7"/>
  </si>
  <si>
    <t>12月経費</t>
    <rPh sb="3" eb="5">
      <t xml:space="preserve">ケイヒ </t>
    </rPh>
    <phoneticPr fontId="7"/>
  </si>
  <si>
    <t>植田</t>
    <rPh sb="0" eb="2">
      <t>ウエダ</t>
    </rPh>
    <phoneticPr fontId="9"/>
  </si>
  <si>
    <t>ゆうや</t>
  </si>
  <si>
    <t>金本</t>
    <rPh sb="0" eb="2">
      <t>カネモト</t>
    </rPh>
    <phoneticPr fontId="9"/>
  </si>
  <si>
    <t>ななさ</t>
  </si>
  <si>
    <t>ななさ</t>
    <phoneticPr fontId="9"/>
  </si>
  <si>
    <t>たけりお</t>
  </si>
  <si>
    <t>銀河</t>
    <rPh sb="0" eb="2">
      <t>ギn</t>
    </rPh>
    <phoneticPr fontId="9"/>
  </si>
  <si>
    <t>力斗</t>
    <rPh sb="0" eb="1">
      <t>リキ</t>
    </rPh>
    <rPh sb="1" eb="2">
      <t xml:space="preserve">ト </t>
    </rPh>
    <phoneticPr fontId="9"/>
  </si>
  <si>
    <t>そうた</t>
  </si>
  <si>
    <t>そうた</t>
    <phoneticPr fontId="9"/>
  </si>
  <si>
    <t>ケイト</t>
  </si>
  <si>
    <t>ケイト</t>
    <phoneticPr fontId="9"/>
  </si>
  <si>
    <t>山本</t>
    <rPh sb="0" eb="2">
      <t>ヤマ</t>
    </rPh>
    <phoneticPr fontId="9"/>
  </si>
  <si>
    <t>平井さん</t>
    <rPh sb="0" eb="2">
      <t>ヒライ</t>
    </rPh>
    <phoneticPr fontId="9"/>
  </si>
  <si>
    <t>リュウくん</t>
  </si>
  <si>
    <t>リュウくん</t>
    <phoneticPr fontId="9"/>
  </si>
  <si>
    <t>さや</t>
  </si>
  <si>
    <t>さや</t>
    <phoneticPr fontId="9"/>
  </si>
  <si>
    <t>せいな</t>
  </si>
  <si>
    <t>せいな</t>
    <phoneticPr fontId="9"/>
  </si>
  <si>
    <t>まみ</t>
  </si>
  <si>
    <t>まみ</t>
    <phoneticPr fontId="9"/>
  </si>
  <si>
    <t>ボブ</t>
  </si>
  <si>
    <t>ボブ</t>
    <phoneticPr fontId="9"/>
  </si>
  <si>
    <t>わたる</t>
  </si>
  <si>
    <t>ゆりさん</t>
  </si>
  <si>
    <t>ゆりさん</t>
    <phoneticPr fontId="9"/>
  </si>
  <si>
    <t>たけさん</t>
  </si>
  <si>
    <t>たけさん</t>
    <phoneticPr fontId="9"/>
  </si>
  <si>
    <t>経費４万</t>
    <rPh sb="0" eb="2">
      <t>ケイヒ</t>
    </rPh>
    <phoneticPr fontId="7"/>
  </si>
  <si>
    <t>BARのみ</t>
    <phoneticPr fontId="7"/>
  </si>
  <si>
    <t>ヒョウタ</t>
    <phoneticPr fontId="9"/>
  </si>
  <si>
    <t>北山りょうめ128</t>
    <rPh sb="0" eb="2">
      <t>キタヤマ</t>
    </rPh>
    <phoneticPr fontId="9"/>
  </si>
  <si>
    <t>ちな３４</t>
  </si>
  <si>
    <t>ちな３４</t>
    <phoneticPr fontId="9"/>
  </si>
  <si>
    <t>りゅうせい４５</t>
  </si>
  <si>
    <t>りゅうせい４５</t>
    <phoneticPr fontId="9"/>
  </si>
  <si>
    <t>田中６４</t>
    <rPh sb="0" eb="2">
      <t>タナカ</t>
    </rPh>
    <phoneticPr fontId="9"/>
  </si>
  <si>
    <t>銀河1001</t>
    <rPh sb="0" eb="2">
      <t>ギn</t>
    </rPh>
    <phoneticPr fontId="9"/>
  </si>
  <si>
    <t>たけりお1006</t>
    <phoneticPr fontId="9"/>
  </si>
  <si>
    <t>ごんちゃん</t>
    <phoneticPr fontId="9"/>
  </si>
  <si>
    <t>りき君1013</t>
    <rPh sb="2" eb="3">
      <t>クn</t>
    </rPh>
    <phoneticPr fontId="9"/>
  </si>
  <si>
    <t>りの1025</t>
    <phoneticPr fontId="9"/>
  </si>
  <si>
    <t>ふうか1023</t>
    <phoneticPr fontId="9"/>
  </si>
  <si>
    <t>池田さん116</t>
    <rPh sb="0" eb="2">
      <t>イケダ</t>
    </rPh>
    <phoneticPr fontId="9"/>
  </si>
  <si>
    <t>ゆみ1056</t>
  </si>
  <si>
    <t>ゆみ1056</t>
    <phoneticPr fontId="9"/>
  </si>
  <si>
    <t>ゆう93</t>
  </si>
  <si>
    <t>ゆう93</t>
    <phoneticPr fontId="9"/>
  </si>
  <si>
    <t>なおや44</t>
  </si>
  <si>
    <t>なおや44</t>
    <phoneticPr fontId="9"/>
  </si>
  <si>
    <t>田中64</t>
    <rPh sb="0" eb="2">
      <t>タナカ</t>
    </rPh>
    <phoneticPr fontId="9"/>
  </si>
  <si>
    <t>たけと149</t>
    <rPh sb="0" eb="2">
      <t>タケト</t>
    </rPh>
    <phoneticPr fontId="9"/>
  </si>
  <si>
    <t>なお1011</t>
  </si>
  <si>
    <t>なお1011</t>
    <phoneticPr fontId="9"/>
  </si>
  <si>
    <t>りょうた1005</t>
  </si>
  <si>
    <t>りょうた1005</t>
    <phoneticPr fontId="9"/>
  </si>
  <si>
    <t>あゆ1003</t>
  </si>
  <si>
    <t>あゆ1003</t>
    <phoneticPr fontId="9"/>
  </si>
  <si>
    <t>わたる47</t>
  </si>
  <si>
    <t>わたる47</t>
    <phoneticPr fontId="9"/>
  </si>
  <si>
    <t>のぞみ85</t>
  </si>
  <si>
    <t>のぞみ85</t>
    <phoneticPr fontId="9"/>
  </si>
  <si>
    <t>まひろ149</t>
  </si>
  <si>
    <t>まひろ149</t>
    <phoneticPr fontId="9"/>
  </si>
  <si>
    <t>そうま1027</t>
  </si>
  <si>
    <t>そうま1027</t>
    <phoneticPr fontId="9"/>
  </si>
  <si>
    <t>丸尾140</t>
    <rPh sb="0" eb="2">
      <t>マル</t>
    </rPh>
    <phoneticPr fontId="9"/>
  </si>
  <si>
    <t>しょうた13</t>
  </si>
  <si>
    <t>しょうた13</t>
    <phoneticPr fontId="9"/>
  </si>
  <si>
    <t>しょうへい100</t>
  </si>
  <si>
    <t>しょうへい100</t>
    <phoneticPr fontId="9"/>
  </si>
  <si>
    <t>りる1051</t>
  </si>
  <si>
    <t>りる1051</t>
    <phoneticPr fontId="9"/>
  </si>
  <si>
    <t>さやかちゃん150</t>
  </si>
  <si>
    <t>さやかちゃん150</t>
    <phoneticPr fontId="9"/>
  </si>
  <si>
    <t>かきいち152</t>
  </si>
  <si>
    <t>かきいち152</t>
    <phoneticPr fontId="9"/>
  </si>
  <si>
    <t xml:space="preserve">まこ1046 </t>
  </si>
  <si>
    <t xml:space="preserve">まこ1046 </t>
    <phoneticPr fontId="9"/>
  </si>
  <si>
    <t>こうすけ1028</t>
  </si>
  <si>
    <t>こうすけ1028</t>
    <phoneticPr fontId="9"/>
  </si>
  <si>
    <t>ゆうや1039</t>
    <phoneticPr fontId="9"/>
  </si>
  <si>
    <t>林竜輝112</t>
    <rPh sb="0" eb="1">
      <t>ハヤセィ</t>
    </rPh>
    <rPh sb="1" eb="2">
      <t xml:space="preserve">リュウ </t>
    </rPh>
    <rPh sb="2" eb="3">
      <t>キ</t>
    </rPh>
    <phoneticPr fontId="9"/>
  </si>
  <si>
    <t>ふうか1023</t>
  </si>
  <si>
    <t>売上げ</t>
    <rPh sb="0" eb="2">
      <t>ウリアゲ</t>
    </rPh>
    <phoneticPr fontId="7"/>
  </si>
  <si>
    <t>現金</t>
    <rPh sb="0" eb="1">
      <t>ゲンキ</t>
    </rPh>
    <phoneticPr fontId="7"/>
  </si>
  <si>
    <t>合計</t>
    <rPh sb="0" eb="2">
      <t>ゴウケイ</t>
    </rPh>
    <phoneticPr fontId="7"/>
  </si>
  <si>
    <t>」</t>
    <phoneticPr fontId="7"/>
  </si>
  <si>
    <t>Beck りく</t>
  </si>
  <si>
    <t>Beck りく</t>
    <phoneticPr fontId="9"/>
  </si>
  <si>
    <t>Beck しゅうじ</t>
  </si>
  <si>
    <t>Beck しゅうじ</t>
    <phoneticPr fontId="9"/>
  </si>
  <si>
    <t>申出申請</t>
    <rPh sb="0" eb="4">
      <t>モウシデ</t>
    </rPh>
    <phoneticPr fontId="7"/>
  </si>
  <si>
    <t>現金合計</t>
    <rPh sb="0" eb="1">
      <t>ゲンキ</t>
    </rPh>
    <phoneticPr fontId="7"/>
  </si>
  <si>
    <t>りく&amp;りょへ　自腹</t>
    <rPh sb="7" eb="9">
      <t>ジバラ</t>
    </rPh>
    <phoneticPr fontId="7"/>
  </si>
  <si>
    <t>20000○</t>
    <phoneticPr fontId="7"/>
  </si>
  <si>
    <t>↑</t>
    <phoneticPr fontId="7"/>
  </si>
  <si>
    <t>22000払い済み</t>
    <rPh sb="5" eb="6">
      <t>ハライズム</t>
    </rPh>
    <rPh sb="7" eb="8">
      <t>ズミ</t>
    </rPh>
    <phoneticPr fontId="7"/>
  </si>
  <si>
    <t>※経費は日付ベース</t>
    <rPh sb="1" eb="3">
      <t>ケイヒ</t>
    </rPh>
    <rPh sb="4" eb="6">
      <t>ヒヅケ</t>
    </rPh>
    <phoneticPr fontId="7"/>
  </si>
  <si>
    <t>2８日分お釣りから</t>
    <rPh sb="3" eb="4">
      <t xml:space="preserve">ブン </t>
    </rPh>
    <phoneticPr fontId="7"/>
  </si>
  <si>
    <t>石岡178</t>
    <rPh sb="0" eb="2">
      <t>イセィ</t>
    </rPh>
    <phoneticPr fontId="9"/>
  </si>
  <si>
    <t>ほのか183</t>
  </si>
  <si>
    <t>ほのか183</t>
    <phoneticPr fontId="9"/>
  </si>
  <si>
    <t>山本こうへい</t>
    <rPh sb="0" eb="1">
      <t>ヤマ</t>
    </rPh>
    <phoneticPr fontId="9"/>
  </si>
  <si>
    <t>ゆうや1039</t>
  </si>
  <si>
    <t>まな1068</t>
  </si>
  <si>
    <t>まな1068</t>
    <phoneticPr fontId="9"/>
  </si>
  <si>
    <t>こーが1070</t>
  </si>
  <si>
    <t>こーが1070</t>
    <phoneticPr fontId="9"/>
  </si>
  <si>
    <t>内野さん</t>
    <rPh sb="0" eb="2">
      <t>ウチノサn</t>
    </rPh>
    <phoneticPr fontId="9"/>
  </si>
  <si>
    <t>ヨウスケ</t>
  </si>
  <si>
    <t>ヨウスケ</t>
    <phoneticPr fontId="9"/>
  </si>
  <si>
    <t>ユウスケ143</t>
  </si>
  <si>
    <t>ユウスケ143</t>
    <phoneticPr fontId="9"/>
  </si>
  <si>
    <t>あんじゅ185</t>
  </si>
  <si>
    <t>あんじゅ185</t>
    <phoneticPr fontId="9"/>
  </si>
  <si>
    <t>あやね1067</t>
  </si>
  <si>
    <t>あやね1067</t>
    <phoneticPr fontId="9"/>
  </si>
  <si>
    <t>もも1071</t>
  </si>
  <si>
    <t>もも1071</t>
    <phoneticPr fontId="9"/>
  </si>
  <si>
    <t>ケントくん111</t>
  </si>
  <si>
    <t>ケントくん111</t>
    <phoneticPr fontId="9"/>
  </si>
  <si>
    <t>カンタ君</t>
  </si>
  <si>
    <t>カンタ君</t>
    <phoneticPr fontId="9"/>
  </si>
  <si>
    <t>あん</t>
  </si>
  <si>
    <t>あん</t>
    <phoneticPr fontId="9"/>
  </si>
  <si>
    <t>ゆーやくん</t>
  </si>
  <si>
    <t>まや</t>
  </si>
  <si>
    <t>さやか1090</t>
    <phoneticPr fontId="9"/>
  </si>
  <si>
    <t>まや1086</t>
    <phoneticPr fontId="9"/>
  </si>
  <si>
    <t>なつきちゃん</t>
  </si>
  <si>
    <t>なつきちゃん</t>
    <phoneticPr fontId="9"/>
  </si>
  <si>
    <t>はじめ1074</t>
  </si>
  <si>
    <t>はじめ1074</t>
    <phoneticPr fontId="9"/>
  </si>
  <si>
    <t>しょーた1081</t>
  </si>
  <si>
    <t>しょーた1081</t>
    <phoneticPr fontId="9"/>
  </si>
  <si>
    <t>経費</t>
    <rPh sb="0" eb="2">
      <t>ケイヒ</t>
    </rPh>
    <phoneticPr fontId="7"/>
  </si>
  <si>
    <t>残り８３６０</t>
    <rPh sb="0" eb="1">
      <t>ノコリ</t>
    </rPh>
    <phoneticPr fontId="7"/>
  </si>
  <si>
    <t>ズレ1１120</t>
    <phoneticPr fontId="7"/>
  </si>
  <si>
    <t>たくま1094</t>
  </si>
  <si>
    <t>たくま1094</t>
    <phoneticPr fontId="9"/>
  </si>
  <si>
    <t>めんさん９</t>
    <phoneticPr fontId="9"/>
  </si>
  <si>
    <t>リコちゃん２１８</t>
  </si>
  <si>
    <t>リコちゃん２１８</t>
    <phoneticPr fontId="9"/>
  </si>
  <si>
    <t>まや1086</t>
  </si>
  <si>
    <t>バック</t>
    <phoneticPr fontId="7"/>
  </si>
  <si>
    <t>コーラ</t>
    <phoneticPr fontId="7"/>
  </si>
  <si>
    <t>お釣り</t>
    <phoneticPr fontId="7"/>
  </si>
  <si>
    <t>まみちゃん</t>
  </si>
  <si>
    <t>まみちゃん</t>
    <phoneticPr fontId="9"/>
  </si>
  <si>
    <t>経費</t>
    <rPh sb="0" eb="2">
      <t xml:space="preserve">ケイヒ </t>
    </rPh>
    <phoneticPr fontId="7"/>
  </si>
  <si>
    <t>はやて</t>
  </si>
  <si>
    <t>はやて</t>
    <phoneticPr fontId="9"/>
  </si>
  <si>
    <t xml:space="preserve"> </t>
  </si>
  <si>
    <t>ほっしー</t>
  </si>
  <si>
    <t>酒屋</t>
    <rPh sb="0" eb="1">
      <t>サカ</t>
    </rPh>
    <phoneticPr fontId="7"/>
  </si>
  <si>
    <t>10/２ガチャガチャ</t>
    <phoneticPr fontId="7"/>
  </si>
  <si>
    <t>ゆうぜん 1036</t>
  </si>
  <si>
    <t>ゆうぜん 1036</t>
    <phoneticPr fontId="9"/>
  </si>
  <si>
    <t>コース</t>
    <phoneticPr fontId="7"/>
  </si>
  <si>
    <t>経費差額残高</t>
    <rPh sb="0" eb="2">
      <t>ケイヒ</t>
    </rPh>
    <rPh sb="2" eb="6">
      <t>サガク</t>
    </rPh>
    <phoneticPr fontId="7"/>
  </si>
  <si>
    <t>経費</t>
    <rPh sb="0" eb="2">
      <t>ケイヒ</t>
    </rPh>
    <phoneticPr fontId="9"/>
  </si>
  <si>
    <t>金額</t>
    <rPh sb="0" eb="2">
      <t>キンガク</t>
    </rPh>
    <phoneticPr fontId="9"/>
  </si>
  <si>
    <t>合計</t>
    <rPh sb="0" eb="2">
      <t>ゴウケイ</t>
    </rPh>
    <phoneticPr fontId="9"/>
  </si>
  <si>
    <t>Axis</t>
    <phoneticPr fontId="9"/>
  </si>
  <si>
    <t>　</t>
  </si>
  <si>
    <t>経費残高</t>
    <rPh sb="0" eb="4">
      <t>ケイヒ</t>
    </rPh>
    <phoneticPr fontId="9"/>
  </si>
  <si>
    <t>現金売上30日~</t>
    <rPh sb="0" eb="2">
      <t>ゲンキ</t>
    </rPh>
    <rPh sb="2" eb="4">
      <t>ウリアゲ</t>
    </rPh>
    <phoneticPr fontId="7"/>
  </si>
  <si>
    <t>現金売上14日〜</t>
    <rPh sb="0" eb="4">
      <t>ゲンキ</t>
    </rPh>
    <phoneticPr fontId="7"/>
  </si>
  <si>
    <t>ゆう</t>
  </si>
  <si>
    <t>うらら 227</t>
  </si>
  <si>
    <t>ゆーや</t>
  </si>
  <si>
    <t>ゆーや</t>
    <phoneticPr fontId="9"/>
  </si>
  <si>
    <t>カード決済</t>
    <phoneticPr fontId="7"/>
  </si>
  <si>
    <t>はづきちゃん</t>
  </si>
  <si>
    <t>はづきちゃん</t>
    <phoneticPr fontId="9"/>
  </si>
  <si>
    <t>現金売上1日〜</t>
    <rPh sb="0" eb="4">
      <t>ゲンキ</t>
    </rPh>
    <phoneticPr fontId="7"/>
  </si>
  <si>
    <t>こうへいくん２３６</t>
  </si>
  <si>
    <t>こうへいくん２３６</t>
    <phoneticPr fontId="9"/>
  </si>
  <si>
    <t>ゆめほ 265</t>
  </si>
  <si>
    <t>ゆめほ 265</t>
    <phoneticPr fontId="9"/>
  </si>
  <si>
    <t>その他</t>
    <phoneticPr fontId="7"/>
  </si>
  <si>
    <t>現金売上１日〜</t>
    <rPh sb="0" eb="4">
      <t>ゲンキn</t>
    </rPh>
    <phoneticPr fontId="7"/>
  </si>
  <si>
    <t>1/9(土)coolカード</t>
    <rPh sb="4" eb="5">
      <t>ドヨウ</t>
    </rPh>
    <phoneticPr fontId="7"/>
  </si>
  <si>
    <t>５８０００円</t>
    <rPh sb="5" eb="6">
      <t>エn</t>
    </rPh>
    <phoneticPr fontId="7"/>
  </si>
  <si>
    <t>円抜き</t>
    <rPh sb="0" eb="2">
      <t>エn</t>
    </rPh>
    <phoneticPr fontId="7"/>
  </si>
  <si>
    <t>酒屋（カード）</t>
    <phoneticPr fontId="7"/>
  </si>
  <si>
    <t>酒屋（現金）</t>
    <rPh sb="0" eb="2">
      <t>サカヤ</t>
    </rPh>
    <phoneticPr fontId="7"/>
  </si>
  <si>
    <t>かずま　２６０</t>
  </si>
  <si>
    <t>かずま　２６０</t>
    <phoneticPr fontId="9"/>
  </si>
  <si>
    <t>まおちゃん</t>
  </si>
  <si>
    <t>まおちゃん</t>
    <phoneticPr fontId="9"/>
  </si>
  <si>
    <t>酒屋グラン（カード）</t>
    <phoneticPr fontId="7"/>
  </si>
  <si>
    <t>酒屋現金</t>
    <rPh sb="0" eb="2">
      <t>サカヤ</t>
    </rPh>
    <rPh sb="2" eb="4">
      <t>ゲn</t>
    </rPh>
    <phoneticPr fontId="7"/>
  </si>
  <si>
    <t>雑費</t>
    <rPh sb="0" eb="2">
      <t>ザッピ</t>
    </rPh>
    <phoneticPr fontId="7"/>
  </si>
  <si>
    <t>現金</t>
    <rPh sb="0" eb="2">
      <t>ゲンキn</t>
    </rPh>
    <phoneticPr fontId="7"/>
  </si>
  <si>
    <t>現金残高1日〜</t>
    <rPh sb="0" eb="2">
      <t>ゲンキn</t>
    </rPh>
    <rPh sb="2" eb="4">
      <t>ザンダカ</t>
    </rPh>
    <phoneticPr fontId="7"/>
  </si>
  <si>
    <t>りの1025</t>
  </si>
  <si>
    <t>2020年</t>
  </si>
  <si>
    <t>Axis</t>
  </si>
  <si>
    <t>バック</t>
  </si>
  <si>
    <t>経費残高</t>
  </si>
  <si>
    <t>酒屋グラン</t>
    <phoneticPr fontId="7"/>
  </si>
  <si>
    <t>現金酒代</t>
    <rPh sb="0" eb="2">
      <t>ゲンキ</t>
    </rPh>
    <rPh sb="2" eb="4">
      <t>サカ</t>
    </rPh>
    <phoneticPr fontId="7"/>
  </si>
  <si>
    <t>いおりくん</t>
  </si>
  <si>
    <t>いおりくん</t>
    <phoneticPr fontId="9"/>
  </si>
  <si>
    <t>大地</t>
    <rPh sb="0" eb="2">
      <t>ダイティ</t>
    </rPh>
    <phoneticPr fontId="9"/>
  </si>
  <si>
    <t>Air台</t>
    <phoneticPr fontId="7"/>
  </si>
  <si>
    <t>ようようちゃん</t>
  </si>
  <si>
    <t>ようようちゃん</t>
    <phoneticPr fontId="9"/>
  </si>
  <si>
    <t>かずな</t>
  </si>
  <si>
    <t>たつきくん</t>
  </si>
  <si>
    <t>たつきくん</t>
    <phoneticPr fontId="9"/>
  </si>
  <si>
    <t>かいと</t>
  </si>
  <si>
    <t>りょうめい</t>
  </si>
  <si>
    <t>りょうめい</t>
    <phoneticPr fontId="9"/>
  </si>
  <si>
    <t>酒屋（現金）</t>
    <rPh sb="0" eb="2">
      <t>サカヤ</t>
    </rPh>
    <rPh sb="3" eb="5">
      <t>ゲンキn</t>
    </rPh>
    <phoneticPr fontId="7"/>
  </si>
  <si>
    <t>ゆうさく君</t>
    <rPh sb="4" eb="5">
      <t xml:space="preserve">クン </t>
    </rPh>
    <phoneticPr fontId="9"/>
  </si>
  <si>
    <t>２２０番</t>
  </si>
  <si>
    <t>キッシュ売上</t>
    <rPh sb="4" eb="6">
      <t>ウリアゲ</t>
    </rPh>
    <phoneticPr fontId="7"/>
  </si>
  <si>
    <t>酒屋(カード)</t>
    <phoneticPr fontId="9"/>
  </si>
  <si>
    <t>酒屋（現金）</t>
    <rPh sb="0" eb="2">
      <t>サカヤ</t>
    </rPh>
    <rPh sb="3" eb="5">
      <t>ゲンキn</t>
    </rPh>
    <phoneticPr fontId="9"/>
  </si>
  <si>
    <t>その他</t>
    <phoneticPr fontId="9"/>
  </si>
  <si>
    <t>キッシュ売上</t>
    <rPh sb="4" eb="6">
      <t>ウリアゲ</t>
    </rPh>
    <phoneticPr fontId="9"/>
  </si>
  <si>
    <t>売上残高</t>
    <rPh sb="0" eb="4">
      <t>ウリアゲ</t>
    </rPh>
    <phoneticPr fontId="9"/>
  </si>
  <si>
    <t>経費残高</t>
    <rPh sb="0" eb="4">
      <t>ケイヒズ</t>
    </rPh>
    <phoneticPr fontId="9"/>
  </si>
  <si>
    <t>現金経費</t>
    <rPh sb="0" eb="2">
      <t>ゲンキn</t>
    </rPh>
    <rPh sb="2" eb="4">
      <t>ケイヒ</t>
    </rPh>
    <phoneticPr fontId="9"/>
  </si>
  <si>
    <t>2021年</t>
  </si>
  <si>
    <t>キッシュ売上</t>
  </si>
  <si>
    <t>酒屋(カード)</t>
  </si>
  <si>
    <t>酒屋（現金）</t>
  </si>
  <si>
    <t>現金経費</t>
  </si>
  <si>
    <t>売上残高</t>
  </si>
  <si>
    <t>1０月</t>
    <phoneticPr fontId="7"/>
  </si>
  <si>
    <t>はやて</t>
    <phoneticPr fontId="7"/>
  </si>
  <si>
    <t>りょうめい</t>
    <phoneticPr fontId="7"/>
  </si>
  <si>
    <t>かいと</t>
    <phoneticPr fontId="7"/>
  </si>
  <si>
    <t>ゆめほ</t>
    <phoneticPr fontId="7"/>
  </si>
  <si>
    <t>銀河</t>
    <rPh sb="0" eb="2">
      <t>ギn</t>
    </rPh>
    <phoneticPr fontId="7"/>
  </si>
  <si>
    <t>りの</t>
    <phoneticPr fontId="7"/>
  </si>
  <si>
    <t>もも</t>
    <phoneticPr fontId="7"/>
  </si>
  <si>
    <t>あゆ</t>
    <phoneticPr fontId="7"/>
  </si>
  <si>
    <t>たいが</t>
    <phoneticPr fontId="7"/>
  </si>
  <si>
    <t>まこ</t>
    <phoneticPr fontId="7"/>
  </si>
  <si>
    <t>たくみ君２８４</t>
  </si>
  <si>
    <t>たくみ君２８４</t>
    <phoneticPr fontId="9"/>
  </si>
  <si>
    <t>あやちゃん</t>
  </si>
  <si>
    <t>あやちゃん</t>
    <phoneticPr fontId="9"/>
  </si>
  <si>
    <t>15000円</t>
    <rPh sb="5" eb="6">
      <t>エn</t>
    </rPh>
    <phoneticPr fontId="7"/>
  </si>
  <si>
    <t>36750円</t>
    <rPh sb="5" eb="6">
      <t>エn</t>
    </rPh>
    <phoneticPr fontId="7"/>
  </si>
  <si>
    <t>Bar 54</t>
    <phoneticPr fontId="7"/>
  </si>
  <si>
    <t>ゆう君</t>
    <rPh sb="2" eb="3">
      <t>クn</t>
    </rPh>
    <phoneticPr fontId="9"/>
  </si>
  <si>
    <t>まこと</t>
  </si>
  <si>
    <t>まこと</t>
    <phoneticPr fontId="9"/>
  </si>
  <si>
    <t>G27=Amazon</t>
    <phoneticPr fontId="7"/>
  </si>
  <si>
    <t>クライナ</t>
    <phoneticPr fontId="7"/>
  </si>
  <si>
    <t>誠</t>
    <rPh sb="0" eb="1">
      <t>マコト</t>
    </rPh>
    <phoneticPr fontId="9"/>
  </si>
  <si>
    <t>29,30,31</t>
    <phoneticPr fontId="7"/>
  </si>
  <si>
    <t>烈　出勤</t>
    <rPh sb="0" eb="1">
      <t>レテゥ</t>
    </rPh>
    <rPh sb="2" eb="4">
      <t>シュッキn</t>
    </rPh>
    <phoneticPr fontId="7"/>
  </si>
  <si>
    <t>cool</t>
    <phoneticPr fontId="16"/>
  </si>
  <si>
    <t>あっきー</t>
  </si>
  <si>
    <t>あっきー</t>
    <phoneticPr fontId="9"/>
  </si>
  <si>
    <t>○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</si>
</sst>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¥&quot;#,##0;[Red]&quot;¥&quot;\-#,##0"/>
    <numFmt numFmtId="176" formatCode="&quot;¥&quot;#,##0_);\(&quot;¥&quot;#,##0\)"/>
    <numFmt numFmtId="177" formatCode="&quot;¥&quot;#,##0_);[Red]\(&quot;¥&quot;#,##0\)"/>
    <numFmt numFmtId="178" formatCode="&quot;¥&quot;#,##0.00_);\(&quot;¥&quot;#,##0.00\)"/>
    <numFmt numFmtId="179" formatCode="#&quot;年&quot;"/>
    <numFmt numFmtId="180" formatCode="#&quot;月&quot;"/>
    <numFmt numFmtId="181" formatCode="&quot;¥&quot;#,##0;&quot;¥-&quot;#,##0"/>
    <numFmt numFmtId="182" formatCode="[h]:mm"/>
    <numFmt numFmtId="183" formatCode="#,##0_);[Red]\(#,##0\)"/>
    <numFmt numFmtId="184" formatCode="0_);[Red]\(0\)"/>
  </numFmts>
  <fonts count="17">
    <font>
      <sz val="12"/>
      <color rgb="FF000000"/>
      <name val="游ゴシック"/>
    </font>
    <font>
      <sz val="18"/>
      <color theme="1"/>
      <name val="游ゴシック Light"/>
      <family val="3"/>
      <charset val="128"/>
    </font>
    <font>
      <sz val="12"/>
      <name val="游ゴシック"/>
      <family val="3"/>
      <charset val="128"/>
    </font>
    <font>
      <sz val="11"/>
      <color rgb="FF000000"/>
      <name val="MS PGothic"/>
      <family val="2"/>
      <charset val="128"/>
    </font>
    <font>
      <sz val="12"/>
      <color rgb="FFFFFFFF"/>
      <name val="游ゴシック"/>
      <family val="3"/>
      <charset val="128"/>
    </font>
    <font>
      <sz val="9"/>
      <color rgb="FF000000"/>
      <name val="MS PGothic"/>
      <family val="2"/>
      <charset val="128"/>
    </font>
    <font>
      <sz val="12"/>
      <color theme="1"/>
      <name val="游ゴシック"/>
      <family val="3"/>
      <charset val="128"/>
    </font>
    <font>
      <sz val="6"/>
      <name val="Tsukushi A Round Gothic Bold"/>
      <family val="3"/>
      <charset val="128"/>
    </font>
    <font>
      <sz val="12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2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1"/>
      <color rgb="FF000000"/>
      <name val="游ゴシック Regular"/>
      <family val="3"/>
      <charset val="128"/>
    </font>
    <font>
      <b/>
      <sz val="12"/>
      <color rgb="FF000000"/>
      <name val="游ゴシック"/>
      <family val="3"/>
      <charset val="128"/>
    </font>
    <font>
      <sz val="12"/>
      <color rgb="FF000000"/>
      <name val="游ゴシック Regular"/>
      <charset val="128"/>
    </font>
    <font>
      <sz val="18"/>
      <color rgb="FF000000"/>
      <name val="游ゴシック Light"/>
      <family val="3"/>
      <charset val="128"/>
    </font>
    <font>
      <sz val="6"/>
      <name val="Yu Gothic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F3D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F3D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DEBF7"/>
        <bgColor rgb="FF000000"/>
      </patternFill>
    </fill>
  </fills>
  <borders count="1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7" fontId="10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642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8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8" fontId="5" fillId="0" borderId="17" xfId="0" applyNumberFormat="1" applyFont="1" applyBorder="1" applyAlignment="1">
      <alignment horizontal="center" vertical="center"/>
    </xf>
    <xf numFmtId="38" fontId="3" fillId="0" borderId="15" xfId="0" applyNumberFormat="1" applyFont="1" applyBorder="1" applyAlignment="1">
      <alignment horizontal="center" vertical="center"/>
    </xf>
    <xf numFmtId="38" fontId="3" fillId="0" borderId="16" xfId="0" applyNumberFormat="1" applyFont="1" applyBorder="1" applyAlignment="1">
      <alignment horizontal="center" vertical="center"/>
    </xf>
    <xf numFmtId="38" fontId="3" fillId="0" borderId="1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4" fillId="2" borderId="27" xfId="0" applyFont="1" applyFill="1" applyBorder="1" applyAlignment="1">
      <alignment vertical="center"/>
    </xf>
    <xf numFmtId="31" fontId="0" fillId="0" borderId="30" xfId="0" applyNumberFormat="1" applyFont="1" applyBorder="1" applyAlignment="1">
      <alignment horizontal="center" vertical="center"/>
    </xf>
    <xf numFmtId="181" fontId="0" fillId="0" borderId="28" xfId="0" applyNumberFormat="1" applyFont="1" applyBorder="1" applyAlignment="1">
      <alignment vertical="center"/>
    </xf>
    <xf numFmtId="181" fontId="0" fillId="0" borderId="28" xfId="0" applyNumberFormat="1" applyFont="1" applyBorder="1" applyAlignment="1">
      <alignment vertical="center"/>
    </xf>
    <xf numFmtId="181" fontId="0" fillId="3" borderId="31" xfId="0" applyNumberFormat="1" applyFont="1" applyFill="1" applyBorder="1" applyAlignment="1">
      <alignment vertical="center"/>
    </xf>
    <xf numFmtId="38" fontId="0" fillId="0" borderId="32" xfId="0" applyNumberFormat="1" applyFont="1" applyBorder="1" applyAlignment="1">
      <alignment horizontal="center" vertical="center"/>
    </xf>
    <xf numFmtId="38" fontId="0" fillId="0" borderId="28" xfId="0" applyNumberFormat="1" applyFont="1" applyBorder="1" applyAlignment="1">
      <alignment vertical="center"/>
    </xf>
    <xf numFmtId="38" fontId="0" fillId="0" borderId="29" xfId="0" applyNumberFormat="1" applyFont="1" applyBorder="1" applyAlignment="1">
      <alignment vertical="center"/>
    </xf>
    <xf numFmtId="38" fontId="0" fillId="3" borderId="31" xfId="0" applyNumberFormat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56" fontId="0" fillId="0" borderId="34" xfId="0" applyNumberFormat="1" applyFont="1" applyBorder="1" applyAlignment="1"/>
    <xf numFmtId="182" fontId="0" fillId="0" borderId="29" xfId="0" applyNumberFormat="1" applyFont="1" applyBorder="1" applyAlignment="1"/>
    <xf numFmtId="56" fontId="0" fillId="0" borderId="35" xfId="0" applyNumberFormat="1" applyFont="1" applyBorder="1" applyAlignment="1">
      <alignment vertical="center"/>
    </xf>
    <xf numFmtId="38" fontId="0" fillId="0" borderId="35" xfId="0" applyNumberFormat="1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181" fontId="0" fillId="0" borderId="35" xfId="0" applyNumberFormat="1" applyFont="1" applyBorder="1" applyAlignment="1">
      <alignment vertical="center"/>
    </xf>
    <xf numFmtId="181" fontId="0" fillId="3" borderId="38" xfId="0" applyNumberFormat="1" applyFont="1" applyFill="1" applyBorder="1" applyAlignment="1">
      <alignment vertical="center"/>
    </xf>
    <xf numFmtId="38" fontId="0" fillId="0" borderId="30" xfId="0" applyNumberFormat="1" applyFont="1" applyBorder="1" applyAlignment="1">
      <alignment horizontal="center" vertical="center"/>
    </xf>
    <xf numFmtId="38" fontId="0" fillId="3" borderId="39" xfId="0" applyNumberFormat="1" applyFont="1" applyFill="1" applyBorder="1" applyAlignment="1">
      <alignment vertical="center"/>
    </xf>
    <xf numFmtId="182" fontId="0" fillId="0" borderId="30" xfId="0" applyNumberFormat="1" applyFont="1" applyBorder="1" applyAlignment="1">
      <alignment horizontal="center" vertical="center"/>
    </xf>
    <xf numFmtId="38" fontId="0" fillId="0" borderId="36" xfId="0" applyNumberFormat="1" applyFont="1" applyBorder="1" applyAlignment="1">
      <alignment vertical="center"/>
    </xf>
    <xf numFmtId="38" fontId="3" fillId="0" borderId="35" xfId="0" applyNumberFormat="1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38" fontId="0" fillId="0" borderId="42" xfId="0" applyNumberFormat="1" applyFont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38" fontId="0" fillId="3" borderId="35" xfId="0" applyNumberFormat="1" applyFont="1" applyFill="1" applyBorder="1" applyAlignment="1">
      <alignment vertical="center"/>
    </xf>
    <xf numFmtId="176" fontId="0" fillId="0" borderId="43" xfId="0" applyNumberFormat="1" applyFont="1" applyBorder="1" applyAlignment="1">
      <alignment vertical="center"/>
    </xf>
    <xf numFmtId="181" fontId="0" fillId="0" borderId="41" xfId="0" applyNumberFormat="1" applyFont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56" fontId="0" fillId="0" borderId="10" xfId="0" applyNumberFormat="1" applyFont="1" applyBorder="1" applyAlignment="1">
      <alignment vertical="center"/>
    </xf>
    <xf numFmtId="56" fontId="0" fillId="0" borderId="35" xfId="0" applyNumberFormat="1" applyFont="1" applyBorder="1" applyAlignment="1"/>
    <xf numFmtId="38" fontId="0" fillId="0" borderId="37" xfId="0" applyNumberFormat="1" applyFont="1" applyBorder="1" applyAlignment="1">
      <alignment vertical="center"/>
    </xf>
    <xf numFmtId="38" fontId="0" fillId="0" borderId="15" xfId="0" applyNumberFormat="1" applyFont="1" applyBorder="1" applyAlignment="1">
      <alignment vertical="center"/>
    </xf>
    <xf numFmtId="38" fontId="0" fillId="3" borderId="44" xfId="0" applyNumberFormat="1" applyFont="1" applyFill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181" fontId="0" fillId="3" borderId="35" xfId="0" applyNumberFormat="1" applyFont="1" applyFill="1" applyBorder="1" applyAlignment="1">
      <alignment vertical="center"/>
    </xf>
    <xf numFmtId="38" fontId="0" fillId="0" borderId="26" xfId="0" applyNumberFormat="1" applyFont="1" applyBorder="1" applyAlignment="1">
      <alignment vertical="center"/>
    </xf>
    <xf numFmtId="38" fontId="0" fillId="0" borderId="46" xfId="0" applyNumberFormat="1" applyFont="1" applyBorder="1" applyAlignment="1">
      <alignment vertical="center"/>
    </xf>
    <xf numFmtId="38" fontId="0" fillId="0" borderId="24" xfId="0" applyNumberFormat="1" applyFont="1" applyBorder="1" applyAlignment="1">
      <alignment vertical="center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38" fontId="3" fillId="0" borderId="50" xfId="0" applyNumberFormat="1" applyFont="1" applyBorder="1" applyAlignment="1">
      <alignment horizontal="center" vertical="center"/>
    </xf>
    <xf numFmtId="38" fontId="3" fillId="0" borderId="48" xfId="0" applyNumberFormat="1" applyFont="1" applyBorder="1" applyAlignment="1">
      <alignment horizontal="center" vertical="center"/>
    </xf>
    <xf numFmtId="38" fontId="3" fillId="0" borderId="49" xfId="0" applyNumberFormat="1" applyFont="1" applyBorder="1" applyAlignment="1">
      <alignment horizontal="center" vertical="center"/>
    </xf>
    <xf numFmtId="38" fontId="5" fillId="0" borderId="51" xfId="0" applyNumberFormat="1" applyFont="1" applyBorder="1" applyAlignment="1">
      <alignment horizontal="center" vertical="center"/>
    </xf>
    <xf numFmtId="38" fontId="3" fillId="0" borderId="52" xfId="0" applyNumberFormat="1" applyFont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0" fillId="0" borderId="53" xfId="0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183" fontId="0" fillId="0" borderId="3" xfId="0" applyNumberFormat="1" applyFont="1" applyBorder="1" applyAlignment="1">
      <alignment vertical="center"/>
    </xf>
    <xf numFmtId="183" fontId="0" fillId="0" borderId="57" xfId="0" applyNumberFormat="1" applyFont="1" applyBorder="1" applyAlignment="1">
      <alignment horizontal="center" vertical="center"/>
    </xf>
    <xf numFmtId="183" fontId="0" fillId="0" borderId="4" xfId="0" applyNumberFormat="1" applyFont="1" applyBorder="1" applyAlignment="1">
      <alignment vertical="center"/>
    </xf>
    <xf numFmtId="0" fontId="4" fillId="2" borderId="58" xfId="0" applyFont="1" applyFill="1" applyBorder="1" applyAlignment="1">
      <alignment vertical="center"/>
    </xf>
    <xf numFmtId="49" fontId="0" fillId="0" borderId="59" xfId="0" applyNumberFormat="1" applyFont="1" applyBorder="1" applyAlignment="1">
      <alignment horizontal="center" vertical="center"/>
    </xf>
    <xf numFmtId="181" fontId="0" fillId="0" borderId="60" xfId="0" applyNumberFormat="1" applyFont="1" applyBorder="1" applyAlignment="1">
      <alignment vertical="center"/>
    </xf>
    <xf numFmtId="38" fontId="0" fillId="0" borderId="20" xfId="0" applyNumberFormat="1" applyFont="1" applyBorder="1" applyAlignment="1">
      <alignment vertical="center"/>
    </xf>
    <xf numFmtId="38" fontId="0" fillId="0" borderId="60" xfId="0" applyNumberFormat="1" applyFont="1" applyBorder="1" applyAlignment="1">
      <alignment vertical="center"/>
    </xf>
    <xf numFmtId="38" fontId="0" fillId="0" borderId="61" xfId="0" applyNumberFormat="1" applyFont="1" applyBorder="1" applyAlignment="1">
      <alignment vertical="center"/>
    </xf>
    <xf numFmtId="38" fontId="0" fillId="0" borderId="62" xfId="0" applyNumberFormat="1" applyFont="1" applyBorder="1" applyAlignment="1">
      <alignment vertical="center"/>
    </xf>
    <xf numFmtId="20" fontId="0" fillId="0" borderId="23" xfId="0" applyNumberFormat="1" applyFont="1" applyBorder="1" applyAlignment="1">
      <alignment vertical="center"/>
    </xf>
    <xf numFmtId="182" fontId="0" fillId="0" borderId="24" xfId="0" applyNumberFormat="1" applyFont="1" applyBorder="1" applyAlignment="1">
      <alignment vertical="center"/>
    </xf>
    <xf numFmtId="182" fontId="0" fillId="0" borderId="63" xfId="0" applyNumberFormat="1" applyFont="1" applyBorder="1" applyAlignment="1">
      <alignment horizontal="center" vertical="center"/>
    </xf>
    <xf numFmtId="182" fontId="0" fillId="0" borderId="63" xfId="0" applyNumberFormat="1" applyFont="1" applyBorder="1" applyAlignment="1">
      <alignment vertical="center"/>
    </xf>
    <xf numFmtId="181" fontId="0" fillId="0" borderId="0" xfId="0" applyNumberFormat="1" applyFont="1" applyAlignment="1">
      <alignment vertical="center"/>
    </xf>
    <xf numFmtId="0" fontId="0" fillId="0" borderId="34" xfId="0" applyFont="1" applyBorder="1" applyAlignment="1"/>
    <xf numFmtId="184" fontId="0" fillId="0" borderId="29" xfId="0" applyNumberFormat="1" applyFont="1" applyBorder="1" applyAlignment="1"/>
    <xf numFmtId="183" fontId="0" fillId="0" borderId="29" xfId="0" applyNumberFormat="1" applyFont="1" applyBorder="1" applyAlignment="1"/>
    <xf numFmtId="183" fontId="0" fillId="0" borderId="57" xfId="0" applyNumberFormat="1" applyFont="1" applyBorder="1" applyAlignment="1">
      <alignment horizontal="center"/>
    </xf>
    <xf numFmtId="0" fontId="0" fillId="0" borderId="32" xfId="0" applyFont="1" applyBorder="1" applyAlignment="1"/>
    <xf numFmtId="0" fontId="0" fillId="0" borderId="64" xfId="0" applyFont="1" applyBorder="1" applyAlignment="1"/>
    <xf numFmtId="0" fontId="0" fillId="0" borderId="57" xfId="0" applyFont="1" applyBorder="1" applyAlignment="1"/>
    <xf numFmtId="0" fontId="0" fillId="0" borderId="65" xfId="0" applyFont="1" applyBorder="1" applyAlignment="1"/>
    <xf numFmtId="0" fontId="0" fillId="0" borderId="29" xfId="0" applyFont="1" applyBorder="1" applyAlignment="1"/>
    <xf numFmtId="0" fontId="0" fillId="0" borderId="66" xfId="0" applyFont="1" applyBorder="1" applyAlignment="1"/>
    <xf numFmtId="0" fontId="6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20" fontId="0" fillId="0" borderId="71" xfId="0" applyNumberFormat="1" applyFont="1" applyBorder="1" applyAlignment="1">
      <alignment horizontal="center" vertical="center"/>
    </xf>
    <xf numFmtId="182" fontId="0" fillId="0" borderId="71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82" fontId="0" fillId="0" borderId="72" xfId="0" applyNumberFormat="1" applyFont="1" applyBorder="1" applyAlignment="1">
      <alignment horizontal="center" vertical="center"/>
    </xf>
    <xf numFmtId="182" fontId="0" fillId="0" borderId="73" xfId="0" applyNumberFormat="1" applyFont="1" applyBorder="1" applyAlignment="1">
      <alignment horizontal="center" vertical="center"/>
    </xf>
    <xf numFmtId="182" fontId="0" fillId="0" borderId="75" xfId="0" applyNumberFormat="1" applyFont="1" applyBorder="1" applyAlignment="1">
      <alignment horizontal="center"/>
    </xf>
    <xf numFmtId="182" fontId="0" fillId="0" borderId="74" xfId="0" applyNumberFormat="1" applyFont="1" applyBorder="1" applyAlignment="1">
      <alignment horizontal="center"/>
    </xf>
    <xf numFmtId="38" fontId="0" fillId="0" borderId="38" xfId="0" applyNumberFormat="1" applyFont="1" applyBorder="1" applyAlignment="1">
      <alignment vertical="center"/>
    </xf>
    <xf numFmtId="38" fontId="0" fillId="0" borderId="70" xfId="0" applyNumberFormat="1" applyFont="1" applyBorder="1" applyAlignment="1">
      <alignment vertical="center"/>
    </xf>
    <xf numFmtId="0" fontId="2" fillId="0" borderId="70" xfId="0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82" fontId="8" fillId="0" borderId="42" xfId="0" applyNumberFormat="1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0" fillId="0" borderId="46" xfId="0" applyFont="1" applyBorder="1" applyAlignment="1">
      <alignment vertical="center"/>
    </xf>
    <xf numFmtId="38" fontId="0" fillId="0" borderId="77" xfId="0" applyNumberFormat="1" applyFont="1" applyBorder="1" applyAlignment="1">
      <alignment vertical="center"/>
    </xf>
    <xf numFmtId="38" fontId="0" fillId="0" borderId="78" xfId="0" applyNumberFormat="1" applyFont="1" applyBorder="1" applyAlignment="1">
      <alignment vertical="center"/>
    </xf>
    <xf numFmtId="177" fontId="0" fillId="0" borderId="32" xfId="0" applyNumberFormat="1" applyFont="1" applyBorder="1" applyAlignment="1">
      <alignment horizontal="center" vertical="center"/>
    </xf>
    <xf numFmtId="177" fontId="0" fillId="0" borderId="28" xfId="0" applyNumberFormat="1" applyFont="1" applyBorder="1" applyAlignment="1">
      <alignment vertical="center"/>
    </xf>
    <xf numFmtId="177" fontId="0" fillId="0" borderId="29" xfId="0" applyNumberFormat="1" applyFont="1" applyBorder="1" applyAlignment="1">
      <alignment vertical="center"/>
    </xf>
    <xf numFmtId="177" fontId="0" fillId="3" borderId="31" xfId="0" applyNumberFormat="1" applyFont="1" applyFill="1" applyBorder="1" applyAlignment="1">
      <alignment vertical="center"/>
    </xf>
    <xf numFmtId="177" fontId="0" fillId="0" borderId="30" xfId="0" applyNumberFormat="1" applyFont="1" applyBorder="1" applyAlignment="1">
      <alignment horizontal="center" vertical="center"/>
    </xf>
    <xf numFmtId="177" fontId="0" fillId="0" borderId="35" xfId="0" applyNumberFormat="1" applyFont="1" applyBorder="1" applyAlignment="1">
      <alignment vertical="center"/>
    </xf>
    <xf numFmtId="177" fontId="0" fillId="0" borderId="20" xfId="1" applyFont="1" applyBorder="1" applyAlignment="1">
      <alignment vertical="center"/>
    </xf>
    <xf numFmtId="177" fontId="0" fillId="0" borderId="60" xfId="1" applyFont="1" applyBorder="1" applyAlignment="1">
      <alignment vertical="center"/>
    </xf>
    <xf numFmtId="177" fontId="0" fillId="0" borderId="61" xfId="1" applyFont="1" applyBorder="1" applyAlignment="1">
      <alignment vertical="center"/>
    </xf>
    <xf numFmtId="177" fontId="8" fillId="0" borderId="30" xfId="0" applyNumberFormat="1" applyFont="1" applyBorder="1" applyAlignment="1">
      <alignment horizontal="center" vertical="center"/>
    </xf>
    <xf numFmtId="38" fontId="8" fillId="0" borderId="70" xfId="0" applyNumberFormat="1" applyFont="1" applyBorder="1" applyAlignment="1">
      <alignment vertical="center"/>
    </xf>
    <xf numFmtId="177" fontId="0" fillId="0" borderId="70" xfId="1" applyFont="1" applyBorder="1" applyAlignment="1">
      <alignment vertical="center"/>
    </xf>
    <xf numFmtId="56" fontId="0" fillId="0" borderId="38" xfId="0" applyNumberFormat="1" applyFont="1" applyBorder="1" applyAlignment="1"/>
    <xf numFmtId="38" fontId="0" fillId="0" borderId="80" xfId="0" applyNumberFormat="1" applyFont="1" applyBorder="1" applyAlignment="1">
      <alignment vertical="center"/>
    </xf>
    <xf numFmtId="38" fontId="8" fillId="0" borderId="35" xfId="0" applyNumberFormat="1" applyFont="1" applyFill="1" applyBorder="1" applyAlignment="1">
      <alignment vertical="center"/>
    </xf>
    <xf numFmtId="38" fontId="0" fillId="0" borderId="35" xfId="0" applyNumberFormat="1" applyFont="1" applyFill="1" applyBorder="1" applyAlignment="1">
      <alignment vertical="center"/>
    </xf>
    <xf numFmtId="38" fontId="0" fillId="0" borderId="38" xfId="0" applyNumberFormat="1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vertical="center"/>
    </xf>
    <xf numFmtId="38" fontId="0" fillId="0" borderId="37" xfId="0" applyNumberFormat="1" applyFont="1" applyFill="1" applyBorder="1" applyAlignment="1">
      <alignment vertical="center"/>
    </xf>
    <xf numFmtId="38" fontId="0" fillId="0" borderId="38" xfId="0" applyNumberFormat="1" applyFont="1" applyFill="1" applyBorder="1" applyAlignment="1">
      <alignment vertical="center"/>
    </xf>
    <xf numFmtId="0" fontId="0" fillId="0" borderId="70" xfId="0" applyFont="1" applyFill="1" applyBorder="1" applyAlignment="1">
      <alignment vertical="center"/>
    </xf>
    <xf numFmtId="0" fontId="0" fillId="0" borderId="37" xfId="0" applyFont="1" applyFill="1" applyBorder="1" applyAlignment="1">
      <alignment vertical="center"/>
    </xf>
    <xf numFmtId="0" fontId="0" fillId="0" borderId="38" xfId="0" applyFont="1" applyFill="1" applyBorder="1" applyAlignment="1">
      <alignment vertical="center"/>
    </xf>
    <xf numFmtId="38" fontId="0" fillId="0" borderId="70" xfId="0" applyNumberFormat="1" applyFont="1" applyFill="1" applyBorder="1" applyAlignment="1">
      <alignment vertical="center"/>
    </xf>
    <xf numFmtId="38" fontId="0" fillId="0" borderId="31" xfId="0" applyNumberFormat="1" applyFont="1" applyFill="1" applyBorder="1" applyAlignment="1">
      <alignment vertical="center"/>
    </xf>
    <xf numFmtId="0" fontId="0" fillId="0" borderId="35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38" fontId="0" fillId="0" borderId="36" xfId="0" applyNumberFormat="1" applyFont="1" applyFill="1" applyBorder="1" applyAlignment="1">
      <alignment vertical="center"/>
    </xf>
    <xf numFmtId="38" fontId="0" fillId="0" borderId="28" xfId="0" applyNumberFormat="1" applyFont="1" applyFill="1" applyBorder="1" applyAlignment="1">
      <alignment vertical="center"/>
    </xf>
    <xf numFmtId="38" fontId="0" fillId="0" borderId="42" xfId="0" applyNumberFormat="1" applyFont="1" applyFill="1" applyBorder="1" applyAlignment="1">
      <alignment vertical="center"/>
    </xf>
    <xf numFmtId="38" fontId="8" fillId="0" borderId="10" xfId="0" applyNumberFormat="1" applyFont="1" applyFill="1" applyBorder="1" applyAlignment="1">
      <alignment vertical="center"/>
    </xf>
    <xf numFmtId="38" fontId="0" fillId="0" borderId="10" xfId="0" applyNumberFormat="1" applyFont="1" applyFill="1" applyBorder="1" applyAlignment="1">
      <alignment vertical="center"/>
    </xf>
    <xf numFmtId="38" fontId="0" fillId="0" borderId="79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38" fontId="8" fillId="0" borderId="70" xfId="0" applyNumberFormat="1" applyFont="1" applyFill="1" applyBorder="1" applyAlignment="1">
      <alignment vertical="center"/>
    </xf>
    <xf numFmtId="38" fontId="8" fillId="0" borderId="28" xfId="0" applyNumberFormat="1" applyFont="1" applyFill="1" applyBorder="1" applyAlignment="1">
      <alignment vertical="center"/>
    </xf>
    <xf numFmtId="38" fontId="8" fillId="0" borderId="38" xfId="0" applyNumberFormat="1" applyFont="1" applyFill="1" applyBorder="1" applyAlignment="1">
      <alignment vertical="center"/>
    </xf>
    <xf numFmtId="0" fontId="0" fillId="0" borderId="81" xfId="0" applyFont="1" applyFill="1" applyBorder="1" applyAlignment="1">
      <alignment vertical="center"/>
    </xf>
    <xf numFmtId="0" fontId="0" fillId="0" borderId="65" xfId="0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0" fillId="0" borderId="83" xfId="0" applyFont="1" applyFill="1" applyBorder="1" applyAlignment="1">
      <alignment vertical="center"/>
    </xf>
    <xf numFmtId="0" fontId="0" fillId="0" borderId="57" xfId="0" applyFont="1" applyFill="1" applyBorder="1" applyAlignment="1">
      <alignment vertical="center"/>
    </xf>
    <xf numFmtId="38" fontId="8" fillId="0" borderId="37" xfId="0" applyNumberFormat="1" applyFont="1" applyFill="1" applyBorder="1" applyAlignment="1">
      <alignment vertical="center"/>
    </xf>
    <xf numFmtId="38" fontId="8" fillId="0" borderId="83" xfId="0" applyNumberFormat="1" applyFont="1" applyFill="1" applyBorder="1" applyAlignment="1">
      <alignment vertical="center"/>
    </xf>
    <xf numFmtId="38" fontId="8" fillId="0" borderId="71" xfId="0" applyNumberFormat="1" applyFont="1" applyFill="1" applyBorder="1" applyAlignment="1">
      <alignment vertical="center"/>
    </xf>
    <xf numFmtId="38" fontId="8" fillId="0" borderId="31" xfId="0" applyNumberFormat="1" applyFont="1" applyFill="1" applyBorder="1" applyAlignment="1">
      <alignment vertical="center"/>
    </xf>
    <xf numFmtId="0" fontId="0" fillId="0" borderId="79" xfId="0" applyFont="1" applyFill="1" applyBorder="1" applyAlignment="1">
      <alignment vertical="center"/>
    </xf>
    <xf numFmtId="38" fontId="0" fillId="0" borderId="71" xfId="0" applyNumberFormat="1" applyFont="1" applyFill="1" applyBorder="1" applyAlignment="1">
      <alignment vertical="center"/>
    </xf>
    <xf numFmtId="38" fontId="8" fillId="0" borderId="81" xfId="0" applyNumberFormat="1" applyFont="1" applyFill="1" applyBorder="1" applyAlignment="1">
      <alignment vertical="center"/>
    </xf>
    <xf numFmtId="38" fontId="8" fillId="0" borderId="65" xfId="0" applyNumberFormat="1" applyFont="1" applyFill="1" applyBorder="1" applyAlignment="1">
      <alignment vertical="center"/>
    </xf>
    <xf numFmtId="0" fontId="0" fillId="0" borderId="84" xfId="0" applyFont="1" applyFill="1" applyBorder="1" applyAlignment="1">
      <alignment vertical="center"/>
    </xf>
    <xf numFmtId="0" fontId="0" fillId="0" borderId="80" xfId="0" applyFont="1" applyFill="1" applyBorder="1" applyAlignment="1">
      <alignment vertical="center"/>
    </xf>
    <xf numFmtId="38" fontId="8" fillId="0" borderId="0" xfId="0" applyNumberFormat="1" applyFont="1" applyAlignment="1">
      <alignment vertical="center"/>
    </xf>
    <xf numFmtId="0" fontId="8" fillId="0" borderId="76" xfId="0" applyFont="1" applyBorder="1" applyAlignment="1">
      <alignment horizontal="center" vertical="center"/>
    </xf>
    <xf numFmtId="38" fontId="0" fillId="0" borderId="81" xfId="0" applyNumberFormat="1" applyFont="1" applyFill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58" xfId="0" applyFont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0" fillId="0" borderId="7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38" fontId="8" fillId="0" borderId="80" xfId="0" applyNumberFormat="1" applyFont="1" applyFill="1" applyBorder="1" applyAlignment="1">
      <alignment vertical="center"/>
    </xf>
    <xf numFmtId="0" fontId="0" fillId="0" borderId="76" xfId="0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38" fontId="0" fillId="0" borderId="38" xfId="0" applyNumberFormat="1" applyFont="1" applyFill="1" applyBorder="1" applyAlignment="1">
      <alignment horizontal="right" vertical="center"/>
    </xf>
    <xf numFmtId="38" fontId="2" fillId="0" borderId="70" xfId="2" applyFont="1" applyFill="1" applyBorder="1" applyAlignment="1">
      <alignment vertical="center"/>
    </xf>
    <xf numFmtId="38" fontId="8" fillId="0" borderId="35" xfId="0" applyNumberFormat="1" applyFont="1" applyBorder="1" applyAlignment="1">
      <alignment vertical="center"/>
    </xf>
    <xf numFmtId="38" fontId="0" fillId="0" borderId="10" xfId="0" applyNumberFormat="1" applyFont="1" applyBorder="1" applyAlignment="1">
      <alignment vertical="center"/>
    </xf>
    <xf numFmtId="0" fontId="3" fillId="0" borderId="87" xfId="0" applyFont="1" applyBorder="1" applyAlignment="1">
      <alignment horizontal="center" vertical="center"/>
    </xf>
    <xf numFmtId="182" fontId="0" fillId="0" borderId="31" xfId="0" applyNumberFormat="1" applyFont="1" applyBorder="1" applyAlignment="1"/>
    <xf numFmtId="0" fontId="3" fillId="3" borderId="58" xfId="0" applyFont="1" applyFill="1" applyBorder="1" applyAlignment="1">
      <alignment horizontal="center" vertical="center"/>
    </xf>
    <xf numFmtId="181" fontId="0" fillId="3" borderId="58" xfId="0" applyNumberFormat="1" applyFont="1" applyFill="1" applyBorder="1" applyAlignment="1">
      <alignment vertical="center"/>
    </xf>
    <xf numFmtId="182" fontId="0" fillId="0" borderId="32" xfId="0" applyNumberFormat="1" applyFont="1" applyBorder="1" applyAlignment="1">
      <alignment horizontal="center" vertical="center"/>
    </xf>
    <xf numFmtId="177" fontId="0" fillId="0" borderId="28" xfId="0" applyNumberFormat="1" applyFont="1" applyBorder="1" applyAlignment="1">
      <alignment vertical="center"/>
    </xf>
    <xf numFmtId="177" fontId="0" fillId="3" borderId="31" xfId="0" applyNumberFormat="1" applyFont="1" applyFill="1" applyBorder="1" applyAlignment="1">
      <alignment vertical="center"/>
    </xf>
    <xf numFmtId="177" fontId="0" fillId="0" borderId="32" xfId="0" applyNumberFormat="1" applyFont="1" applyBorder="1" applyAlignment="1">
      <alignment horizontal="center" vertical="center"/>
    </xf>
    <xf numFmtId="177" fontId="0" fillId="0" borderId="29" xfId="0" applyNumberFormat="1" applyFont="1" applyBorder="1" applyAlignment="1">
      <alignment vertical="center"/>
    </xf>
    <xf numFmtId="177" fontId="0" fillId="0" borderId="35" xfId="0" applyNumberFormat="1" applyFont="1" applyBorder="1" applyAlignment="1">
      <alignment vertical="center"/>
    </xf>
    <xf numFmtId="177" fontId="0" fillId="3" borderId="38" xfId="0" applyNumberFormat="1" applyFont="1" applyFill="1" applyBorder="1" applyAlignment="1">
      <alignment vertical="center"/>
    </xf>
    <xf numFmtId="177" fontId="0" fillId="0" borderId="30" xfId="0" applyNumberFormat="1" applyFont="1" applyBorder="1" applyAlignment="1">
      <alignment horizontal="center" vertical="center"/>
    </xf>
    <xf numFmtId="177" fontId="3" fillId="0" borderId="35" xfId="0" applyNumberFormat="1" applyFont="1" applyBorder="1" applyAlignment="1">
      <alignment vertical="center"/>
    </xf>
    <xf numFmtId="177" fontId="0" fillId="0" borderId="42" xfId="0" applyNumberFormat="1" applyFont="1" applyBorder="1" applyAlignment="1">
      <alignment vertical="center"/>
    </xf>
    <xf numFmtId="177" fontId="0" fillId="3" borderId="27" xfId="0" applyNumberFormat="1" applyFont="1" applyFill="1" applyBorder="1" applyAlignment="1">
      <alignment vertical="center"/>
    </xf>
    <xf numFmtId="177" fontId="0" fillId="0" borderId="88" xfId="0" applyNumberFormat="1" applyFont="1" applyBorder="1" applyAlignment="1">
      <alignment horizontal="center" vertical="center"/>
    </xf>
    <xf numFmtId="177" fontId="0" fillId="0" borderId="27" xfId="0" applyNumberFormat="1" applyFont="1" applyBorder="1" applyAlignment="1">
      <alignment vertical="center"/>
    </xf>
    <xf numFmtId="177" fontId="3" fillId="0" borderId="48" xfId="0" applyNumberFormat="1" applyFont="1" applyBorder="1" applyAlignment="1">
      <alignment horizontal="center" vertical="center"/>
    </xf>
    <xf numFmtId="177" fontId="3" fillId="0" borderId="49" xfId="0" applyNumberFormat="1" applyFont="1" applyBorder="1" applyAlignment="1">
      <alignment horizontal="center" vertical="center"/>
    </xf>
    <xf numFmtId="177" fontId="3" fillId="0" borderId="50" xfId="0" applyNumberFormat="1" applyFont="1" applyBorder="1" applyAlignment="1">
      <alignment horizontal="center" vertical="center"/>
    </xf>
    <xf numFmtId="177" fontId="5" fillId="0" borderId="51" xfId="0" applyNumberFormat="1" applyFont="1" applyBorder="1" applyAlignment="1">
      <alignment horizontal="center" vertical="center"/>
    </xf>
    <xf numFmtId="177" fontId="0" fillId="0" borderId="60" xfId="0" applyNumberFormat="1" applyFont="1" applyBorder="1" applyAlignment="1">
      <alignment vertical="center"/>
    </xf>
    <xf numFmtId="177" fontId="0" fillId="3" borderId="31" xfId="1" applyFont="1" applyFill="1" applyBorder="1" applyAlignment="1">
      <alignment vertical="center"/>
    </xf>
    <xf numFmtId="177" fontId="0" fillId="3" borderId="39" xfId="1" applyFont="1" applyFill="1" applyBorder="1" applyAlignment="1">
      <alignment vertical="center"/>
    </xf>
    <xf numFmtId="177" fontId="0" fillId="3" borderId="58" xfId="1" applyFont="1" applyFill="1" applyBorder="1" applyAlignment="1">
      <alignment vertical="center"/>
    </xf>
    <xf numFmtId="38" fontId="0" fillId="0" borderId="89" xfId="0" applyNumberFormat="1" applyFont="1" applyBorder="1" applyAlignment="1">
      <alignment vertical="center"/>
    </xf>
    <xf numFmtId="177" fontId="0" fillId="3" borderId="71" xfId="1" applyFont="1" applyFill="1" applyBorder="1" applyAlignment="1">
      <alignment vertical="center"/>
    </xf>
    <xf numFmtId="177" fontId="0" fillId="3" borderId="91" xfId="1" applyFont="1" applyFill="1" applyBorder="1" applyAlignment="1">
      <alignment vertical="center"/>
    </xf>
    <xf numFmtId="0" fontId="3" fillId="0" borderId="92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177" fontId="0" fillId="0" borderId="93" xfId="0" applyNumberFormat="1" applyFont="1" applyBorder="1" applyAlignment="1">
      <alignment vertical="center"/>
    </xf>
    <xf numFmtId="38" fontId="3" fillId="0" borderId="94" xfId="0" applyNumberFormat="1" applyFont="1" applyBorder="1" applyAlignment="1">
      <alignment vertical="center"/>
    </xf>
    <xf numFmtId="0" fontId="3" fillId="0" borderId="95" xfId="0" applyFont="1" applyBorder="1" applyAlignment="1">
      <alignment horizontal="center" vertical="center"/>
    </xf>
    <xf numFmtId="181" fontId="0" fillId="0" borderId="96" xfId="0" applyNumberFormat="1" applyFont="1" applyBorder="1" applyAlignment="1">
      <alignment vertical="center"/>
    </xf>
    <xf numFmtId="0" fontId="3" fillId="0" borderId="97" xfId="0" applyFont="1" applyBorder="1" applyAlignment="1">
      <alignment horizontal="center" vertical="center"/>
    </xf>
    <xf numFmtId="182" fontId="0" fillId="0" borderId="98" xfId="0" applyNumberFormat="1" applyFont="1" applyBorder="1" applyAlignment="1">
      <alignment horizontal="center"/>
    </xf>
    <xf numFmtId="182" fontId="0" fillId="0" borderId="65" xfId="0" applyNumberFormat="1" applyFont="1" applyBorder="1" applyAlignment="1">
      <alignment horizontal="center" vertical="center"/>
    </xf>
    <xf numFmtId="182" fontId="0" fillId="0" borderId="90" xfId="0" applyNumberFormat="1" applyFont="1" applyBorder="1" applyAlignment="1">
      <alignment horizontal="center"/>
    </xf>
    <xf numFmtId="182" fontId="0" fillId="0" borderId="45" xfId="0" applyNumberFormat="1" applyFont="1" applyBorder="1" applyAlignment="1">
      <alignment horizontal="center"/>
    </xf>
    <xf numFmtId="0" fontId="6" fillId="2" borderId="82" xfId="0" applyFont="1" applyFill="1" applyBorder="1" applyAlignment="1">
      <alignment horizontal="center" vertical="center"/>
    </xf>
    <xf numFmtId="38" fontId="0" fillId="0" borderId="82" xfId="0" applyNumberFormat="1" applyFont="1" applyBorder="1" applyAlignment="1">
      <alignment vertical="center"/>
    </xf>
    <xf numFmtId="56" fontId="0" fillId="0" borderId="99" xfId="0" applyNumberFormat="1" applyFont="1" applyBorder="1" applyAlignment="1">
      <alignment vertical="center"/>
    </xf>
    <xf numFmtId="38" fontId="0" fillId="0" borderId="100" xfId="0" applyNumberFormat="1" applyFont="1" applyBorder="1" applyAlignment="1">
      <alignment vertical="center"/>
    </xf>
    <xf numFmtId="38" fontId="8" fillId="0" borderId="100" xfId="0" applyNumberFormat="1" applyFont="1" applyFill="1" applyBorder="1" applyAlignment="1">
      <alignment vertical="center"/>
    </xf>
    <xf numFmtId="38" fontId="0" fillId="0" borderId="100" xfId="0" applyNumberFormat="1" applyFont="1" applyFill="1" applyBorder="1" applyAlignment="1">
      <alignment vertical="center"/>
    </xf>
    <xf numFmtId="38" fontId="0" fillId="0" borderId="101" xfId="0" applyNumberFormat="1" applyFont="1" applyFill="1" applyBorder="1" applyAlignment="1">
      <alignment vertical="center"/>
    </xf>
    <xf numFmtId="38" fontId="8" fillId="0" borderId="102" xfId="0" applyNumberFormat="1" applyFont="1" applyFill="1" applyBorder="1" applyAlignment="1">
      <alignment vertical="center"/>
    </xf>
    <xf numFmtId="183" fontId="0" fillId="0" borderId="103" xfId="0" applyNumberFormat="1" applyFont="1" applyBorder="1" applyAlignment="1">
      <alignment vertical="center"/>
    </xf>
    <xf numFmtId="183" fontId="0" fillId="0" borderId="64" xfId="0" applyNumberFormat="1" applyFont="1" applyBorder="1" applyAlignment="1">
      <alignment horizontal="center" vertical="center"/>
    </xf>
    <xf numFmtId="182" fontId="0" fillId="0" borderId="46" xfId="0" applyNumberFormat="1" applyFont="1" applyBorder="1" applyAlignment="1">
      <alignment vertical="center"/>
    </xf>
    <xf numFmtId="182" fontId="0" fillId="0" borderId="104" xfId="0" applyNumberFormat="1" applyFont="1" applyBorder="1" applyAlignment="1">
      <alignment horizontal="center" vertical="center"/>
    </xf>
    <xf numFmtId="183" fontId="0" fillId="0" borderId="105" xfId="0" applyNumberFormat="1" applyFont="1" applyBorder="1" applyAlignment="1">
      <alignment vertical="center"/>
    </xf>
    <xf numFmtId="182" fontId="0" fillId="0" borderId="104" xfId="0" applyNumberFormat="1" applyFont="1" applyBorder="1" applyAlignment="1">
      <alignment vertical="center"/>
    </xf>
    <xf numFmtId="177" fontId="0" fillId="0" borderId="35" xfId="1" applyFont="1" applyBorder="1" applyAlignment="1">
      <alignment vertical="center"/>
    </xf>
    <xf numFmtId="177" fontId="0" fillId="3" borderId="35" xfId="1" applyFont="1" applyFill="1" applyBorder="1" applyAlignment="1">
      <alignment vertical="center"/>
    </xf>
    <xf numFmtId="38" fontId="8" fillId="0" borderId="57" xfId="0" applyNumberFormat="1" applyFont="1" applyFill="1" applyBorder="1" applyAlignment="1">
      <alignment vertical="center"/>
    </xf>
    <xf numFmtId="38" fontId="8" fillId="0" borderId="84" xfId="0" applyNumberFormat="1" applyFont="1" applyFill="1" applyBorder="1" applyAlignment="1">
      <alignment vertical="center"/>
    </xf>
    <xf numFmtId="183" fontId="0" fillId="0" borderId="7" xfId="0" applyNumberFormat="1" applyFont="1" applyBorder="1" applyAlignment="1">
      <alignment vertical="center"/>
    </xf>
    <xf numFmtId="182" fontId="0" fillId="0" borderId="106" xfId="0" applyNumberFormat="1" applyFont="1" applyBorder="1" applyAlignment="1">
      <alignment vertical="center"/>
    </xf>
    <xf numFmtId="38" fontId="8" fillId="0" borderId="82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0" fillId="0" borderId="43" xfId="0" applyFont="1" applyBorder="1" applyAlignment="1">
      <alignment vertical="center"/>
    </xf>
    <xf numFmtId="0" fontId="0" fillId="0" borderId="10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81" fontId="0" fillId="0" borderId="28" xfId="0" applyNumberFormat="1" applyFont="1" applyBorder="1" applyAlignment="1">
      <alignment horizontal="right" vertical="center"/>
    </xf>
    <xf numFmtId="181" fontId="0" fillId="3" borderId="31" xfId="0" applyNumberFormat="1" applyFont="1" applyFill="1" applyBorder="1" applyAlignment="1">
      <alignment horizontal="right" vertical="center"/>
    </xf>
    <xf numFmtId="177" fontId="0" fillId="0" borderId="32" xfId="1" applyFont="1" applyBorder="1" applyAlignment="1">
      <alignment horizontal="right" vertical="center"/>
    </xf>
    <xf numFmtId="177" fontId="0" fillId="0" borderId="28" xfId="1" applyFont="1" applyBorder="1" applyAlignment="1">
      <alignment horizontal="right" vertical="center"/>
    </xf>
    <xf numFmtId="177" fontId="0" fillId="0" borderId="29" xfId="1" applyFont="1" applyBorder="1" applyAlignment="1">
      <alignment horizontal="right" vertical="center"/>
    </xf>
    <xf numFmtId="177" fontId="0" fillId="3" borderId="31" xfId="1" applyFont="1" applyFill="1" applyBorder="1" applyAlignment="1">
      <alignment horizontal="right" vertical="center"/>
    </xf>
    <xf numFmtId="38" fontId="0" fillId="0" borderId="29" xfId="0" applyNumberFormat="1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181" fontId="0" fillId="0" borderId="35" xfId="0" applyNumberFormat="1" applyFont="1" applyBorder="1" applyAlignment="1">
      <alignment horizontal="right" vertical="center"/>
    </xf>
    <xf numFmtId="181" fontId="0" fillId="3" borderId="38" xfId="0" applyNumberFormat="1" applyFont="1" applyFill="1" applyBorder="1" applyAlignment="1">
      <alignment horizontal="right" vertical="center"/>
    </xf>
    <xf numFmtId="177" fontId="0" fillId="0" borderId="30" xfId="1" applyFont="1" applyBorder="1" applyAlignment="1">
      <alignment horizontal="right" vertical="center"/>
    </xf>
    <xf numFmtId="177" fontId="0" fillId="0" borderId="35" xfId="1" applyFont="1" applyBorder="1" applyAlignment="1">
      <alignment horizontal="right" vertical="center"/>
    </xf>
    <xf numFmtId="38" fontId="0" fillId="0" borderId="35" xfId="0" applyNumberFormat="1" applyFont="1" applyBorder="1" applyAlignment="1">
      <alignment horizontal="right" vertical="center"/>
    </xf>
    <xf numFmtId="177" fontId="0" fillId="3" borderId="39" xfId="1" applyFont="1" applyFill="1" applyBorder="1" applyAlignment="1">
      <alignment horizontal="right" vertical="center"/>
    </xf>
    <xf numFmtId="177" fontId="8" fillId="0" borderId="30" xfId="1" applyFont="1" applyBorder="1" applyAlignment="1">
      <alignment horizontal="right" vertical="center"/>
    </xf>
    <xf numFmtId="177" fontId="3" fillId="0" borderId="35" xfId="1" applyFont="1" applyBorder="1" applyAlignment="1">
      <alignment horizontal="right" vertical="center"/>
    </xf>
    <xf numFmtId="181" fontId="8" fillId="0" borderId="35" xfId="0" applyNumberFormat="1" applyFont="1" applyBorder="1" applyAlignment="1">
      <alignment horizontal="right" vertical="center"/>
    </xf>
    <xf numFmtId="38" fontId="0" fillId="0" borderId="15" xfId="0" applyNumberFormat="1" applyFont="1" applyBorder="1" applyAlignment="1">
      <alignment horizontal="right" vertical="center"/>
    </xf>
    <xf numFmtId="177" fontId="0" fillId="3" borderId="44" xfId="1" applyFont="1" applyFill="1" applyBorder="1" applyAlignment="1">
      <alignment horizontal="right" vertical="center"/>
    </xf>
    <xf numFmtId="0" fontId="3" fillId="0" borderId="45" xfId="0" applyFont="1" applyBorder="1" applyAlignment="1">
      <alignment horizontal="right" vertical="center"/>
    </xf>
    <xf numFmtId="0" fontId="3" fillId="0" borderId="48" xfId="0" applyFont="1" applyBorder="1" applyAlignment="1">
      <alignment horizontal="right" vertical="center"/>
    </xf>
    <xf numFmtId="0" fontId="3" fillId="0" borderId="49" xfId="0" applyFont="1" applyBorder="1" applyAlignment="1">
      <alignment horizontal="right" vertical="center"/>
    </xf>
    <xf numFmtId="38" fontId="3" fillId="0" borderId="50" xfId="0" applyNumberFormat="1" applyFont="1" applyBorder="1" applyAlignment="1">
      <alignment horizontal="right" vertical="center"/>
    </xf>
    <xf numFmtId="38" fontId="3" fillId="0" borderId="48" xfId="0" applyNumberFormat="1" applyFont="1" applyBorder="1" applyAlignment="1">
      <alignment horizontal="right" vertical="center"/>
    </xf>
    <xf numFmtId="38" fontId="3" fillId="0" borderId="49" xfId="0" applyNumberFormat="1" applyFont="1" applyBorder="1" applyAlignment="1">
      <alignment horizontal="right" vertical="center"/>
    </xf>
    <xf numFmtId="38" fontId="5" fillId="0" borderId="51" xfId="0" applyNumberFormat="1" applyFont="1" applyBorder="1" applyAlignment="1">
      <alignment horizontal="right" vertical="center"/>
    </xf>
    <xf numFmtId="38" fontId="3" fillId="0" borderId="52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81" fontId="0" fillId="0" borderId="60" xfId="0" applyNumberFormat="1" applyFont="1" applyBorder="1" applyAlignment="1">
      <alignment horizontal="right" vertical="center"/>
    </xf>
    <xf numFmtId="177" fontId="0" fillId="0" borderId="108" xfId="1" applyFont="1" applyBorder="1" applyAlignment="1">
      <alignment horizontal="right" vertical="center"/>
    </xf>
    <xf numFmtId="38" fontId="0" fillId="0" borderId="42" xfId="0" applyNumberFormat="1" applyFont="1" applyBorder="1" applyAlignment="1">
      <alignment horizontal="right" vertical="center"/>
    </xf>
    <xf numFmtId="177" fontId="0" fillId="0" borderId="42" xfId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38" fontId="0" fillId="0" borderId="110" xfId="0" applyNumberFormat="1" applyFont="1" applyBorder="1" applyAlignment="1">
      <alignment horizontal="right" vertical="center"/>
    </xf>
    <xf numFmtId="38" fontId="0" fillId="0" borderId="27" xfId="0" applyNumberFormat="1" applyFont="1" applyBorder="1" applyAlignment="1">
      <alignment horizontal="right" vertical="center"/>
    </xf>
    <xf numFmtId="0" fontId="0" fillId="0" borderId="1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0" fillId="0" borderId="70" xfId="0" applyFont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38" fontId="8" fillId="0" borderId="30" xfId="0" applyNumberFormat="1" applyFont="1" applyBorder="1" applyAlignment="1">
      <alignment horizontal="center" vertical="center"/>
    </xf>
    <xf numFmtId="38" fontId="12" fillId="0" borderId="35" xfId="0" applyNumberFormat="1" applyFont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38" fontId="8" fillId="0" borderId="112" xfId="0" applyNumberFormat="1" applyFont="1" applyFill="1" applyBorder="1" applyAlignment="1">
      <alignment vertical="center"/>
    </xf>
    <xf numFmtId="56" fontId="0" fillId="0" borderId="70" xfId="0" applyNumberFormat="1" applyFont="1" applyBorder="1" applyAlignment="1">
      <alignment vertical="center"/>
    </xf>
    <xf numFmtId="177" fontId="0" fillId="0" borderId="70" xfId="0" applyNumberFormat="1" applyFont="1" applyBorder="1" applyAlignment="1">
      <alignment vertical="center"/>
    </xf>
    <xf numFmtId="56" fontId="0" fillId="0" borderId="58" xfId="0" applyNumberFormat="1" applyFont="1" applyBorder="1" applyAlignment="1">
      <alignment vertical="center"/>
    </xf>
    <xf numFmtId="177" fontId="0" fillId="0" borderId="58" xfId="0" applyNumberFormat="1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182" fontId="8" fillId="0" borderId="27" xfId="0" applyNumberFormat="1" applyFont="1" applyBorder="1" applyAlignment="1">
      <alignment horizontal="center" vertical="center"/>
    </xf>
    <xf numFmtId="56" fontId="8" fillId="0" borderId="70" xfId="0" applyNumberFormat="1" applyFont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0" fontId="0" fillId="0" borderId="113" xfId="0" applyFont="1" applyBorder="1" applyAlignment="1">
      <alignment vertical="center"/>
    </xf>
    <xf numFmtId="0" fontId="0" fillId="0" borderId="114" xfId="0" applyFont="1" applyBorder="1" applyAlignment="1">
      <alignment vertical="center"/>
    </xf>
    <xf numFmtId="0" fontId="8" fillId="0" borderId="114" xfId="0" applyFont="1" applyBorder="1" applyAlignment="1">
      <alignment horizontal="center" vertical="center"/>
    </xf>
    <xf numFmtId="177" fontId="0" fillId="0" borderId="114" xfId="1" applyFont="1" applyBorder="1" applyAlignment="1">
      <alignment vertical="center"/>
    </xf>
    <xf numFmtId="177" fontId="0" fillId="0" borderId="28" xfId="1" applyFont="1" applyBorder="1" applyAlignment="1">
      <alignment vertical="center"/>
    </xf>
    <xf numFmtId="177" fontId="0" fillId="0" borderId="32" xfId="1" applyFont="1" applyBorder="1" applyAlignment="1">
      <alignment horizontal="center" vertical="center"/>
    </xf>
    <xf numFmtId="177" fontId="0" fillId="0" borderId="29" xfId="1" applyFont="1" applyBorder="1" applyAlignment="1">
      <alignment vertical="center"/>
    </xf>
    <xf numFmtId="177" fontId="0" fillId="0" borderId="30" xfId="1" applyFont="1" applyBorder="1" applyAlignment="1">
      <alignment horizontal="center" vertical="center"/>
    </xf>
    <xf numFmtId="177" fontId="8" fillId="0" borderId="30" xfId="1" applyFont="1" applyBorder="1" applyAlignment="1">
      <alignment horizontal="center" vertical="center"/>
    </xf>
    <xf numFmtId="177" fontId="0" fillId="0" borderId="15" xfId="1" applyFont="1" applyBorder="1" applyAlignment="1">
      <alignment vertical="center"/>
    </xf>
    <xf numFmtId="177" fontId="0" fillId="3" borderId="44" xfId="1" applyFont="1" applyFill="1" applyBorder="1" applyAlignment="1">
      <alignment vertical="center"/>
    </xf>
    <xf numFmtId="177" fontId="3" fillId="0" borderId="48" xfId="1" applyFont="1" applyBorder="1" applyAlignment="1">
      <alignment horizontal="center" vertical="center"/>
    </xf>
    <xf numFmtId="177" fontId="3" fillId="0" borderId="49" xfId="1" applyFont="1" applyBorder="1" applyAlignment="1">
      <alignment horizontal="center" vertical="center"/>
    </xf>
    <xf numFmtId="177" fontId="3" fillId="0" borderId="50" xfId="1" applyFont="1" applyBorder="1" applyAlignment="1">
      <alignment horizontal="center" vertical="center"/>
    </xf>
    <xf numFmtId="177" fontId="5" fillId="0" borderId="51" xfId="1" applyFont="1" applyBorder="1" applyAlignment="1">
      <alignment horizontal="center" vertical="center"/>
    </xf>
    <xf numFmtId="177" fontId="3" fillId="0" borderId="52" xfId="1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115" xfId="0" applyFont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38" fontId="0" fillId="0" borderId="35" xfId="2" applyFont="1" applyBorder="1" applyAlignment="1">
      <alignment vertical="center"/>
    </xf>
    <xf numFmtId="38" fontId="8" fillId="0" borderId="35" xfId="2" applyFont="1" applyFill="1" applyBorder="1" applyAlignment="1">
      <alignment vertical="center"/>
    </xf>
    <xf numFmtId="38" fontId="0" fillId="0" borderId="35" xfId="2" applyFont="1" applyFill="1" applyBorder="1" applyAlignment="1">
      <alignment vertical="center"/>
    </xf>
    <xf numFmtId="38" fontId="0" fillId="0" borderId="38" xfId="2" applyFont="1" applyFill="1" applyBorder="1" applyAlignment="1">
      <alignment horizontal="right" vertical="center"/>
    </xf>
    <xf numFmtId="38" fontId="0" fillId="0" borderId="37" xfId="2" applyFont="1" applyFill="1" applyBorder="1" applyAlignment="1">
      <alignment vertical="center"/>
    </xf>
    <xf numFmtId="38" fontId="0" fillId="0" borderId="38" xfId="2" applyFont="1" applyFill="1" applyBorder="1" applyAlignment="1">
      <alignment vertical="center"/>
    </xf>
    <xf numFmtId="38" fontId="0" fillId="0" borderId="70" xfId="2" applyFont="1" applyFill="1" applyBorder="1" applyAlignment="1">
      <alignment vertical="center"/>
    </xf>
    <xf numFmtId="38" fontId="8" fillId="0" borderId="38" xfId="2" applyFont="1" applyFill="1" applyBorder="1" applyAlignment="1">
      <alignment vertical="center"/>
    </xf>
    <xf numFmtId="38" fontId="8" fillId="0" borderId="70" xfId="2" applyFont="1" applyFill="1" applyBorder="1" applyAlignment="1">
      <alignment vertical="center"/>
    </xf>
    <xf numFmtId="38" fontId="8" fillId="0" borderId="81" xfId="2" applyFont="1" applyFill="1" applyBorder="1" applyAlignment="1">
      <alignment vertical="center"/>
    </xf>
    <xf numFmtId="38" fontId="0" fillId="0" borderId="81" xfId="2" applyFont="1" applyFill="1" applyBorder="1" applyAlignment="1">
      <alignment vertical="center"/>
    </xf>
    <xf numFmtId="38" fontId="8" fillId="0" borderId="71" xfId="2" applyFont="1" applyFill="1" applyBorder="1" applyAlignment="1">
      <alignment vertical="center"/>
    </xf>
    <xf numFmtId="38" fontId="0" fillId="0" borderId="31" xfId="2" applyFont="1" applyFill="1" applyBorder="1" applyAlignment="1">
      <alignment vertical="center"/>
    </xf>
    <xf numFmtId="38" fontId="0" fillId="0" borderId="28" xfId="2" applyFont="1" applyFill="1" applyBorder="1" applyAlignment="1">
      <alignment vertical="center"/>
    </xf>
    <xf numFmtId="38" fontId="0" fillId="0" borderId="65" xfId="2" applyFont="1" applyFill="1" applyBorder="1" applyAlignment="1">
      <alignment vertical="center"/>
    </xf>
    <xf numFmtId="38" fontId="0" fillId="0" borderId="36" xfId="2" applyFont="1" applyFill="1" applyBorder="1" applyAlignment="1">
      <alignment vertical="center"/>
    </xf>
    <xf numFmtId="38" fontId="8" fillId="0" borderId="31" xfId="2" applyFont="1" applyFill="1" applyBorder="1" applyAlignment="1">
      <alignment vertical="center"/>
    </xf>
    <xf numFmtId="38" fontId="8" fillId="0" borderId="83" xfId="2" applyFont="1" applyFill="1" applyBorder="1" applyAlignment="1">
      <alignment vertical="center"/>
    </xf>
    <xf numFmtId="38" fontId="8" fillId="0" borderId="57" xfId="2" applyFont="1" applyFill="1" applyBorder="1" applyAlignment="1">
      <alignment vertical="center"/>
    </xf>
    <xf numFmtId="38" fontId="8" fillId="0" borderId="84" xfId="2" applyFont="1" applyFill="1" applyBorder="1" applyAlignment="1">
      <alignment vertical="center"/>
    </xf>
    <xf numFmtId="38" fontId="8" fillId="0" borderId="28" xfId="2" applyFont="1" applyFill="1" applyBorder="1" applyAlignment="1">
      <alignment vertical="center"/>
    </xf>
    <xf numFmtId="38" fontId="0" fillId="0" borderId="42" xfId="2" applyFont="1" applyFill="1" applyBorder="1" applyAlignment="1">
      <alignment vertical="center"/>
    </xf>
    <xf numFmtId="38" fontId="0" fillId="0" borderId="37" xfId="2" applyFont="1" applyBorder="1" applyAlignment="1">
      <alignment vertical="center"/>
    </xf>
    <xf numFmtId="38" fontId="0" fillId="0" borderId="80" xfId="2" applyFont="1" applyBorder="1" applyAlignment="1">
      <alignment vertical="center"/>
    </xf>
    <xf numFmtId="38" fontId="8" fillId="0" borderId="10" xfId="2" applyFont="1" applyFill="1" applyBorder="1" applyAlignment="1">
      <alignment vertical="center"/>
    </xf>
    <xf numFmtId="38" fontId="0" fillId="0" borderId="10" xfId="2" applyFont="1" applyFill="1" applyBorder="1" applyAlignment="1">
      <alignment vertical="center"/>
    </xf>
    <xf numFmtId="38" fontId="0" fillId="0" borderId="79" xfId="2" applyFont="1" applyFill="1" applyBorder="1" applyAlignment="1">
      <alignment vertical="center"/>
    </xf>
    <xf numFmtId="38" fontId="0" fillId="0" borderId="70" xfId="2" applyFont="1" applyBorder="1" applyAlignment="1">
      <alignment vertical="center"/>
    </xf>
    <xf numFmtId="38" fontId="0" fillId="4" borderId="70" xfId="2" applyFont="1" applyFill="1" applyBorder="1" applyAlignment="1">
      <alignment vertical="center"/>
    </xf>
    <xf numFmtId="38" fontId="0" fillId="10" borderId="70" xfId="2" applyFont="1" applyFill="1" applyBorder="1" applyAlignment="1">
      <alignment vertical="center"/>
    </xf>
    <xf numFmtId="38" fontId="0" fillId="11" borderId="70" xfId="2" applyFont="1" applyFill="1" applyBorder="1" applyAlignment="1">
      <alignment vertical="center"/>
    </xf>
    <xf numFmtId="38" fontId="0" fillId="12" borderId="70" xfId="2" applyFont="1" applyFill="1" applyBorder="1" applyAlignment="1">
      <alignment vertical="center"/>
    </xf>
    <xf numFmtId="38" fontId="0" fillId="13" borderId="70" xfId="2" applyFont="1" applyFill="1" applyBorder="1" applyAlignment="1">
      <alignment vertical="center"/>
    </xf>
    <xf numFmtId="177" fontId="0" fillId="0" borderId="70" xfId="1" applyFont="1" applyBorder="1" applyAlignment="1">
      <alignment horizontal="right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177" fontId="0" fillId="0" borderId="115" xfId="1" applyFont="1" applyBorder="1" applyAlignment="1">
      <alignment vertical="center"/>
    </xf>
    <xf numFmtId="177" fontId="0" fillId="0" borderId="58" xfId="1" applyFont="1" applyBorder="1" applyAlignment="1">
      <alignment vertical="center"/>
    </xf>
    <xf numFmtId="177" fontId="0" fillId="0" borderId="70" xfId="0" applyNumberFormat="1" applyFont="1" applyBorder="1" applyAlignment="1">
      <alignment vertical="center"/>
    </xf>
    <xf numFmtId="177" fontId="14" fillId="0" borderId="35" xfId="1" applyFont="1" applyBorder="1" applyAlignment="1">
      <alignment vertical="center"/>
    </xf>
    <xf numFmtId="38" fontId="8" fillId="0" borderId="42" xfId="0" applyNumberFormat="1" applyFont="1" applyFill="1" applyBorder="1" applyAlignment="1">
      <alignment vertical="center"/>
    </xf>
    <xf numFmtId="0" fontId="8" fillId="0" borderId="58" xfId="0" applyFont="1" applyFill="1" applyBorder="1" applyAlignment="1">
      <alignment horizontal="center" vertical="center"/>
    </xf>
    <xf numFmtId="38" fontId="0" fillId="0" borderId="58" xfId="2" applyFont="1" applyFill="1" applyBorder="1" applyAlignment="1">
      <alignment horizontal="center" vertical="center"/>
    </xf>
    <xf numFmtId="38" fontId="8" fillId="0" borderId="70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177" fontId="8" fillId="0" borderId="35" xfId="1" applyFont="1" applyBorder="1" applyAlignment="1">
      <alignment vertical="center"/>
    </xf>
    <xf numFmtId="177" fontId="0" fillId="0" borderId="0" xfId="1" applyFont="1" applyAlignment="1">
      <alignment vertical="center"/>
    </xf>
    <xf numFmtId="181" fontId="0" fillId="0" borderId="70" xfId="0" applyNumberFormat="1" applyFont="1" applyBorder="1" applyAlignment="1">
      <alignment vertical="center"/>
    </xf>
    <xf numFmtId="181" fontId="0" fillId="0" borderId="58" xfId="0" applyNumberFormat="1" applyFont="1" applyBorder="1" applyAlignment="1">
      <alignment vertical="center"/>
    </xf>
    <xf numFmtId="181" fontId="0" fillId="0" borderId="58" xfId="0" applyNumberFormat="1" applyFont="1" applyFill="1" applyBorder="1" applyAlignment="1">
      <alignment vertical="center"/>
    </xf>
    <xf numFmtId="38" fontId="8" fillId="0" borderId="37" xfId="2" applyFont="1" applyFill="1" applyBorder="1" applyAlignment="1">
      <alignment vertical="center"/>
    </xf>
    <xf numFmtId="38" fontId="8" fillId="0" borderId="42" xfId="2" applyFont="1" applyFill="1" applyBorder="1" applyAlignment="1">
      <alignment vertical="center"/>
    </xf>
    <xf numFmtId="38" fontId="0" fillId="0" borderId="0" xfId="2" applyFont="1" applyAlignment="1">
      <alignment vertical="center"/>
    </xf>
    <xf numFmtId="177" fontId="8" fillId="0" borderId="70" xfId="1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56" fontId="0" fillId="0" borderId="0" xfId="0" applyNumberFormat="1" applyFont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38" fontId="5" fillId="0" borderId="69" xfId="0" applyNumberFormat="1" applyFont="1" applyBorder="1" applyAlignment="1">
      <alignment horizontal="center" vertical="center"/>
    </xf>
    <xf numFmtId="38" fontId="0" fillId="0" borderId="65" xfId="0" applyNumberFormat="1" applyFont="1" applyBorder="1" applyAlignment="1">
      <alignment horizontal="center" vertical="center"/>
    </xf>
    <xf numFmtId="38" fontId="0" fillId="0" borderId="37" xfId="0" applyNumberFormat="1" applyFont="1" applyBorder="1" applyAlignment="1">
      <alignment horizontal="center" vertical="center"/>
    </xf>
    <xf numFmtId="38" fontId="8" fillId="0" borderId="37" xfId="0" applyNumberFormat="1" applyFont="1" applyBorder="1" applyAlignment="1">
      <alignment horizontal="center" vertical="center"/>
    </xf>
    <xf numFmtId="38" fontId="3" fillId="0" borderId="11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181" fontId="8" fillId="0" borderId="0" xfId="0" applyNumberFormat="1" applyFont="1" applyAlignment="1">
      <alignment vertical="center"/>
    </xf>
    <xf numFmtId="177" fontId="0" fillId="3" borderId="57" xfId="1" applyFont="1" applyFill="1" applyBorder="1" applyAlignment="1">
      <alignment vertical="center"/>
    </xf>
    <xf numFmtId="38" fontId="0" fillId="0" borderId="27" xfId="0" applyNumberFormat="1" applyFont="1" applyBorder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1" xfId="0" applyFont="1" applyBorder="1" applyAlignment="1">
      <alignment vertical="center"/>
    </xf>
    <xf numFmtId="38" fontId="8" fillId="0" borderId="29" xfId="0" applyNumberFormat="1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38" fontId="8" fillId="0" borderId="58" xfId="0" applyNumberFormat="1" applyFont="1" applyBorder="1" applyAlignment="1">
      <alignment vertical="center"/>
    </xf>
    <xf numFmtId="0" fontId="3" fillId="0" borderId="1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5" fillId="0" borderId="14" xfId="0" applyNumberFormat="1" applyFont="1" applyBorder="1" applyAlignment="1">
      <alignment horizontal="center" vertical="center"/>
    </xf>
    <xf numFmtId="38" fontId="3" fillId="0" borderId="120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61" xfId="0" applyNumberFormat="1" applyFont="1" applyBorder="1" applyAlignment="1">
      <alignment horizontal="center" vertical="center"/>
    </xf>
    <xf numFmtId="31" fontId="8" fillId="0" borderId="30" xfId="0" applyNumberFormat="1" applyFont="1" applyBorder="1" applyAlignment="1">
      <alignment horizontal="center" vertical="center"/>
    </xf>
    <xf numFmtId="181" fontId="8" fillId="0" borderId="65" xfId="0" applyNumberFormat="1" applyFont="1" applyBorder="1" applyAlignment="1">
      <alignment vertical="center"/>
    </xf>
    <xf numFmtId="181" fontId="8" fillId="3" borderId="57" xfId="0" applyNumberFormat="1" applyFont="1" applyFill="1" applyBorder="1" applyAlignment="1">
      <alignment vertical="center"/>
    </xf>
    <xf numFmtId="38" fontId="8" fillId="0" borderId="32" xfId="0" applyNumberFormat="1" applyFont="1" applyBorder="1" applyAlignment="1">
      <alignment horizontal="center" vertical="center"/>
    </xf>
    <xf numFmtId="38" fontId="8" fillId="0" borderId="65" xfId="0" applyNumberFormat="1" applyFont="1" applyBorder="1" applyAlignment="1">
      <alignment vertical="center"/>
    </xf>
    <xf numFmtId="38" fontId="8" fillId="0" borderId="57" xfId="0" applyNumberFormat="1" applyFont="1" applyBorder="1" applyAlignment="1">
      <alignment vertical="center"/>
    </xf>
    <xf numFmtId="177" fontId="8" fillId="3" borderId="31" xfId="0" applyNumberFormat="1" applyFont="1" applyFill="1" applyBorder="1" applyAlignment="1">
      <alignment vertical="center"/>
    </xf>
    <xf numFmtId="38" fontId="8" fillId="0" borderId="31" xfId="0" applyNumberFormat="1" applyFont="1" applyBorder="1" applyAlignment="1">
      <alignment vertical="center"/>
    </xf>
    <xf numFmtId="38" fontId="8" fillId="3" borderId="31" xfId="0" applyNumberFormat="1" applyFont="1" applyFill="1" applyBorder="1" applyAlignment="1">
      <alignment vertical="center"/>
    </xf>
    <xf numFmtId="56" fontId="8" fillId="0" borderId="28" xfId="0" applyNumberFormat="1" applyFont="1" applyBorder="1" applyAlignment="1"/>
    <xf numFmtId="38" fontId="8" fillId="0" borderId="84" xfId="0" applyNumberFormat="1" applyFont="1" applyBorder="1" applyAlignment="1">
      <alignment horizontal="right" vertical="center"/>
    </xf>
    <xf numFmtId="38" fontId="8" fillId="0" borderId="28" xfId="0" applyNumberFormat="1" applyFont="1" applyBorder="1" applyAlignment="1">
      <alignment vertical="center"/>
    </xf>
    <xf numFmtId="0" fontId="8" fillId="0" borderId="112" xfId="0" applyFont="1" applyBorder="1" applyAlignment="1">
      <alignment vertical="center"/>
    </xf>
    <xf numFmtId="0" fontId="8" fillId="0" borderId="65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38" fontId="8" fillId="0" borderId="82" xfId="0" applyNumberFormat="1" applyFont="1" applyBorder="1" applyAlignment="1">
      <alignment vertical="center"/>
    </xf>
    <xf numFmtId="38" fontId="8" fillId="0" borderId="112" xfId="0" applyNumberFormat="1" applyFont="1" applyBorder="1" applyAlignment="1">
      <alignment vertical="center"/>
    </xf>
    <xf numFmtId="38" fontId="8" fillId="3" borderId="57" xfId="0" applyNumberFormat="1" applyFont="1" applyFill="1" applyBorder="1" applyAlignment="1">
      <alignment vertical="center"/>
    </xf>
    <xf numFmtId="38" fontId="8" fillId="0" borderId="86" xfId="0" applyNumberFormat="1" applyFont="1" applyBorder="1" applyAlignment="1">
      <alignment vertical="center"/>
    </xf>
    <xf numFmtId="38" fontId="8" fillId="0" borderId="121" xfId="0" applyNumberFormat="1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38" fontId="3" fillId="0" borderId="65" xfId="0" applyNumberFormat="1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38" fontId="8" fillId="3" borderId="65" xfId="0" applyNumberFormat="1" applyFont="1" applyFill="1" applyBorder="1" applyAlignment="1">
      <alignment vertical="center"/>
    </xf>
    <xf numFmtId="176" fontId="8" fillId="0" borderId="43" xfId="0" applyNumberFormat="1" applyFont="1" applyBorder="1" applyAlignment="1">
      <alignment vertical="center"/>
    </xf>
    <xf numFmtId="38" fontId="8" fillId="0" borderId="122" xfId="0" applyNumberFormat="1" applyFont="1" applyBorder="1" applyAlignment="1">
      <alignment vertical="center"/>
    </xf>
    <xf numFmtId="38" fontId="8" fillId="0" borderId="37" xfId="0" applyNumberFormat="1" applyFont="1" applyBorder="1" applyAlignment="1">
      <alignment vertical="center"/>
    </xf>
    <xf numFmtId="181" fontId="8" fillId="0" borderId="37" xfId="0" applyNumberFormat="1" applyFont="1" applyBorder="1" applyAlignment="1">
      <alignment vertical="center"/>
    </xf>
    <xf numFmtId="0" fontId="3" fillId="3" borderId="28" xfId="0" applyFont="1" applyFill="1" applyBorder="1" applyAlignment="1">
      <alignment horizontal="center" vertical="center"/>
    </xf>
    <xf numFmtId="181" fontId="8" fillId="3" borderId="65" xfId="0" applyNumberFormat="1" applyFont="1" applyFill="1" applyBorder="1" applyAlignment="1">
      <alignment vertical="center"/>
    </xf>
    <xf numFmtId="38" fontId="8" fillId="0" borderId="42" xfId="0" applyNumberFormat="1" applyFont="1" applyBorder="1" applyAlignment="1">
      <alignment vertical="center"/>
    </xf>
    <xf numFmtId="0" fontId="8" fillId="0" borderId="122" xfId="0" applyFont="1" applyBorder="1" applyAlignment="1">
      <alignment vertical="center"/>
    </xf>
    <xf numFmtId="38" fontId="8" fillId="0" borderId="62" xfId="0" applyNumberFormat="1" applyFont="1" applyBorder="1" applyAlignment="1">
      <alignment vertical="center"/>
    </xf>
    <xf numFmtId="38" fontId="8" fillId="3" borderId="1" xfId="0" applyNumberFormat="1" applyFont="1" applyFill="1" applyBorder="1" applyAlignment="1">
      <alignment vertical="center"/>
    </xf>
    <xf numFmtId="38" fontId="8" fillId="0" borderId="81" xfId="0" applyNumberFormat="1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3" fillId="0" borderId="118" xfId="0" applyFont="1" applyBorder="1" applyAlignment="1">
      <alignment horizontal="center" vertical="center"/>
    </xf>
    <xf numFmtId="0" fontId="3" fillId="0" borderId="123" xfId="0" applyFont="1" applyBorder="1" applyAlignment="1">
      <alignment horizontal="center" vertical="center"/>
    </xf>
    <xf numFmtId="38" fontId="3" fillId="0" borderId="123" xfId="0" applyNumberFormat="1" applyFont="1" applyBorder="1" applyAlignment="1">
      <alignment horizontal="center" vertical="center"/>
    </xf>
    <xf numFmtId="38" fontId="3" fillId="0" borderId="124" xfId="0" applyNumberFormat="1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181" fontId="8" fillId="0" borderId="60" xfId="0" applyNumberFormat="1" applyFont="1" applyBorder="1" applyAlignment="1">
      <alignment vertical="center"/>
    </xf>
    <xf numFmtId="181" fontId="8" fillId="0" borderId="58" xfId="0" applyNumberFormat="1" applyFont="1" applyBorder="1" applyAlignment="1">
      <alignment vertical="center"/>
    </xf>
    <xf numFmtId="0" fontId="8" fillId="0" borderId="82" xfId="0" applyFont="1" applyBorder="1" applyAlignment="1">
      <alignment vertical="center"/>
    </xf>
    <xf numFmtId="177" fontId="8" fillId="0" borderId="112" xfId="0" applyNumberFormat="1" applyFont="1" applyBorder="1" applyAlignment="1">
      <alignment vertical="center"/>
    </xf>
    <xf numFmtId="0" fontId="8" fillId="0" borderId="58" xfId="0" applyFont="1" applyBorder="1" applyAlignment="1">
      <alignment horizontal="center" vertical="center"/>
    </xf>
    <xf numFmtId="38" fontId="8" fillId="0" borderId="58" xfId="0" applyNumberFormat="1" applyFont="1" applyBorder="1" applyAlignment="1">
      <alignment horizontal="center" vertical="center"/>
    </xf>
    <xf numFmtId="56" fontId="8" fillId="0" borderId="82" xfId="0" applyNumberFormat="1" applyFont="1" applyBorder="1" applyAlignment="1">
      <alignment vertical="center"/>
    </xf>
    <xf numFmtId="177" fontId="8" fillId="0" borderId="58" xfId="0" applyNumberFormat="1" applyFont="1" applyBorder="1" applyAlignment="1">
      <alignment vertical="center"/>
    </xf>
    <xf numFmtId="38" fontId="8" fillId="0" borderId="71" xfId="0" applyNumberFormat="1" applyFont="1" applyBorder="1" applyAlignment="1">
      <alignment horizontal="center" vertical="center"/>
    </xf>
    <xf numFmtId="177" fontId="0" fillId="0" borderId="130" xfId="0" applyNumberFormat="1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181" fontId="8" fillId="0" borderId="35" xfId="0" applyNumberFormat="1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181" fontId="8" fillId="0" borderId="28" xfId="0" applyNumberFormat="1" applyFont="1" applyBorder="1" applyAlignment="1">
      <alignment vertical="center"/>
    </xf>
    <xf numFmtId="38" fontId="0" fillId="0" borderId="31" xfId="0" applyNumberFormat="1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2" fillId="0" borderId="81" xfId="0" applyFont="1" applyBorder="1" applyAlignment="1">
      <alignment vertical="center"/>
    </xf>
    <xf numFmtId="38" fontId="0" fillId="0" borderId="58" xfId="0" applyNumberFormat="1" applyFont="1" applyBorder="1" applyAlignment="1">
      <alignment vertical="center"/>
    </xf>
    <xf numFmtId="38" fontId="3" fillId="0" borderId="52" xfId="0" applyNumberFormat="1" applyFont="1" applyBorder="1" applyAlignment="1">
      <alignment horizontal="center" vertical="center"/>
    </xf>
    <xf numFmtId="38" fontId="8" fillId="0" borderId="20" xfId="0" applyNumberFormat="1" applyFont="1" applyBorder="1" applyAlignment="1">
      <alignment vertical="center"/>
    </xf>
    <xf numFmtId="177" fontId="8" fillId="0" borderId="61" xfId="0" applyNumberFormat="1" applyFont="1" applyBorder="1" applyAlignment="1">
      <alignment vertical="center"/>
    </xf>
    <xf numFmtId="38" fontId="8" fillId="0" borderId="120" xfId="0" applyNumberFormat="1" applyFont="1" applyBorder="1" applyAlignment="1">
      <alignment vertical="center"/>
    </xf>
    <xf numFmtId="0" fontId="8" fillId="0" borderId="70" xfId="0" applyFont="1" applyBorder="1" applyAlignment="1">
      <alignment horizontal="center" vertical="center"/>
    </xf>
    <xf numFmtId="0" fontId="0" fillId="0" borderId="70" xfId="0" applyFont="1" applyBorder="1" applyAlignment="1">
      <alignment horizontal="right" vertical="center"/>
    </xf>
    <xf numFmtId="0" fontId="8" fillId="0" borderId="70" xfId="0" applyFont="1" applyBorder="1" applyAlignment="1">
      <alignment horizontal="right" vertical="center"/>
    </xf>
    <xf numFmtId="56" fontId="0" fillId="0" borderId="70" xfId="0" applyNumberFormat="1" applyFont="1" applyBorder="1" applyAlignment="1">
      <alignment horizontal="left" vertical="center"/>
    </xf>
    <xf numFmtId="56" fontId="8" fillId="0" borderId="35" xfId="0" applyNumberFormat="1" applyFont="1" applyBorder="1" applyAlignment="1"/>
    <xf numFmtId="0" fontId="8" fillId="0" borderId="27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9" fontId="8" fillId="0" borderId="10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2" fillId="0" borderId="70" xfId="0" applyFont="1" applyBorder="1" applyAlignment="1">
      <alignment vertical="center"/>
    </xf>
    <xf numFmtId="17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80" fontId="8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8" fontId="3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38" fontId="3" fillId="0" borderId="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38" fontId="3" fillId="0" borderId="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38" fontId="0" fillId="0" borderId="10" xfId="0" applyNumberFormat="1" applyFont="1" applyBorder="1" applyAlignment="1">
      <alignment horizontal="center" vertical="center"/>
    </xf>
    <xf numFmtId="38" fontId="0" fillId="0" borderId="28" xfId="0" applyNumberFormat="1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9" fontId="8" fillId="0" borderId="79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85" xfId="0" applyFont="1" applyBorder="1" applyAlignment="1">
      <alignment horizontal="center" vertical="center"/>
    </xf>
    <xf numFmtId="0" fontId="8" fillId="0" borderId="86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2" fillId="0" borderId="65" xfId="0" applyFont="1" applyBorder="1" applyAlignment="1">
      <alignment vertical="center"/>
    </xf>
    <xf numFmtId="9" fontId="8" fillId="0" borderId="28" xfId="0" applyNumberFormat="1" applyFont="1" applyBorder="1" applyAlignment="1">
      <alignment horizontal="center" vertical="center"/>
    </xf>
    <xf numFmtId="38" fontId="0" fillId="0" borderId="76" xfId="2" applyFont="1" applyBorder="1" applyAlignment="1">
      <alignment horizontal="center" vertical="center"/>
    </xf>
    <xf numFmtId="38" fontId="0" fillId="0" borderId="82" xfId="2" applyFont="1" applyBorder="1" applyAlignment="1">
      <alignment horizontal="center" vertical="center"/>
    </xf>
    <xf numFmtId="38" fontId="0" fillId="6" borderId="76" xfId="2" applyFont="1" applyFill="1" applyBorder="1" applyAlignment="1">
      <alignment horizontal="center" vertical="center"/>
    </xf>
    <xf numFmtId="38" fontId="0" fillId="6" borderId="82" xfId="2" applyFont="1" applyFill="1" applyBorder="1" applyAlignment="1">
      <alignment horizontal="center" vertical="center"/>
    </xf>
    <xf numFmtId="38" fontId="0" fillId="5" borderId="76" xfId="2" applyFont="1" applyFill="1" applyBorder="1" applyAlignment="1">
      <alignment horizontal="center" vertical="center"/>
    </xf>
    <xf numFmtId="38" fontId="0" fillId="5" borderId="82" xfId="2" applyFont="1" applyFill="1" applyBorder="1" applyAlignment="1">
      <alignment horizontal="center" vertical="center"/>
    </xf>
    <xf numFmtId="38" fontId="0" fillId="0" borderId="76" xfId="2" applyFont="1" applyFill="1" applyBorder="1" applyAlignment="1">
      <alignment horizontal="center" vertical="center"/>
    </xf>
    <xf numFmtId="38" fontId="0" fillId="0" borderId="82" xfId="2" applyFont="1" applyFill="1" applyBorder="1" applyAlignment="1">
      <alignment horizontal="center" vertical="center"/>
    </xf>
    <xf numFmtId="38" fontId="0" fillId="13" borderId="76" xfId="2" applyFont="1" applyFill="1" applyBorder="1" applyAlignment="1">
      <alignment horizontal="center" vertical="center"/>
    </xf>
    <xf numFmtId="38" fontId="0" fillId="13" borderId="82" xfId="2" applyFont="1" applyFill="1" applyBorder="1" applyAlignment="1">
      <alignment horizontal="center" vertical="center"/>
    </xf>
    <xf numFmtId="0" fontId="8" fillId="9" borderId="76" xfId="0" applyFont="1" applyFill="1" applyBorder="1" applyAlignment="1">
      <alignment horizontal="center" vertical="center"/>
    </xf>
    <xf numFmtId="0" fontId="8" fillId="9" borderId="82" xfId="0" applyFont="1" applyFill="1" applyBorder="1" applyAlignment="1">
      <alignment horizontal="center" vertical="center"/>
    </xf>
    <xf numFmtId="38" fontId="0" fillId="8" borderId="76" xfId="2" applyFont="1" applyFill="1" applyBorder="1" applyAlignment="1">
      <alignment horizontal="center" vertical="center"/>
    </xf>
    <xf numFmtId="38" fontId="0" fillId="8" borderId="82" xfId="2" applyFont="1" applyFill="1" applyBorder="1" applyAlignment="1">
      <alignment horizontal="center" vertical="center"/>
    </xf>
    <xf numFmtId="38" fontId="0" fillId="14" borderId="76" xfId="2" applyFont="1" applyFill="1" applyBorder="1" applyAlignment="1">
      <alignment horizontal="center" vertical="center"/>
    </xf>
    <xf numFmtId="38" fontId="0" fillId="14" borderId="82" xfId="2" applyFont="1" applyFill="1" applyBorder="1" applyAlignment="1">
      <alignment horizontal="center" vertical="center"/>
    </xf>
    <xf numFmtId="181" fontId="0" fillId="0" borderId="71" xfId="0" applyNumberFormat="1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177" fontId="0" fillId="0" borderId="71" xfId="1" applyFont="1" applyBorder="1" applyAlignment="1">
      <alignment horizontal="center" vertical="center"/>
    </xf>
    <xf numFmtId="177" fontId="0" fillId="0" borderId="81" xfId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80" fontId="0" fillId="0" borderId="71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2" fillId="0" borderId="22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0" fillId="0" borderId="55" xfId="0" applyFont="1" applyBorder="1" applyAlignment="1">
      <alignment horizontal="center"/>
    </xf>
    <xf numFmtId="183" fontId="0" fillId="0" borderId="66" xfId="0" applyNumberFormat="1" applyFont="1" applyBorder="1" applyAlignment="1">
      <alignment horizontal="center"/>
    </xf>
    <xf numFmtId="0" fontId="2" fillId="0" borderId="67" xfId="0" applyFont="1" applyBorder="1" applyAlignment="1">
      <alignment vertic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2" fillId="0" borderId="68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9" fontId="8" fillId="0" borderId="80" xfId="0" applyNumberFormat="1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2" fillId="0" borderId="71" xfId="0" applyFont="1" applyBorder="1" applyAlignment="1">
      <alignment vertical="center"/>
    </xf>
    <xf numFmtId="38" fontId="0" fillId="0" borderId="10" xfId="0" applyNumberFormat="1" applyFont="1" applyBorder="1" applyAlignment="1">
      <alignment horizontal="right"/>
    </xf>
    <xf numFmtId="38" fontId="0" fillId="0" borderId="28" xfId="0" applyNumberFormat="1" applyFont="1" applyBorder="1" applyAlignment="1">
      <alignment horizontal="right"/>
    </xf>
    <xf numFmtId="0" fontId="8" fillId="0" borderId="81" xfId="0" applyFont="1" applyBorder="1" applyAlignment="1">
      <alignment horizontal="center" vertical="center"/>
    </xf>
    <xf numFmtId="9" fontId="8" fillId="0" borderId="70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177" fontId="0" fillId="0" borderId="10" xfId="1" applyFont="1" applyBorder="1" applyAlignment="1">
      <alignment horizontal="center" vertical="center"/>
    </xf>
    <xf numFmtId="177" fontId="0" fillId="0" borderId="28" xfId="1" applyFont="1" applyBorder="1" applyAlignment="1">
      <alignment horizontal="center" vertical="center"/>
    </xf>
    <xf numFmtId="0" fontId="2" fillId="0" borderId="81" xfId="0" applyFont="1" applyBorder="1" applyAlignment="1">
      <alignment vertical="center"/>
    </xf>
    <xf numFmtId="38" fontId="0" fillId="4" borderId="76" xfId="2" applyFont="1" applyFill="1" applyBorder="1" applyAlignment="1">
      <alignment horizontal="center" vertical="center"/>
    </xf>
    <xf numFmtId="38" fontId="0" fillId="4" borderId="82" xfId="2" applyFont="1" applyFill="1" applyBorder="1" applyAlignment="1">
      <alignment horizontal="center" vertical="center"/>
    </xf>
    <xf numFmtId="0" fontId="0" fillId="9" borderId="82" xfId="0" applyFont="1" applyFill="1" applyBorder="1" applyAlignment="1">
      <alignment horizontal="center" vertical="center"/>
    </xf>
    <xf numFmtId="38" fontId="0" fillId="7" borderId="76" xfId="2" applyFont="1" applyFill="1" applyBorder="1" applyAlignment="1">
      <alignment horizontal="center" vertical="center"/>
    </xf>
    <xf numFmtId="38" fontId="0" fillId="7" borderId="82" xfId="2" applyFont="1" applyFill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38" fontId="0" fillId="0" borderId="76" xfId="2" applyFont="1" applyBorder="1" applyAlignment="1">
      <alignment horizontal="center" vertical="center" wrapText="1"/>
    </xf>
    <xf numFmtId="38" fontId="0" fillId="0" borderId="82" xfId="2" applyFont="1" applyBorder="1" applyAlignment="1">
      <alignment horizontal="center" vertical="center" wrapText="1"/>
    </xf>
    <xf numFmtId="38" fontId="0" fillId="0" borderId="116" xfId="2" applyFont="1" applyBorder="1" applyAlignment="1">
      <alignment horizontal="center" vertical="center"/>
    </xf>
    <xf numFmtId="38" fontId="8" fillId="0" borderId="76" xfId="2" applyFont="1" applyBorder="1" applyAlignment="1">
      <alignment horizontal="center" vertical="center"/>
    </xf>
    <xf numFmtId="38" fontId="8" fillId="0" borderId="82" xfId="2" applyFont="1" applyBorder="1" applyAlignment="1">
      <alignment horizontal="center" vertical="center"/>
    </xf>
    <xf numFmtId="38" fontId="0" fillId="0" borderId="113" xfId="0" applyNumberFormat="1" applyFont="1" applyBorder="1" applyAlignment="1">
      <alignment horizontal="center" vertical="center"/>
    </xf>
    <xf numFmtId="38" fontId="0" fillId="0" borderId="10" xfId="2" applyFont="1" applyBorder="1" applyAlignment="1">
      <alignment horizontal="center" vertical="center"/>
    </xf>
    <xf numFmtId="38" fontId="0" fillId="0" borderId="28" xfId="2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8" fillId="0" borderId="112" xfId="0" applyFont="1" applyBorder="1" applyAlignment="1">
      <alignment horizontal="center" vertical="center"/>
    </xf>
    <xf numFmtId="38" fontId="3" fillId="0" borderId="4" xfId="0" applyNumberFormat="1" applyFont="1" applyBorder="1" applyAlignment="1">
      <alignment horizontal="center" vertical="center"/>
    </xf>
    <xf numFmtId="38" fontId="8" fillId="16" borderId="76" xfId="0" applyNumberFormat="1" applyFont="1" applyFill="1" applyBorder="1" applyAlignment="1">
      <alignment horizontal="center" vertical="center"/>
    </xf>
    <xf numFmtId="38" fontId="8" fillId="16" borderId="119" xfId="0" applyNumberFormat="1" applyFont="1" applyFill="1" applyBorder="1" applyAlignment="1">
      <alignment horizontal="center" vertical="center"/>
    </xf>
    <xf numFmtId="38" fontId="8" fillId="0" borderId="10" xfId="0" applyNumberFormat="1" applyFont="1" applyBorder="1" applyAlignment="1">
      <alignment horizontal="center" vertical="center"/>
    </xf>
    <xf numFmtId="38" fontId="8" fillId="0" borderId="28" xfId="0" applyNumberFormat="1" applyFont="1" applyBorder="1" applyAlignment="1">
      <alignment horizontal="center" vertical="center"/>
    </xf>
    <xf numFmtId="0" fontId="8" fillId="15" borderId="76" xfId="0" applyFont="1" applyFill="1" applyBorder="1" applyAlignment="1">
      <alignment horizontal="center" vertical="center"/>
    </xf>
    <xf numFmtId="0" fontId="8" fillId="15" borderId="119" xfId="0" applyFont="1" applyFill="1" applyBorder="1" applyAlignment="1">
      <alignment horizontal="center" vertical="center"/>
    </xf>
    <xf numFmtId="9" fontId="8" fillId="0" borderId="126" xfId="0" applyNumberFormat="1" applyFont="1" applyBorder="1" applyAlignment="1">
      <alignment horizontal="center" vertical="center"/>
    </xf>
    <xf numFmtId="9" fontId="8" fillId="0" borderId="127" xfId="0" applyNumberFormat="1" applyFont="1" applyBorder="1" applyAlignment="1">
      <alignment horizontal="center" vertical="center"/>
    </xf>
    <xf numFmtId="0" fontId="8" fillId="0" borderId="125" xfId="0" applyFont="1" applyBorder="1" applyAlignment="1">
      <alignment horizontal="center" vertical="center"/>
    </xf>
    <xf numFmtId="9" fontId="8" fillId="0" borderId="128" xfId="0" applyNumberFormat="1" applyFont="1" applyBorder="1" applyAlignment="1">
      <alignment horizontal="center" vertical="center"/>
    </xf>
    <xf numFmtId="9" fontId="8" fillId="0" borderId="129" xfId="0" applyNumberFormat="1" applyFont="1" applyBorder="1" applyAlignment="1">
      <alignment horizontal="center" vertical="center"/>
    </xf>
    <xf numFmtId="38" fontId="3" fillId="0" borderId="20" xfId="0" applyNumberFormat="1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38" fontId="3" fillId="0" borderId="19" xfId="0" applyNumberFormat="1" applyFont="1" applyBorder="1" applyAlignment="1">
      <alignment horizontal="center" vertical="center"/>
    </xf>
    <xf numFmtId="179" fontId="15" fillId="0" borderId="58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80" fontId="8" fillId="0" borderId="58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8" fontId="3" fillId="0" borderId="7" xfId="0" applyNumberFormat="1" applyFont="1" applyBorder="1" applyAlignment="1">
      <alignment horizontal="center" vertical="center"/>
    </xf>
    <xf numFmtId="181" fontId="8" fillId="0" borderId="71" xfId="0" applyNumberFormat="1" applyFont="1" applyBorder="1" applyAlignment="1">
      <alignment horizontal="center" vertical="center"/>
    </xf>
    <xf numFmtId="181" fontId="8" fillId="0" borderId="131" xfId="0" applyNumberFormat="1" applyFont="1" applyBorder="1" applyAlignment="1">
      <alignment horizontal="center" vertical="center"/>
    </xf>
    <xf numFmtId="177" fontId="8" fillId="0" borderId="134" xfId="0" applyNumberFormat="1" applyFont="1" applyBorder="1" applyAlignment="1">
      <alignment horizontal="center" vertical="center"/>
    </xf>
    <xf numFmtId="177" fontId="8" fillId="0" borderId="131" xfId="0" applyNumberFormat="1" applyFont="1" applyBorder="1" applyAlignment="1">
      <alignment horizontal="center" vertical="center"/>
    </xf>
    <xf numFmtId="180" fontId="8" fillId="0" borderId="71" xfId="0" applyNumberFormat="1" applyFont="1" applyBorder="1" applyAlignment="1">
      <alignment horizontal="center" vertical="center"/>
    </xf>
    <xf numFmtId="180" fontId="8" fillId="0" borderId="131" xfId="0" applyNumberFormat="1" applyFont="1" applyBorder="1" applyAlignment="1">
      <alignment horizontal="center" vertical="center"/>
    </xf>
    <xf numFmtId="38" fontId="8" fillId="0" borderId="76" xfId="0" applyNumberFormat="1" applyFont="1" applyBorder="1" applyAlignment="1">
      <alignment horizontal="center" vertical="center"/>
    </xf>
    <xf numFmtId="38" fontId="8" fillId="0" borderId="119" xfId="0" applyNumberFormat="1" applyFont="1" applyBorder="1" applyAlignment="1">
      <alignment horizontal="center" vertical="center"/>
    </xf>
    <xf numFmtId="38" fontId="8" fillId="20" borderId="76" xfId="0" applyNumberFormat="1" applyFont="1" applyFill="1" applyBorder="1" applyAlignment="1">
      <alignment horizontal="center" vertical="center"/>
    </xf>
    <xf numFmtId="38" fontId="8" fillId="20" borderId="119" xfId="0" applyNumberFormat="1" applyFont="1" applyFill="1" applyBorder="1" applyAlignment="1">
      <alignment horizontal="center" vertical="center"/>
    </xf>
    <xf numFmtId="38" fontId="8" fillId="17" borderId="76" xfId="0" applyNumberFormat="1" applyFont="1" applyFill="1" applyBorder="1" applyAlignment="1">
      <alignment horizontal="center" vertical="center"/>
    </xf>
    <xf numFmtId="38" fontId="8" fillId="17" borderId="119" xfId="0" applyNumberFormat="1" applyFont="1" applyFill="1" applyBorder="1" applyAlignment="1">
      <alignment horizontal="center" vertical="center"/>
    </xf>
    <xf numFmtId="38" fontId="8" fillId="18" borderId="76" xfId="0" applyNumberFormat="1" applyFont="1" applyFill="1" applyBorder="1" applyAlignment="1">
      <alignment horizontal="center" vertical="center"/>
    </xf>
    <xf numFmtId="38" fontId="8" fillId="18" borderId="119" xfId="0" applyNumberFormat="1" applyFont="1" applyFill="1" applyBorder="1" applyAlignment="1">
      <alignment horizontal="center" vertical="center"/>
    </xf>
    <xf numFmtId="38" fontId="8" fillId="19" borderId="76" xfId="0" applyNumberFormat="1" applyFont="1" applyFill="1" applyBorder="1" applyAlignment="1">
      <alignment horizontal="center" vertical="center"/>
    </xf>
    <xf numFmtId="38" fontId="8" fillId="19" borderId="119" xfId="0" applyNumberFormat="1" applyFont="1" applyFill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32" xfId="0" applyFont="1" applyBorder="1" applyAlignment="1">
      <alignment horizontal="center" vertical="center"/>
    </xf>
    <xf numFmtId="0" fontId="8" fillId="0" borderId="133" xfId="0" applyFont="1" applyBorder="1" applyAlignment="1">
      <alignment horizontal="center" vertical="center"/>
    </xf>
    <xf numFmtId="6" fontId="0" fillId="0" borderId="0" xfId="0" applyNumberFormat="1" applyFont="1" applyAlignment="1">
      <alignment vertical="center"/>
    </xf>
  </cellXfs>
  <cellStyles count="3">
    <cellStyle name="桁区切り" xfId="2" builtinId="6"/>
    <cellStyle name="通貨" xfId="1" builtinId="7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numFmt numFmtId="182" formatCode="[h]:mm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4F3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5EA50-024B-417E-8085-B8B83D8A8751}" name="名前と時間" displayName="名前と時間" ref="A1:C104" totalsRowShown="0" headerRowDxfId="3">
  <autoFilter ref="A1:C104" xr:uid="{A651B1E7-783C-4D68-9378-416909690DF9}"/>
  <tableColumns count="3">
    <tableColumn id="1" xr3:uid="{46DA36A6-2BE0-45DA-BCB1-01E0C3169802}" name="入" dataDxfId="2"/>
    <tableColumn id="2" xr3:uid="{F75FEC22-DBEB-4398-AC5E-A33509A1EADD}" name="出" dataDxfId="1"/>
    <tableColumn id="3" xr3:uid="{43529B22-D23E-4B2F-AD1B-E1B17F7AB068}" name="名前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909"/>
  <sheetViews>
    <sheetView topLeftCell="C1" zoomScale="87" zoomScaleNormal="70" workbookViewId="0">
      <selection activeCell="AD53" sqref="AD53"/>
    </sheetView>
  </sheetViews>
  <sheetFormatPr baseColWidth="10" defaultColWidth="11.28515625" defaultRowHeight="15" customHeight="1"/>
  <cols>
    <col min="1" max="1" width="14.85546875" customWidth="1"/>
    <col min="2" max="2" width="10.140625" customWidth="1"/>
    <col min="3" max="3" width="8.28515625" customWidth="1"/>
    <col min="4" max="4" width="11" customWidth="1"/>
    <col min="5" max="5" width="10.140625" customWidth="1"/>
    <col min="6" max="6" width="10.5703125" customWidth="1"/>
    <col min="7" max="7" width="8.28515625" customWidth="1"/>
    <col min="8" max="8" width="9.7109375" customWidth="1"/>
    <col min="9" max="13" width="8.28515625" customWidth="1"/>
    <col min="14" max="14" width="11" customWidth="1"/>
    <col min="15" max="18" width="8.28515625" customWidth="1"/>
    <col min="19" max="19" width="4.28515625" customWidth="1"/>
    <col min="20" max="21" width="8.28515625" customWidth="1"/>
    <col min="22" max="22" width="4" customWidth="1"/>
    <col min="23" max="24" width="8.28515625" customWidth="1"/>
    <col min="25" max="25" width="4" customWidth="1"/>
    <col min="26" max="27" width="8.28515625" customWidth="1"/>
    <col min="28" max="28" width="4" customWidth="1"/>
    <col min="29" max="30" width="8.28515625" customWidth="1"/>
    <col min="31" max="31" width="4" customWidth="1"/>
    <col min="32" max="33" width="8.28515625" customWidth="1"/>
    <col min="34" max="34" width="4" customWidth="1"/>
    <col min="35" max="35" width="11.140625" bestFit="1" customWidth="1"/>
    <col min="36" max="39" width="8.28515625" customWidth="1"/>
    <col min="40" max="40" width="9.28515625" customWidth="1"/>
    <col min="41" max="48" width="8.28515625" customWidth="1"/>
    <col min="49" max="49" width="8.7109375" customWidth="1"/>
    <col min="50" max="66" width="8.28515625" style="1" customWidth="1"/>
    <col min="67" max="67" width="8.28515625" customWidth="1"/>
  </cols>
  <sheetData>
    <row r="1" spans="1:67" ht="15" customHeight="1">
      <c r="A1" s="498">
        <v>2020</v>
      </c>
      <c r="B1" s="556">
        <v>1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BO1" s="1"/>
    </row>
    <row r="2" spans="1:67" ht="15" customHeight="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BO2" s="1"/>
    </row>
    <row r="3" spans="1:67" ht="19.5" customHeight="1" thickBot="1">
      <c r="A3" s="501" t="s">
        <v>0</v>
      </c>
      <c r="B3" s="503" t="s">
        <v>1</v>
      </c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 t="s">
        <v>6</v>
      </c>
      <c r="R3" s="504"/>
      <c r="S3" s="507"/>
      <c r="T3" s="555" t="s">
        <v>7</v>
      </c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514" t="s">
        <v>49</v>
      </c>
      <c r="AM3" s="514" t="s">
        <v>10</v>
      </c>
      <c r="AN3" s="514" t="s">
        <v>50</v>
      </c>
      <c r="AO3" s="514" t="s">
        <v>52</v>
      </c>
      <c r="AP3" s="514" t="s">
        <v>55</v>
      </c>
      <c r="AQ3" s="514" t="s">
        <v>56</v>
      </c>
      <c r="AR3" s="514" t="s">
        <v>53</v>
      </c>
      <c r="AS3" s="514" t="s">
        <v>9</v>
      </c>
      <c r="AT3" s="514" t="s">
        <v>54</v>
      </c>
      <c r="AU3" s="514" t="s">
        <v>11</v>
      </c>
      <c r="AV3" s="514" t="s">
        <v>58</v>
      </c>
      <c r="AW3" s="514" t="s">
        <v>59</v>
      </c>
      <c r="AX3" s="514" t="s">
        <v>62</v>
      </c>
      <c r="AY3" s="514" t="s">
        <v>63</v>
      </c>
      <c r="AZ3" s="514" t="s">
        <v>64</v>
      </c>
      <c r="BA3" s="514" t="s">
        <v>65</v>
      </c>
      <c r="BB3" s="514" t="s">
        <v>57</v>
      </c>
      <c r="BC3" s="514" t="s">
        <v>69</v>
      </c>
      <c r="BD3" s="514" t="s">
        <v>70</v>
      </c>
      <c r="BE3" s="514" t="s">
        <v>71</v>
      </c>
      <c r="BF3" s="514" t="s">
        <v>72</v>
      </c>
      <c r="BG3" s="514" t="s">
        <v>73</v>
      </c>
      <c r="BH3" s="514" t="s">
        <v>77</v>
      </c>
      <c r="BI3" s="514" t="s">
        <v>76</v>
      </c>
      <c r="BJ3" s="514" t="s">
        <v>74</v>
      </c>
      <c r="BK3" s="514" t="s">
        <v>79</v>
      </c>
      <c r="BL3" s="514" t="s">
        <v>82</v>
      </c>
      <c r="BM3" s="514" t="s">
        <v>83</v>
      </c>
      <c r="BN3" s="514" t="s">
        <v>84</v>
      </c>
      <c r="BO3" s="514" t="s">
        <v>61</v>
      </c>
    </row>
    <row r="4" spans="1:67" ht="19.5" customHeight="1" thickBot="1">
      <c r="A4" s="502"/>
      <c r="B4" s="9" t="s">
        <v>12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513"/>
      <c r="AM4" s="515"/>
      <c r="AN4" s="515"/>
      <c r="AO4" s="513"/>
      <c r="AP4" s="513"/>
      <c r="AQ4" s="513"/>
      <c r="AR4" s="513"/>
      <c r="AS4" s="513"/>
      <c r="AT4" s="513"/>
      <c r="AU4" s="513"/>
      <c r="AV4" s="513"/>
      <c r="AW4" s="513"/>
      <c r="AX4" s="495"/>
      <c r="AY4" s="495"/>
      <c r="AZ4" s="495"/>
      <c r="BA4" s="495"/>
      <c r="BB4" s="495"/>
      <c r="BC4" s="495"/>
      <c r="BD4" s="495"/>
      <c r="BE4" s="495"/>
      <c r="BF4" s="495"/>
      <c r="BG4" s="495"/>
      <c r="BH4" s="495"/>
      <c r="BI4" s="495"/>
      <c r="BJ4" s="495"/>
      <c r="BK4" s="495"/>
      <c r="BL4" s="495"/>
      <c r="BM4" s="495"/>
      <c r="BN4" s="495"/>
      <c r="BO4" s="513"/>
    </row>
    <row r="5" spans="1:67" ht="19.5" customHeight="1" thickTop="1">
      <c r="A5" s="21">
        <f t="shared" ref="A5:A35" si="0">IF(DAY(DATE($A$1,$B$1,ROW()-4))=ROW()-4,DATE($A$1,$B$1,ROW()-4),"")</f>
        <v>43831</v>
      </c>
      <c r="B5" s="22">
        <v>13300</v>
      </c>
      <c r="C5" s="22"/>
      <c r="D5" s="24">
        <f t="shared" ref="D5:D35" si="1">B5+C5</f>
        <v>13300</v>
      </c>
      <c r="E5" s="124"/>
      <c r="F5" s="125">
        <f>382+1826</f>
        <v>2208</v>
      </c>
      <c r="G5" s="126"/>
      <c r="H5" s="127">
        <f t="shared" ref="H5:H23" si="2">E5+F5+G5</f>
        <v>2208</v>
      </c>
      <c r="I5" s="27">
        <v>3</v>
      </c>
      <c r="J5" s="28">
        <f t="shared" ref="J5:J35" si="3">IFERROR(B5/I5, "")</f>
        <v>4433.333333333333</v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43831</v>
      </c>
      <c r="Q5" s="110">
        <v>0.83333333333333337</v>
      </c>
      <c r="R5" s="33">
        <v>0.875</v>
      </c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43831</v>
      </c>
      <c r="AK5" s="35"/>
      <c r="AL5" s="114"/>
      <c r="AM5" s="115"/>
      <c r="AN5" s="116">
        <v>13300</v>
      </c>
      <c r="AO5" s="56"/>
      <c r="AP5" s="35"/>
      <c r="AQ5" s="1"/>
      <c r="AR5" s="36"/>
      <c r="AS5" s="36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</row>
    <row r="6" spans="1:67" ht="19.5" customHeight="1">
      <c r="A6" s="21">
        <f t="shared" si="0"/>
        <v>43832</v>
      </c>
      <c r="B6" s="38">
        <v>35000</v>
      </c>
      <c r="C6" s="22"/>
      <c r="D6" s="39">
        <f t="shared" si="1"/>
        <v>35000</v>
      </c>
      <c r="E6" s="128"/>
      <c r="F6" s="129"/>
      <c r="G6" s="126"/>
      <c r="H6" s="127">
        <f t="shared" si="2"/>
        <v>0</v>
      </c>
      <c r="I6" s="35">
        <v>7</v>
      </c>
      <c r="J6" s="41">
        <f t="shared" si="3"/>
        <v>5000</v>
      </c>
      <c r="K6" s="29"/>
      <c r="L6" s="5"/>
      <c r="M6" s="30" t="s">
        <v>24</v>
      </c>
      <c r="N6" s="31" t="s">
        <v>25</v>
      </c>
      <c r="O6" s="7"/>
      <c r="P6" s="32">
        <f t="shared" si="4"/>
        <v>43832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43832</v>
      </c>
      <c r="AK6" s="35"/>
      <c r="AL6" s="35"/>
      <c r="AM6" s="26">
        <v>31000</v>
      </c>
      <c r="AN6" s="26">
        <v>4000</v>
      </c>
      <c r="AO6" s="35"/>
      <c r="AP6" s="35"/>
      <c r="AQ6" s="43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7" ht="19.5" customHeight="1">
      <c r="A7" s="21">
        <f t="shared" si="0"/>
        <v>43833</v>
      </c>
      <c r="B7" s="38">
        <v>41300</v>
      </c>
      <c r="C7" s="22"/>
      <c r="D7" s="39">
        <f t="shared" si="1"/>
        <v>41300</v>
      </c>
      <c r="E7" s="128"/>
      <c r="F7" s="129">
        <f>3198+1375</f>
        <v>4573</v>
      </c>
      <c r="G7" s="126"/>
      <c r="H7" s="127">
        <f t="shared" si="2"/>
        <v>4573</v>
      </c>
      <c r="I7" s="35">
        <v>8</v>
      </c>
      <c r="J7" s="41">
        <f t="shared" si="3"/>
        <v>5162.5</v>
      </c>
      <c r="K7" s="29"/>
      <c r="L7" s="5"/>
      <c r="M7" s="6"/>
      <c r="N7" s="7"/>
      <c r="O7" s="7"/>
      <c r="P7" s="32">
        <f t="shared" si="4"/>
        <v>43833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43833</v>
      </c>
      <c r="AK7" s="35"/>
      <c r="AL7" s="35">
        <v>41000</v>
      </c>
      <c r="AM7" s="35"/>
      <c r="AN7" s="35"/>
      <c r="AO7" s="35"/>
      <c r="AP7" s="35"/>
      <c r="AQ7" s="43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7" ht="19.5" customHeight="1">
      <c r="A8" s="21">
        <f t="shared" si="0"/>
        <v>43834</v>
      </c>
      <c r="B8" s="38">
        <v>47700</v>
      </c>
      <c r="C8" s="22"/>
      <c r="D8" s="39">
        <f t="shared" si="1"/>
        <v>47700</v>
      </c>
      <c r="E8" s="133">
        <f>5478+1103</f>
        <v>6581</v>
      </c>
      <c r="F8" s="129">
        <v>110</v>
      </c>
      <c r="G8" s="126"/>
      <c r="H8" s="127">
        <f t="shared" si="2"/>
        <v>6691</v>
      </c>
      <c r="I8" s="35">
        <v>14</v>
      </c>
      <c r="J8" s="41">
        <f t="shared" si="3"/>
        <v>3407.1428571428573</v>
      </c>
      <c r="K8" s="29"/>
      <c r="L8" s="5"/>
      <c r="M8" s="6"/>
      <c r="N8" s="7"/>
      <c r="O8" s="7"/>
      <c r="P8" s="32">
        <f t="shared" si="4"/>
        <v>43834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43834</v>
      </c>
      <c r="AK8" s="35"/>
      <c r="AL8" s="35"/>
      <c r="AM8" s="35">
        <v>2800</v>
      </c>
      <c r="AN8" s="35">
        <v>18400</v>
      </c>
      <c r="AO8" s="35"/>
      <c r="AP8" s="35"/>
      <c r="AQ8" s="43"/>
      <c r="AR8" s="36"/>
      <c r="AS8" s="36">
        <v>6500</v>
      </c>
      <c r="AT8" s="36"/>
      <c r="AU8" s="36"/>
      <c r="AV8" s="36"/>
      <c r="AW8" s="36">
        <v>14000</v>
      </c>
      <c r="AX8" s="36"/>
      <c r="AY8" s="36"/>
      <c r="AZ8" s="36"/>
      <c r="BA8" s="36">
        <v>6000</v>
      </c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7" ht="19.5" customHeight="1">
      <c r="A9" s="21">
        <f t="shared" si="0"/>
        <v>43835</v>
      </c>
      <c r="B9" s="38">
        <v>45900</v>
      </c>
      <c r="C9" s="22"/>
      <c r="D9" s="39">
        <f t="shared" si="1"/>
        <v>45900</v>
      </c>
      <c r="E9" s="128"/>
      <c r="F9" s="129">
        <f>2331+1560</f>
        <v>3891</v>
      </c>
      <c r="G9" s="126"/>
      <c r="H9" s="127">
        <f t="shared" si="2"/>
        <v>3891</v>
      </c>
      <c r="I9" s="35">
        <v>11</v>
      </c>
      <c r="J9" s="41">
        <f t="shared" si="3"/>
        <v>4172.727272727273</v>
      </c>
      <c r="K9" s="29"/>
      <c r="L9" s="5"/>
      <c r="M9" s="6"/>
      <c r="N9" s="7"/>
      <c r="O9" s="7"/>
      <c r="P9" s="32">
        <f t="shared" si="4"/>
        <v>43835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43835</v>
      </c>
      <c r="AK9" s="35"/>
      <c r="AL9" s="35">
        <v>12500</v>
      </c>
      <c r="AM9" s="35">
        <v>7000</v>
      </c>
      <c r="AN9" s="35">
        <v>25800</v>
      </c>
      <c r="AO9" s="35"/>
      <c r="AP9" s="35"/>
      <c r="AQ9" s="43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7" ht="19.5" customHeight="1">
      <c r="A10" s="21">
        <f t="shared" si="0"/>
        <v>43836</v>
      </c>
      <c r="B10" s="38">
        <v>52700</v>
      </c>
      <c r="C10" s="22"/>
      <c r="D10" s="39">
        <f t="shared" si="1"/>
        <v>52700</v>
      </c>
      <c r="E10" s="128">
        <f>2398+18226</f>
        <v>20624</v>
      </c>
      <c r="F10" s="129">
        <v>9479</v>
      </c>
      <c r="G10" s="126"/>
      <c r="H10" s="127">
        <f t="shared" si="2"/>
        <v>30103</v>
      </c>
      <c r="I10" s="35">
        <v>5</v>
      </c>
      <c r="J10" s="41">
        <f t="shared" si="3"/>
        <v>10540</v>
      </c>
      <c r="K10" s="29"/>
      <c r="L10" s="5"/>
      <c r="M10" s="6"/>
      <c r="N10" s="7"/>
      <c r="O10" s="7"/>
      <c r="P10" s="32">
        <f t="shared" si="4"/>
        <v>43836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43836</v>
      </c>
      <c r="AK10" s="35"/>
      <c r="AL10" s="35"/>
      <c r="AM10" s="35">
        <v>36900</v>
      </c>
      <c r="AN10" s="35">
        <v>12500</v>
      </c>
      <c r="AO10" s="35"/>
      <c r="AP10" s="35"/>
      <c r="AQ10" s="43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7" ht="19.5" customHeight="1">
      <c r="A11" s="21">
        <f t="shared" si="0"/>
        <v>43837</v>
      </c>
      <c r="B11" s="38"/>
      <c r="C11" s="22"/>
      <c r="D11" s="39">
        <f t="shared" si="1"/>
        <v>0</v>
      </c>
      <c r="E11" s="128">
        <v>1602</v>
      </c>
      <c r="F11" s="129"/>
      <c r="G11" s="126"/>
      <c r="H11" s="127">
        <f t="shared" si="2"/>
        <v>1602</v>
      </c>
      <c r="I11" s="35">
        <v>0</v>
      </c>
      <c r="J11" s="41" t="str">
        <f t="shared" si="3"/>
        <v/>
      </c>
      <c r="K11" s="29"/>
      <c r="L11" s="5"/>
      <c r="M11" s="6"/>
      <c r="N11" s="7"/>
      <c r="O11" s="7"/>
      <c r="P11" s="32">
        <f t="shared" si="4"/>
        <v>43837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43837</v>
      </c>
      <c r="AK11" s="35"/>
      <c r="AL11" s="35"/>
      <c r="AM11" s="35"/>
      <c r="AN11" s="35"/>
      <c r="AO11" s="35"/>
      <c r="AP11" s="35"/>
      <c r="AQ11" s="43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7" ht="19.5" customHeight="1">
      <c r="A12" s="21">
        <f t="shared" si="0"/>
        <v>43838</v>
      </c>
      <c r="B12" s="38"/>
      <c r="C12" s="22"/>
      <c r="D12" s="39">
        <f t="shared" si="1"/>
        <v>0</v>
      </c>
      <c r="E12" s="128"/>
      <c r="F12" s="129"/>
      <c r="G12" s="126"/>
      <c r="H12" s="127">
        <f t="shared" si="2"/>
        <v>0</v>
      </c>
      <c r="I12" s="35">
        <v>0</v>
      </c>
      <c r="J12" s="41" t="str">
        <f t="shared" si="3"/>
        <v/>
      </c>
      <c r="K12" s="29"/>
      <c r="L12" s="5"/>
      <c r="M12" s="6"/>
      <c r="N12" s="7"/>
      <c r="O12" s="7"/>
      <c r="P12" s="32">
        <f t="shared" si="4"/>
        <v>43838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43838</v>
      </c>
      <c r="AK12" s="35"/>
      <c r="AL12" s="35"/>
      <c r="AM12" s="35"/>
      <c r="AN12" s="35"/>
      <c r="AO12" s="35"/>
      <c r="AP12" s="35"/>
      <c r="AQ12" s="43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7" ht="19.5" customHeight="1">
      <c r="A13" s="21">
        <f t="shared" si="0"/>
        <v>43839</v>
      </c>
      <c r="B13" s="38">
        <v>64500</v>
      </c>
      <c r="C13" s="22"/>
      <c r="D13" s="39">
        <f t="shared" si="1"/>
        <v>64500</v>
      </c>
      <c r="E13" s="128">
        <v>5708</v>
      </c>
      <c r="F13" s="129">
        <v>770</v>
      </c>
      <c r="G13" s="126"/>
      <c r="H13" s="127">
        <f t="shared" si="2"/>
        <v>6478</v>
      </c>
      <c r="I13" s="35">
        <v>23</v>
      </c>
      <c r="J13" s="41">
        <f t="shared" si="3"/>
        <v>2804.3478260869565</v>
      </c>
      <c r="K13" s="29"/>
      <c r="L13" s="5"/>
      <c r="M13" s="6"/>
      <c r="N13" s="7"/>
      <c r="O13" s="7"/>
      <c r="P13" s="32">
        <f t="shared" si="4"/>
        <v>43839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43839</v>
      </c>
      <c r="AK13" s="35"/>
      <c r="AL13" s="35">
        <v>35000</v>
      </c>
      <c r="AM13" s="35">
        <v>4000</v>
      </c>
      <c r="AN13" s="35"/>
      <c r="AO13" s="35"/>
      <c r="AP13" s="35"/>
      <c r="AQ13" s="43"/>
      <c r="AR13" s="36"/>
      <c r="AS13" s="36"/>
      <c r="AT13" s="36"/>
      <c r="AU13" s="36"/>
      <c r="AV13" s="36"/>
      <c r="AW13" s="36"/>
      <c r="AX13" s="36"/>
      <c r="AY13" s="36"/>
      <c r="AZ13" s="36">
        <v>3500</v>
      </c>
      <c r="BA13" s="36"/>
      <c r="BB13" s="36">
        <v>22000</v>
      </c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7" ht="19.5" customHeight="1">
      <c r="A14" s="21">
        <f t="shared" si="0"/>
        <v>43840</v>
      </c>
      <c r="B14" s="38">
        <v>129500</v>
      </c>
      <c r="C14" s="22"/>
      <c r="D14" s="39">
        <f t="shared" si="1"/>
        <v>129500</v>
      </c>
      <c r="E14" s="128">
        <f>24665-13222</f>
        <v>11443</v>
      </c>
      <c r="F14" s="129">
        <v>3417</v>
      </c>
      <c r="G14" s="126"/>
      <c r="H14" s="127">
        <f t="shared" si="2"/>
        <v>14860</v>
      </c>
      <c r="I14" s="35">
        <v>40</v>
      </c>
      <c r="J14" s="41">
        <f t="shared" si="3"/>
        <v>3237.5</v>
      </c>
      <c r="K14" s="29"/>
      <c r="L14" s="5"/>
      <c r="M14" s="6"/>
      <c r="N14" s="7"/>
      <c r="O14" s="7"/>
      <c r="P14" s="32">
        <f t="shared" si="4"/>
        <v>43840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43840</v>
      </c>
      <c r="AK14" s="35">
        <v>10900</v>
      </c>
      <c r="AL14" s="35">
        <v>1600</v>
      </c>
      <c r="AM14" s="35">
        <v>37500</v>
      </c>
      <c r="AN14" s="35">
        <v>13500</v>
      </c>
      <c r="AO14" s="35"/>
      <c r="AP14" s="35"/>
      <c r="AQ14" s="43">
        <v>14000</v>
      </c>
      <c r="AR14" s="36"/>
      <c r="AS14" s="36"/>
      <c r="AT14" s="36"/>
      <c r="AU14" s="36"/>
      <c r="AV14" s="36"/>
      <c r="AW14" s="36"/>
      <c r="AX14" s="36"/>
      <c r="AY14" s="36">
        <v>52000</v>
      </c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7" ht="19.5" customHeight="1">
      <c r="A15" s="21">
        <f t="shared" si="0"/>
        <v>43841</v>
      </c>
      <c r="B15" s="38">
        <v>168000</v>
      </c>
      <c r="C15" s="22"/>
      <c r="D15" s="39">
        <f t="shared" si="1"/>
        <v>168000</v>
      </c>
      <c r="E15" s="128">
        <v>15563</v>
      </c>
      <c r="F15" s="129">
        <v>7141</v>
      </c>
      <c r="G15" s="126"/>
      <c r="H15" s="127">
        <f t="shared" si="2"/>
        <v>22704</v>
      </c>
      <c r="I15" s="35">
        <v>36</v>
      </c>
      <c r="J15" s="41">
        <f t="shared" si="3"/>
        <v>4666.666666666667</v>
      </c>
      <c r="K15" s="29"/>
      <c r="L15" s="5"/>
      <c r="M15" s="6"/>
      <c r="N15" s="7"/>
      <c r="O15" s="7"/>
      <c r="P15" s="32">
        <f t="shared" si="4"/>
        <v>43841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43841</v>
      </c>
      <c r="AK15" s="35"/>
      <c r="AL15" s="35"/>
      <c r="AM15" s="35">
        <v>43000</v>
      </c>
      <c r="AN15" s="35">
        <v>48500</v>
      </c>
      <c r="AO15" s="35"/>
      <c r="AP15" s="35"/>
      <c r="AQ15" s="43"/>
      <c r="AR15" s="36"/>
      <c r="AS15" s="36"/>
      <c r="AT15" s="36"/>
      <c r="AU15" s="36">
        <v>76000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9.5" customHeight="1">
      <c r="A16" s="21">
        <f t="shared" si="0"/>
        <v>43842</v>
      </c>
      <c r="B16" s="38">
        <v>121000</v>
      </c>
      <c r="C16" s="22"/>
      <c r="D16" s="39">
        <f t="shared" si="1"/>
        <v>121000</v>
      </c>
      <c r="E16" s="128">
        <v>4378</v>
      </c>
      <c r="F16" s="129"/>
      <c r="G16" s="126"/>
      <c r="H16" s="127">
        <f t="shared" si="2"/>
        <v>4378</v>
      </c>
      <c r="I16" s="35">
        <v>21</v>
      </c>
      <c r="J16" s="41">
        <f t="shared" si="3"/>
        <v>5761.9047619047615</v>
      </c>
      <c r="K16" s="29"/>
      <c r="L16" s="5"/>
      <c r="M16" s="6"/>
      <c r="N16" s="7"/>
      <c r="O16" s="7"/>
      <c r="P16" s="32">
        <f t="shared" si="4"/>
        <v>43842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43842</v>
      </c>
      <c r="AK16" s="35">
        <v>28000</v>
      </c>
      <c r="AL16" s="35"/>
      <c r="AM16" s="35">
        <v>52000</v>
      </c>
      <c r="AN16" s="35">
        <v>21000</v>
      </c>
      <c r="AO16" s="35"/>
      <c r="AP16" s="35"/>
      <c r="AQ16" s="43"/>
      <c r="AR16" s="36"/>
      <c r="AS16" s="36"/>
      <c r="AT16" s="36">
        <v>20000</v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ht="19.5" customHeight="1">
      <c r="A17" s="21">
        <f t="shared" si="0"/>
        <v>43843</v>
      </c>
      <c r="B17" s="38">
        <v>176000</v>
      </c>
      <c r="C17" s="22"/>
      <c r="D17" s="39">
        <f t="shared" si="1"/>
        <v>176000</v>
      </c>
      <c r="E17" s="128">
        <f>2738+29839</f>
        <v>32577</v>
      </c>
      <c r="F17" s="129">
        <f>2368+6101</f>
        <v>8469</v>
      </c>
      <c r="G17" s="126"/>
      <c r="H17" s="127">
        <f t="shared" si="2"/>
        <v>41046</v>
      </c>
      <c r="I17" s="35">
        <v>37</v>
      </c>
      <c r="J17" s="41">
        <f t="shared" si="3"/>
        <v>4756.7567567567567</v>
      </c>
      <c r="K17" s="29"/>
      <c r="L17" s="5"/>
      <c r="M17" s="6"/>
      <c r="N17" s="7"/>
      <c r="O17" s="7"/>
      <c r="P17" s="32">
        <f t="shared" si="4"/>
        <v>43843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43843</v>
      </c>
      <c r="AK17" s="35"/>
      <c r="AL17" s="35"/>
      <c r="AM17" s="35"/>
      <c r="AN17" s="35"/>
      <c r="AO17" s="35"/>
      <c r="AP17" s="35"/>
      <c r="AQ17" s="43">
        <v>174000</v>
      </c>
      <c r="AR17" s="36">
        <v>2000</v>
      </c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ht="19.5" customHeight="1">
      <c r="A18" s="21">
        <f t="shared" si="0"/>
        <v>43844</v>
      </c>
      <c r="B18" s="38">
        <v>18500</v>
      </c>
      <c r="C18" s="22"/>
      <c r="D18" s="39">
        <f t="shared" si="1"/>
        <v>18500</v>
      </c>
      <c r="E18" s="128"/>
      <c r="F18" s="129">
        <v>1992</v>
      </c>
      <c r="G18" s="126"/>
      <c r="H18" s="127">
        <f t="shared" si="2"/>
        <v>1992</v>
      </c>
      <c r="I18" s="35">
        <v>5</v>
      </c>
      <c r="J18" s="41">
        <f t="shared" si="3"/>
        <v>3700</v>
      </c>
      <c r="K18" s="29"/>
      <c r="L18" s="5"/>
      <c r="M18" s="45"/>
      <c r="N18" s="46"/>
      <c r="O18" s="7"/>
      <c r="P18" s="32">
        <f t="shared" si="4"/>
        <v>43844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43844</v>
      </c>
      <c r="AK18" s="35"/>
      <c r="AL18" s="35"/>
      <c r="AM18" s="35">
        <v>10000</v>
      </c>
      <c r="AN18" s="35">
        <v>6000</v>
      </c>
      <c r="AO18" s="35"/>
      <c r="AP18" s="35"/>
      <c r="AQ18" s="43"/>
      <c r="AR18" s="36">
        <v>2500</v>
      </c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ht="19.5" customHeight="1">
      <c r="A19" s="21">
        <f t="shared" si="0"/>
        <v>43845</v>
      </c>
      <c r="B19" s="38">
        <v>44500</v>
      </c>
      <c r="C19" s="22"/>
      <c r="D19" s="39">
        <f t="shared" si="1"/>
        <v>44500</v>
      </c>
      <c r="E19" s="128">
        <v>4508</v>
      </c>
      <c r="F19" s="129">
        <v>1716</v>
      </c>
      <c r="G19" s="126"/>
      <c r="H19" s="127">
        <f t="shared" si="2"/>
        <v>6224</v>
      </c>
      <c r="I19" s="35">
        <v>3</v>
      </c>
      <c r="J19" s="41">
        <f t="shared" si="3"/>
        <v>14833.333333333334</v>
      </c>
      <c r="K19" s="29"/>
      <c r="L19" s="5"/>
      <c r="M19" s="516" t="s">
        <v>26</v>
      </c>
      <c r="N19" s="517"/>
      <c r="O19" s="6"/>
      <c r="P19" s="32">
        <f t="shared" si="4"/>
        <v>43845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43845</v>
      </c>
      <c r="AK19" s="35"/>
      <c r="AL19" s="35">
        <v>35000</v>
      </c>
      <c r="AM19" s="35"/>
      <c r="AN19" s="35">
        <v>5000</v>
      </c>
      <c r="AO19" s="35">
        <v>4500</v>
      </c>
      <c r="AP19" s="35"/>
      <c r="AQ19" s="43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ht="19.5" customHeight="1">
      <c r="A20" s="21">
        <f t="shared" si="0"/>
        <v>43846</v>
      </c>
      <c r="B20" s="38">
        <v>109500</v>
      </c>
      <c r="C20" s="38"/>
      <c r="D20" s="39">
        <f t="shared" si="1"/>
        <v>109500</v>
      </c>
      <c r="E20" s="128">
        <v>5436</v>
      </c>
      <c r="F20" s="129"/>
      <c r="G20" s="126"/>
      <c r="H20" s="127">
        <f t="shared" si="2"/>
        <v>5436</v>
      </c>
      <c r="I20" s="35">
        <v>24</v>
      </c>
      <c r="J20" s="41">
        <f t="shared" si="3"/>
        <v>4562.5</v>
      </c>
      <c r="K20" s="29"/>
      <c r="L20" s="5"/>
      <c r="M20" s="47" t="s">
        <v>27</v>
      </c>
      <c r="N20" s="35">
        <v>199862</v>
      </c>
      <c r="O20" s="6"/>
      <c r="P20" s="32">
        <f t="shared" si="4"/>
        <v>43846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43846</v>
      </c>
      <c r="AK20" s="35"/>
      <c r="AL20" s="35"/>
      <c r="AM20" s="35">
        <v>45000</v>
      </c>
      <c r="AN20" s="35">
        <v>48500</v>
      </c>
      <c r="AO20" s="35"/>
      <c r="AP20" s="35">
        <v>16000</v>
      </c>
      <c r="AQ20" s="43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9.5" customHeight="1">
      <c r="A21" s="21">
        <f t="shared" si="0"/>
        <v>43847</v>
      </c>
      <c r="B21" s="38">
        <v>115500</v>
      </c>
      <c r="C21" s="38"/>
      <c r="D21" s="39">
        <f t="shared" si="1"/>
        <v>115500</v>
      </c>
      <c r="E21" s="128"/>
      <c r="F21" s="129"/>
      <c r="G21" s="126"/>
      <c r="H21" s="127">
        <f t="shared" si="2"/>
        <v>0</v>
      </c>
      <c r="I21" s="35">
        <v>13</v>
      </c>
      <c r="J21" s="41">
        <f t="shared" si="3"/>
        <v>8884.6153846153848</v>
      </c>
      <c r="K21" s="29"/>
      <c r="L21" s="5"/>
      <c r="M21" s="47" t="s">
        <v>28</v>
      </c>
      <c r="N21" s="35"/>
      <c r="O21" s="6"/>
      <c r="P21" s="32">
        <f t="shared" si="4"/>
        <v>43847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43847</v>
      </c>
      <c r="AK21" s="35"/>
      <c r="AL21" s="35"/>
      <c r="AM21" s="35">
        <v>20500</v>
      </c>
      <c r="AN21" s="35"/>
      <c r="AO21" s="35"/>
      <c r="AP21" s="35"/>
      <c r="AQ21" s="43"/>
      <c r="AR21" s="36">
        <v>86000</v>
      </c>
      <c r="AS21" s="36"/>
      <c r="AT21" s="36"/>
      <c r="AU21" s="36"/>
      <c r="AV21" s="36"/>
      <c r="AW21" s="36"/>
      <c r="AX21" s="36">
        <v>4000</v>
      </c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>
        <v>5000</v>
      </c>
    </row>
    <row r="22" spans="1:67" ht="19.5" customHeight="1">
      <c r="A22" s="21">
        <f t="shared" si="0"/>
        <v>43848</v>
      </c>
      <c r="B22" s="38">
        <v>129000</v>
      </c>
      <c r="C22" s="38"/>
      <c r="D22" s="39">
        <f t="shared" si="1"/>
        <v>129000</v>
      </c>
      <c r="E22" s="128">
        <v>13540</v>
      </c>
      <c r="F22" s="129">
        <v>7240</v>
      </c>
      <c r="G22" s="126"/>
      <c r="H22" s="127">
        <f t="shared" si="2"/>
        <v>20780</v>
      </c>
      <c r="I22" s="35">
        <v>21</v>
      </c>
      <c r="J22" s="41">
        <f t="shared" si="3"/>
        <v>6142.8571428571431</v>
      </c>
      <c r="K22" s="29"/>
      <c r="L22" s="5"/>
      <c r="M22" s="47" t="s">
        <v>29</v>
      </c>
      <c r="N22" s="35">
        <v>7000</v>
      </c>
      <c r="O22" s="6"/>
      <c r="P22" s="32">
        <f t="shared" si="4"/>
        <v>43848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43848</v>
      </c>
      <c r="AK22" s="35">
        <v>32000</v>
      </c>
      <c r="AL22" s="35"/>
      <c r="AM22" s="35">
        <v>25000</v>
      </c>
      <c r="AN22" s="35">
        <v>47000</v>
      </c>
      <c r="AO22" s="48"/>
      <c r="AP22" s="35"/>
      <c r="AQ22" s="43"/>
      <c r="AR22" s="35"/>
      <c r="AS22" s="35"/>
      <c r="AT22" s="36"/>
      <c r="AU22" s="36"/>
      <c r="AV22" s="36"/>
      <c r="AW22" s="36">
        <v>16000</v>
      </c>
      <c r="AX22" s="36"/>
      <c r="AY22" s="36"/>
      <c r="AZ22" s="36"/>
      <c r="BA22" s="36"/>
      <c r="BB22" s="36">
        <v>9000</v>
      </c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ht="19.5" customHeight="1">
      <c r="A23" s="21">
        <f t="shared" si="0"/>
        <v>43849</v>
      </c>
      <c r="B23" s="38">
        <v>177000</v>
      </c>
      <c r="C23" s="38"/>
      <c r="D23" s="39">
        <f t="shared" si="1"/>
        <v>177000</v>
      </c>
      <c r="E23" s="128">
        <v>8096</v>
      </c>
      <c r="F23" s="129">
        <v>926</v>
      </c>
      <c r="G23" s="126"/>
      <c r="H23" s="127">
        <f t="shared" si="2"/>
        <v>9022</v>
      </c>
      <c r="I23" s="35">
        <v>28</v>
      </c>
      <c r="J23" s="41">
        <f t="shared" si="3"/>
        <v>6321.4285714285716</v>
      </c>
      <c r="K23" s="29"/>
      <c r="L23" s="5"/>
      <c r="M23" s="47" t="s">
        <v>30</v>
      </c>
      <c r="N23" s="35">
        <v>0</v>
      </c>
      <c r="O23" s="6"/>
      <c r="P23" s="32">
        <f t="shared" si="4"/>
        <v>43849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43849</v>
      </c>
      <c r="AK23" s="35">
        <v>92000</v>
      </c>
      <c r="AL23" s="35"/>
      <c r="AM23" s="35">
        <v>85000</v>
      </c>
      <c r="AN23" s="35"/>
      <c r="AO23" s="35"/>
      <c r="AP23" s="35"/>
      <c r="AQ23" s="43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ht="19.5" customHeight="1">
      <c r="A24" s="21">
        <f t="shared" si="0"/>
        <v>43850</v>
      </c>
      <c r="B24" s="38">
        <v>39000</v>
      </c>
      <c r="C24" s="38"/>
      <c r="D24" s="39">
        <f t="shared" si="1"/>
        <v>39000</v>
      </c>
      <c r="E24" s="128">
        <v>12848</v>
      </c>
      <c r="F24" s="129">
        <v>8100</v>
      </c>
      <c r="G24" s="126"/>
      <c r="H24" s="127">
        <f>E24+F24+G24</f>
        <v>20948</v>
      </c>
      <c r="I24" s="35">
        <v>10</v>
      </c>
      <c r="J24" s="41">
        <f t="shared" si="3"/>
        <v>3900</v>
      </c>
      <c r="K24" s="29"/>
      <c r="L24" s="5"/>
      <c r="M24" s="47" t="s">
        <v>31</v>
      </c>
      <c r="N24" s="35">
        <v>100000</v>
      </c>
      <c r="O24" s="6"/>
      <c r="P24" s="32">
        <f t="shared" si="4"/>
        <v>43850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43850</v>
      </c>
      <c r="AK24" s="35"/>
      <c r="AL24" s="35"/>
      <c r="AM24" s="35">
        <v>34000</v>
      </c>
      <c r="AN24" s="35">
        <v>2000</v>
      </c>
      <c r="AO24" s="35"/>
      <c r="AP24" s="35"/>
      <c r="AQ24" s="43"/>
      <c r="AR24" s="36"/>
      <c r="AS24" s="36"/>
      <c r="AT24" s="36"/>
      <c r="AU24" s="36"/>
      <c r="AV24" s="36">
        <v>3000</v>
      </c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ht="19.5" customHeight="1">
      <c r="A25" s="21">
        <f t="shared" si="0"/>
        <v>43851</v>
      </c>
      <c r="B25" s="38">
        <v>16000</v>
      </c>
      <c r="C25" s="38"/>
      <c r="D25" s="39">
        <f t="shared" si="1"/>
        <v>16000</v>
      </c>
      <c r="E25" s="128"/>
      <c r="F25" s="129"/>
      <c r="G25" s="126"/>
      <c r="H25" s="127">
        <f t="shared" ref="H25:H35" si="6">E25+F25+G25</f>
        <v>0</v>
      </c>
      <c r="I25" s="35">
        <v>2</v>
      </c>
      <c r="J25" s="41">
        <f t="shared" si="3"/>
        <v>8000</v>
      </c>
      <c r="K25" s="29"/>
      <c r="L25" s="5"/>
      <c r="M25" s="47" t="s">
        <v>32</v>
      </c>
      <c r="N25" s="35">
        <v>35000</v>
      </c>
      <c r="O25" s="6"/>
      <c r="P25" s="32">
        <f t="shared" si="4"/>
        <v>43851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43851</v>
      </c>
      <c r="AK25" s="35"/>
      <c r="AL25" s="35"/>
      <c r="AM25" s="35">
        <v>4000</v>
      </c>
      <c r="AN25" s="35">
        <v>12000</v>
      </c>
      <c r="AO25" s="35"/>
      <c r="AP25" s="35"/>
      <c r="AQ25" s="43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ht="19.5" customHeight="1">
      <c r="A26" s="21">
        <f t="shared" si="0"/>
        <v>43852</v>
      </c>
      <c r="B26" s="38">
        <v>33000</v>
      </c>
      <c r="C26" s="38"/>
      <c r="D26" s="39">
        <f t="shared" si="1"/>
        <v>33000</v>
      </c>
      <c r="E26" s="128">
        <v>9901</v>
      </c>
      <c r="F26" s="129">
        <v>52271</v>
      </c>
      <c r="G26" s="126"/>
      <c r="H26" s="127">
        <f t="shared" si="6"/>
        <v>62172</v>
      </c>
      <c r="I26" s="35">
        <v>10</v>
      </c>
      <c r="J26" s="41">
        <f t="shared" si="3"/>
        <v>3300</v>
      </c>
      <c r="K26" s="29"/>
      <c r="L26" s="5"/>
      <c r="M26" s="47" t="s">
        <v>80</v>
      </c>
      <c r="N26" s="35">
        <v>22700</v>
      </c>
      <c r="O26" s="6"/>
      <c r="P26" s="32">
        <f t="shared" si="4"/>
        <v>43852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43852</v>
      </c>
      <c r="AK26" s="35"/>
      <c r="AL26" s="35"/>
      <c r="AM26" s="35">
        <v>1000</v>
      </c>
      <c r="AN26" s="35"/>
      <c r="AO26" s="35"/>
      <c r="AP26" s="35"/>
      <c r="AQ26" s="43"/>
      <c r="AR26" s="36"/>
      <c r="AS26" s="36"/>
      <c r="AT26" s="36"/>
      <c r="AU26" s="36"/>
      <c r="AV26" s="36"/>
      <c r="AW26" s="36"/>
      <c r="AX26" s="36"/>
      <c r="AY26" s="36">
        <v>32000</v>
      </c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ht="19.5" customHeight="1">
      <c r="A27" s="21">
        <f t="shared" si="0"/>
        <v>43853</v>
      </c>
      <c r="B27" s="38">
        <v>125600</v>
      </c>
      <c r="C27" s="38"/>
      <c r="D27" s="39">
        <f t="shared" si="1"/>
        <v>125600</v>
      </c>
      <c r="E27" s="128"/>
      <c r="F27" s="129">
        <v>10871</v>
      </c>
      <c r="G27" s="126"/>
      <c r="H27" s="127">
        <f t="shared" si="6"/>
        <v>10871</v>
      </c>
      <c r="I27" s="35">
        <v>33</v>
      </c>
      <c r="J27" s="41">
        <f t="shared" si="3"/>
        <v>3806.060606060606</v>
      </c>
      <c r="K27" s="29"/>
      <c r="L27" s="5"/>
      <c r="M27" s="47"/>
      <c r="N27" s="35"/>
      <c r="O27" s="7"/>
      <c r="P27" s="32">
        <f t="shared" si="4"/>
        <v>43853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43853</v>
      </c>
      <c r="AK27" s="35"/>
      <c r="AL27" s="35">
        <v>7600</v>
      </c>
      <c r="AM27" s="35">
        <v>9000</v>
      </c>
      <c r="AN27" s="35">
        <v>15000</v>
      </c>
      <c r="AO27" s="35"/>
      <c r="AP27" s="35"/>
      <c r="AQ27" s="43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>
        <v>6000</v>
      </c>
      <c r="BD27" s="36">
        <v>36000</v>
      </c>
      <c r="BE27" s="36">
        <v>28000</v>
      </c>
      <c r="BF27" s="36">
        <v>24000</v>
      </c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9.5" customHeight="1">
      <c r="A28" s="21">
        <f t="shared" si="0"/>
        <v>43854</v>
      </c>
      <c r="B28" s="38">
        <v>130000</v>
      </c>
      <c r="C28" s="38"/>
      <c r="D28" s="39">
        <f t="shared" si="1"/>
        <v>130000</v>
      </c>
      <c r="E28" s="128">
        <v>17386</v>
      </c>
      <c r="F28" s="129">
        <v>11744</v>
      </c>
      <c r="G28" s="126"/>
      <c r="H28" s="127">
        <f t="shared" si="6"/>
        <v>29130</v>
      </c>
      <c r="I28" s="35">
        <v>25</v>
      </c>
      <c r="J28" s="41">
        <f t="shared" si="3"/>
        <v>5200</v>
      </c>
      <c r="K28" s="29"/>
      <c r="L28" s="5"/>
      <c r="M28" s="49" t="s">
        <v>33</v>
      </c>
      <c r="N28" s="50">
        <f>SUM(N20:N27)</f>
        <v>364562</v>
      </c>
      <c r="O28" s="7"/>
      <c r="P28" s="32">
        <f t="shared" si="4"/>
        <v>43854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43854</v>
      </c>
      <c r="AK28" s="35"/>
      <c r="AL28" s="35"/>
      <c r="AM28" s="35">
        <v>28000</v>
      </c>
      <c r="AN28" s="35">
        <v>1500</v>
      </c>
      <c r="AO28" s="35"/>
      <c r="AP28" s="35">
        <v>39000</v>
      </c>
      <c r="AQ28" s="43"/>
      <c r="AR28" s="36">
        <v>60000</v>
      </c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>
        <v>1500</v>
      </c>
      <c r="BH28" s="36"/>
      <c r="BI28" s="36"/>
      <c r="BJ28" s="36"/>
      <c r="BK28" s="36"/>
      <c r="BL28" s="36"/>
      <c r="BM28" s="36"/>
      <c r="BN28" s="36"/>
      <c r="BO28" s="36"/>
    </row>
    <row r="29" spans="1:67" ht="19.5" customHeight="1">
      <c r="A29" s="21">
        <f t="shared" si="0"/>
        <v>43855</v>
      </c>
      <c r="B29" s="38">
        <v>174800</v>
      </c>
      <c r="C29" s="38"/>
      <c r="D29" s="39">
        <f t="shared" si="1"/>
        <v>174800</v>
      </c>
      <c r="E29" s="128">
        <v>59587</v>
      </c>
      <c r="F29" s="129"/>
      <c r="G29" s="126"/>
      <c r="H29" s="127">
        <f t="shared" si="6"/>
        <v>59587</v>
      </c>
      <c r="I29" s="35">
        <v>16</v>
      </c>
      <c r="J29" s="41">
        <f t="shared" si="3"/>
        <v>10925</v>
      </c>
      <c r="K29" s="29"/>
      <c r="L29" s="5"/>
      <c r="M29" s="51"/>
      <c r="N29" s="7"/>
      <c r="O29" s="7"/>
      <c r="P29" s="32">
        <f t="shared" si="4"/>
        <v>43855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43855</v>
      </c>
      <c r="AK29" s="35"/>
      <c r="AL29" s="35"/>
      <c r="AM29" s="35"/>
      <c r="AN29" s="35">
        <v>117000</v>
      </c>
      <c r="AO29" s="35"/>
      <c r="AP29" s="35"/>
      <c r="AQ29" s="43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>
        <v>18500</v>
      </c>
      <c r="BI29" s="36">
        <v>5500</v>
      </c>
      <c r="BJ29" s="36">
        <v>33800</v>
      </c>
      <c r="BK29" s="36"/>
      <c r="BL29" s="36"/>
      <c r="BM29" s="36"/>
      <c r="BN29" s="36"/>
      <c r="BO29" s="36"/>
    </row>
    <row r="30" spans="1:67" ht="19.5" customHeight="1">
      <c r="A30" s="21">
        <f t="shared" si="0"/>
        <v>43856</v>
      </c>
      <c r="B30" s="38">
        <v>79500</v>
      </c>
      <c r="C30" s="38"/>
      <c r="D30" s="39">
        <f t="shared" si="1"/>
        <v>79500</v>
      </c>
      <c r="E30" s="128">
        <v>22528</v>
      </c>
      <c r="F30" s="129">
        <v>232</v>
      </c>
      <c r="G30" s="126"/>
      <c r="H30" s="127">
        <f t="shared" si="6"/>
        <v>22760</v>
      </c>
      <c r="I30" s="35">
        <v>23</v>
      </c>
      <c r="J30" s="41">
        <f t="shared" si="3"/>
        <v>3456.521739130435</v>
      </c>
      <c r="K30" s="29"/>
      <c r="L30" s="5"/>
      <c r="M30" s="45"/>
      <c r="N30" s="7"/>
      <c r="O30" s="7"/>
      <c r="P30" s="32">
        <f t="shared" si="4"/>
        <v>43856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43856</v>
      </c>
      <c r="AK30" s="35"/>
      <c r="AL30" s="35"/>
      <c r="AM30" s="35">
        <v>23000</v>
      </c>
      <c r="AN30" s="35">
        <v>42000</v>
      </c>
      <c r="AO30" s="35"/>
      <c r="AP30" s="35"/>
      <c r="AQ30" s="43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>
        <v>3000</v>
      </c>
      <c r="BH30" s="36"/>
      <c r="BI30" s="36"/>
      <c r="BJ30" s="36"/>
      <c r="BK30" s="36">
        <v>11500</v>
      </c>
      <c r="BL30" s="36"/>
      <c r="BM30" s="36"/>
      <c r="BN30" s="36"/>
      <c r="BO30" s="36"/>
    </row>
    <row r="31" spans="1:67" ht="19.5" customHeight="1">
      <c r="A31" s="21">
        <f t="shared" si="0"/>
        <v>43857</v>
      </c>
      <c r="B31" s="38">
        <v>52500</v>
      </c>
      <c r="C31" s="38"/>
      <c r="D31" s="39">
        <f t="shared" si="1"/>
        <v>52500</v>
      </c>
      <c r="E31" s="128">
        <v>14823</v>
      </c>
      <c r="F31" s="129">
        <v>330</v>
      </c>
      <c r="G31" s="126"/>
      <c r="H31" s="127">
        <f t="shared" si="6"/>
        <v>15153</v>
      </c>
      <c r="I31" s="35">
        <v>11</v>
      </c>
      <c r="J31" s="41">
        <f t="shared" si="3"/>
        <v>4772.727272727273</v>
      </c>
      <c r="K31" s="29"/>
      <c r="L31" s="5"/>
      <c r="M31" s="45"/>
      <c r="N31" s="52"/>
      <c r="O31" s="7"/>
      <c r="P31" s="32">
        <f t="shared" si="4"/>
        <v>43857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43857</v>
      </c>
      <c r="AK31" s="35"/>
      <c r="AL31" s="35"/>
      <c r="AM31" s="35">
        <v>19000</v>
      </c>
      <c r="AN31" s="35">
        <v>10000</v>
      </c>
      <c r="AO31" s="35"/>
      <c r="AP31" s="35"/>
      <c r="AQ31" s="43"/>
      <c r="AR31" s="36">
        <v>8500</v>
      </c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>
        <v>15000</v>
      </c>
      <c r="BI31" s="36"/>
      <c r="BJ31" s="36"/>
      <c r="BK31" s="36"/>
      <c r="BL31" s="36"/>
      <c r="BM31" s="36"/>
      <c r="BN31" s="36"/>
      <c r="BO31" s="36"/>
    </row>
    <row r="32" spans="1:67" ht="19.5" customHeight="1">
      <c r="A32" s="21">
        <f t="shared" si="0"/>
        <v>43858</v>
      </c>
      <c r="B32" s="38">
        <v>50000</v>
      </c>
      <c r="C32" s="38"/>
      <c r="D32" s="39">
        <f t="shared" si="1"/>
        <v>50000</v>
      </c>
      <c r="E32" s="128"/>
      <c r="F32" s="129">
        <v>2146</v>
      </c>
      <c r="G32" s="126"/>
      <c r="H32" s="127">
        <f t="shared" si="6"/>
        <v>2146</v>
      </c>
      <c r="I32" s="35">
        <v>12</v>
      </c>
      <c r="J32" s="41">
        <f t="shared" si="3"/>
        <v>4166.666666666667</v>
      </c>
      <c r="K32" s="29"/>
      <c r="L32" s="5"/>
      <c r="M32" s="53" t="s">
        <v>34</v>
      </c>
      <c r="N32" s="38">
        <f>D37</f>
        <v>2194300</v>
      </c>
      <c r="O32" s="6"/>
      <c r="P32" s="32">
        <f t="shared" si="4"/>
        <v>43858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43858</v>
      </c>
      <c r="AK32" s="35"/>
      <c r="AL32" s="35"/>
      <c r="AM32" s="35"/>
      <c r="AN32" s="35">
        <v>6000</v>
      </c>
      <c r="AO32" s="35"/>
      <c r="AP32" s="35"/>
      <c r="AQ32" s="43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>
        <v>44000</v>
      </c>
      <c r="BM32" s="36"/>
      <c r="BN32" s="36"/>
      <c r="BO32" s="36"/>
    </row>
    <row r="33" spans="1:67" ht="19.5" customHeight="1">
      <c r="A33" s="21">
        <f t="shared" si="0"/>
        <v>43859</v>
      </c>
      <c r="B33" s="38">
        <v>5000</v>
      </c>
      <c r="C33" s="38"/>
      <c r="D33" s="39">
        <f t="shared" si="1"/>
        <v>5000</v>
      </c>
      <c r="E33" s="128"/>
      <c r="F33" s="129">
        <v>2578</v>
      </c>
      <c r="G33" s="126"/>
      <c r="H33" s="127">
        <f t="shared" si="6"/>
        <v>2578</v>
      </c>
      <c r="I33" s="35">
        <v>1</v>
      </c>
      <c r="J33" s="41">
        <f t="shared" si="3"/>
        <v>5000</v>
      </c>
      <c r="K33" s="29"/>
      <c r="L33" s="5"/>
      <c r="M33" s="53" t="s">
        <v>35</v>
      </c>
      <c r="N33" s="38">
        <f>H37</f>
        <v>486394</v>
      </c>
      <c r="O33" s="6"/>
      <c r="P33" s="32">
        <f>IF($A$33="","",$A$33)</f>
        <v>43859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43859</v>
      </c>
      <c r="AK33" s="56"/>
      <c r="AL33" s="35"/>
      <c r="AM33" s="35"/>
      <c r="AN33" s="35">
        <v>5000</v>
      </c>
      <c r="AO33" s="35"/>
      <c r="AP33" s="35"/>
      <c r="AQ33" s="43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ht="19.5" customHeight="1">
      <c r="A34" s="21">
        <f t="shared" si="0"/>
        <v>43860</v>
      </c>
      <c r="B34" s="38">
        <f>44000+35000</f>
        <v>79000</v>
      </c>
      <c r="C34" s="38"/>
      <c r="D34" s="39">
        <f t="shared" si="1"/>
        <v>79000</v>
      </c>
      <c r="E34" s="133">
        <f>41814+2160</f>
        <v>43974</v>
      </c>
      <c r="F34" s="129">
        <v>18499</v>
      </c>
      <c r="G34" s="126"/>
      <c r="H34" s="127">
        <f t="shared" si="6"/>
        <v>62473</v>
      </c>
      <c r="I34" s="35">
        <v>18</v>
      </c>
      <c r="J34" s="41">
        <f t="shared" si="3"/>
        <v>4388.8888888888887</v>
      </c>
      <c r="K34" s="29"/>
      <c r="L34" s="5"/>
      <c r="M34" s="53" t="s">
        <v>36</v>
      </c>
      <c r="N34" s="38">
        <f>N28</f>
        <v>364562</v>
      </c>
      <c r="O34" s="6"/>
      <c r="P34" s="32">
        <f>IF($A$34="","",$A$34)</f>
        <v>43860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43860</v>
      </c>
      <c r="AK34" s="56"/>
      <c r="AL34" s="35"/>
      <c r="AM34" s="35">
        <v>10000</v>
      </c>
      <c r="AN34" s="35"/>
      <c r="AO34" s="35"/>
      <c r="AP34" s="35"/>
      <c r="AQ34" s="43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>
        <v>34000</v>
      </c>
      <c r="BN34" s="36"/>
      <c r="BO34" s="36"/>
    </row>
    <row r="35" spans="1:67" ht="19.5" customHeight="1" thickBot="1">
      <c r="A35" s="21">
        <f t="shared" si="0"/>
        <v>43861</v>
      </c>
      <c r="B35" s="38">
        <v>151500</v>
      </c>
      <c r="C35" s="38"/>
      <c r="D35" s="39">
        <f t="shared" si="1"/>
        <v>151500</v>
      </c>
      <c r="E35" s="128">
        <v>15632</v>
      </c>
      <c r="F35" s="129">
        <v>956</v>
      </c>
      <c r="G35" s="126"/>
      <c r="H35" s="127">
        <f t="shared" si="6"/>
        <v>16588</v>
      </c>
      <c r="I35" s="57">
        <v>23</v>
      </c>
      <c r="J35" s="58">
        <f t="shared" si="3"/>
        <v>6586.95652173913</v>
      </c>
      <c r="K35" s="59"/>
      <c r="L35" s="5"/>
      <c r="M35" s="60" t="s">
        <v>37</v>
      </c>
      <c r="N35" s="61">
        <f>IFERROR(N32-N33-N34, "")</f>
        <v>1343344</v>
      </c>
      <c r="O35" s="6"/>
      <c r="P35" s="32">
        <f>IF($A$35="","",$A$35)</f>
        <v>43861</v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55">
        <f>IF($A$35="","",$A$35)</f>
        <v>43861</v>
      </c>
      <c r="AK35" s="62">
        <v>2500</v>
      </c>
      <c r="AL35" s="63"/>
      <c r="AM35" s="63"/>
      <c r="AN35" s="63"/>
      <c r="AO35" s="63">
        <v>3000</v>
      </c>
      <c r="AP35" s="63"/>
      <c r="AQ35" s="64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>
        <v>60000</v>
      </c>
      <c r="BD35" s="121"/>
      <c r="BE35" s="121"/>
      <c r="BF35" s="121"/>
      <c r="BG35" s="121"/>
      <c r="BH35" s="121">
        <v>22000</v>
      </c>
      <c r="BI35" s="121"/>
      <c r="BJ35" s="121"/>
      <c r="BK35" s="121">
        <v>24000</v>
      </c>
      <c r="BL35" s="121"/>
      <c r="BM35" s="121"/>
      <c r="BN35" s="121">
        <v>40000</v>
      </c>
      <c r="BO35" s="121"/>
    </row>
    <row r="36" spans="1:67" ht="19.5" customHeight="1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26">
        <f t="shared" ref="AK36:AP36" si="7">SUM(AK5:AK35)</f>
        <v>165400</v>
      </c>
      <c r="AL36" s="26">
        <f t="shared" si="7"/>
        <v>132700</v>
      </c>
      <c r="AM36" s="26">
        <f t="shared" si="7"/>
        <v>527700</v>
      </c>
      <c r="AN36" s="26">
        <f t="shared" si="7"/>
        <v>474000</v>
      </c>
      <c r="AO36" s="26">
        <f t="shared" si="7"/>
        <v>7500</v>
      </c>
      <c r="AP36" s="26">
        <f t="shared" si="7"/>
        <v>55000</v>
      </c>
      <c r="AQ36" s="27">
        <f>SUM(AQ6:AQ35)</f>
        <v>188000</v>
      </c>
      <c r="AR36" s="122">
        <f t="shared" ref="AR36:BA36" si="8">SUM(AR6:AR35)</f>
        <v>159000</v>
      </c>
      <c r="AS36" s="122">
        <f t="shared" si="8"/>
        <v>6500</v>
      </c>
      <c r="AT36" s="122">
        <f t="shared" si="8"/>
        <v>20000</v>
      </c>
      <c r="AU36" s="122">
        <f t="shared" si="8"/>
        <v>76000</v>
      </c>
      <c r="AV36" s="122">
        <f t="shared" si="8"/>
        <v>3000</v>
      </c>
      <c r="AW36" s="122">
        <f t="shared" si="8"/>
        <v>30000</v>
      </c>
      <c r="AX36" s="122">
        <f t="shared" si="8"/>
        <v>4000</v>
      </c>
      <c r="AY36" s="122">
        <f t="shared" si="8"/>
        <v>84000</v>
      </c>
      <c r="AZ36" s="122">
        <f t="shared" si="8"/>
        <v>3500</v>
      </c>
      <c r="BA36" s="122">
        <f t="shared" si="8"/>
        <v>6000</v>
      </c>
      <c r="BB36" s="122">
        <f t="shared" ref="BB36:BI36" si="9">SUM(BB6:BB35)</f>
        <v>31000</v>
      </c>
      <c r="BC36" s="122">
        <f t="shared" si="9"/>
        <v>66000</v>
      </c>
      <c r="BD36" s="122">
        <f t="shared" si="9"/>
        <v>36000</v>
      </c>
      <c r="BE36" s="122">
        <f t="shared" si="9"/>
        <v>28000</v>
      </c>
      <c r="BF36" s="122">
        <f t="shared" si="9"/>
        <v>24000</v>
      </c>
      <c r="BG36" s="122">
        <f t="shared" si="9"/>
        <v>4500</v>
      </c>
      <c r="BH36" s="122">
        <f t="shared" si="9"/>
        <v>55500</v>
      </c>
      <c r="BI36" s="122">
        <f t="shared" si="9"/>
        <v>5500</v>
      </c>
      <c r="BJ36" s="122">
        <f t="shared" ref="BJ36:BO36" si="10">SUM(BJ6:BJ35)</f>
        <v>33800</v>
      </c>
      <c r="BK36" s="122">
        <f t="shared" si="10"/>
        <v>35500</v>
      </c>
      <c r="BL36" s="122">
        <f t="shared" si="10"/>
        <v>44000</v>
      </c>
      <c r="BM36" s="122">
        <f t="shared" si="10"/>
        <v>34000</v>
      </c>
      <c r="BN36" s="122">
        <f t="shared" si="10"/>
        <v>40000</v>
      </c>
      <c r="BO36" s="123">
        <f t="shared" si="10"/>
        <v>5000</v>
      </c>
    </row>
    <row r="37" spans="1:67" ht="19.5" customHeight="1" thickTop="1" thickBot="1">
      <c r="A37" s="81" t="s">
        <v>33</v>
      </c>
      <c r="B37" s="82">
        <f>SUM(B5:B35)</f>
        <v>2424800</v>
      </c>
      <c r="C37" s="82">
        <f>SUM(C5:C33)</f>
        <v>0</v>
      </c>
      <c r="D37" s="82">
        <f>SUM(D5:D33)</f>
        <v>2194300</v>
      </c>
      <c r="E37" s="130">
        <f>SUM(E5:E33)</f>
        <v>267129</v>
      </c>
      <c r="F37" s="131">
        <f>SUM(F5:F35)</f>
        <v>159659</v>
      </c>
      <c r="G37" s="131">
        <f>SUM(G5:G35)</f>
        <v>0</v>
      </c>
      <c r="H37" s="132">
        <f>SUM(H5:H35)</f>
        <v>486394</v>
      </c>
      <c r="I37" s="86">
        <f>SUM(I5:I35)</f>
        <v>483</v>
      </c>
      <c r="J37" s="86">
        <f>IFERROR(32/I37, "")</f>
        <v>6.6252587991718431E-2</v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4.166666666666663E-2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BO37" s="1"/>
    </row>
    <row r="38" spans="1:67" ht="19.5" customHeight="1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92" t="s">
        <v>46</v>
      </c>
      <c r="Q38" s="93"/>
      <c r="R38" s="94"/>
      <c r="S38" s="95"/>
      <c r="T38" s="96"/>
      <c r="U38" s="97"/>
      <c r="V38" s="98"/>
      <c r="W38" s="99"/>
      <c r="X38" s="100"/>
      <c r="Y38" s="98"/>
      <c r="Z38" s="96"/>
      <c r="AA38" s="100"/>
      <c r="AB38" s="98"/>
      <c r="AC38" s="96"/>
      <c r="AD38" s="100"/>
      <c r="AE38" s="98"/>
      <c r="AF38" s="96"/>
      <c r="AG38" s="100"/>
      <c r="AH38" s="98"/>
      <c r="AI38" s="80"/>
      <c r="AJ38" s="80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BO38" s="1"/>
    </row>
    <row r="39" spans="1:67" ht="19.5" customHeight="1" thickBot="1">
      <c r="A39" s="1"/>
      <c r="B39" s="1"/>
      <c r="C39" s="1"/>
      <c r="D39" s="1"/>
      <c r="E39" s="134" t="s">
        <v>81</v>
      </c>
      <c r="F39" s="135">
        <v>45787</v>
      </c>
      <c r="G39" s="2"/>
      <c r="H39" s="2"/>
      <c r="I39" s="2"/>
      <c r="J39" s="2"/>
      <c r="K39" s="1"/>
      <c r="L39" s="1"/>
      <c r="M39" s="1"/>
      <c r="N39" s="1"/>
      <c r="O39" s="1"/>
      <c r="P39" s="101" t="s">
        <v>47</v>
      </c>
      <c r="Q39" s="558"/>
      <c r="R39" s="559"/>
      <c r="S39" s="102"/>
      <c r="T39" s="560"/>
      <c r="U39" s="559"/>
      <c r="V39" s="103"/>
      <c r="W39" s="561"/>
      <c r="X39" s="562"/>
      <c r="Y39" s="103"/>
      <c r="Z39" s="560"/>
      <c r="AA39" s="563"/>
      <c r="AB39" s="103"/>
      <c r="AC39" s="560"/>
      <c r="AD39" s="563"/>
      <c r="AE39" s="103"/>
      <c r="AF39" s="560"/>
      <c r="AG39" s="563"/>
      <c r="AH39" s="103"/>
      <c r="AI39" s="80"/>
      <c r="AJ39" s="80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BO39" s="1"/>
    </row>
    <row r="40" spans="1:67" ht="19.5" customHeight="1">
      <c r="A40" s="1"/>
      <c r="B40" s="1"/>
      <c r="C40" s="1"/>
      <c r="D40" s="1"/>
      <c r="E40" s="2"/>
      <c r="F40" s="2"/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BO40" s="1"/>
    </row>
    <row r="41" spans="1:67" ht="15.75" customHeight="1">
      <c r="A41" s="1"/>
      <c r="B41" s="1"/>
      <c r="C41" s="1"/>
      <c r="D41" s="1"/>
      <c r="E41" s="2"/>
      <c r="F41" s="2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BO41" s="1"/>
    </row>
    <row r="42" spans="1:67" ht="15.75" customHeight="1">
      <c r="A42" s="1"/>
      <c r="B42" s="1"/>
      <c r="C42" s="1"/>
      <c r="D42" s="1"/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BO42" s="1"/>
    </row>
    <row r="43" spans="1:67" ht="15.75" customHeight="1">
      <c r="A43" s="1"/>
      <c r="B43" s="1"/>
      <c r="C43" s="1"/>
      <c r="D43" s="1"/>
      <c r="E43" s="2"/>
      <c r="F43" s="2"/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BO43" s="1"/>
    </row>
    <row r="44" spans="1:67" ht="15.75" customHeight="1">
      <c r="A44" s="1"/>
      <c r="B44" s="1"/>
      <c r="C44" s="1"/>
      <c r="D44" s="1"/>
      <c r="E44" s="2"/>
      <c r="F44" s="2"/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3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BO44" s="1"/>
    </row>
    <row r="45" spans="1:67" ht="15.75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BO45" s="1"/>
    </row>
    <row r="46" spans="1:67" ht="15.75" customHeight="1">
      <c r="A46" s="1"/>
      <c r="B46" s="1"/>
      <c r="C46" s="1"/>
      <c r="D46" s="1"/>
      <c r="E46" s="2"/>
      <c r="F46" s="2"/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BO46" s="1"/>
    </row>
    <row r="47" spans="1:67" ht="15.75" customHeight="1">
      <c r="A47" s="1"/>
      <c r="B47" s="1"/>
      <c r="C47" s="1"/>
      <c r="D47" s="1"/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BO47" s="1"/>
    </row>
    <row r="48" spans="1:67" ht="15.75" customHeight="1">
      <c r="A48" s="1"/>
      <c r="B48" s="1"/>
      <c r="C48" s="1"/>
      <c r="D48" s="1"/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BO48" s="1"/>
    </row>
    <row r="49" spans="1:67" ht="15.75" customHeight="1">
      <c r="A49" s="1"/>
      <c r="B49" s="1"/>
      <c r="C49" s="1"/>
      <c r="D49" s="1"/>
      <c r="E49" s="2"/>
      <c r="F49" s="2"/>
      <c r="G49" s="2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BO49" s="1"/>
    </row>
    <row r="50" spans="1:67" ht="15.75" customHeight="1">
      <c r="A50" s="1"/>
      <c r="B50" s="1"/>
      <c r="C50" s="1"/>
      <c r="D50" s="1"/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BO50" s="1"/>
    </row>
    <row r="51" spans="1:67" ht="15.75" customHeight="1">
      <c r="A51" s="1"/>
      <c r="B51" s="1"/>
      <c r="C51" s="1"/>
      <c r="D51" s="1"/>
      <c r="E51" s="2"/>
      <c r="F51" s="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3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BO51" s="1"/>
    </row>
    <row r="52" spans="1:67" ht="15.75" customHeight="1">
      <c r="A52" s="1"/>
      <c r="B52" s="1"/>
      <c r="C52" s="1"/>
      <c r="D52" s="1"/>
      <c r="E52" s="2"/>
      <c r="F52" s="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3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BO52" s="1"/>
    </row>
    <row r="53" spans="1:67" ht="15.75" customHeight="1">
      <c r="A53" s="1"/>
      <c r="B53" s="1"/>
      <c r="C53" s="1"/>
      <c r="D53" s="1"/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3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BO53" s="1"/>
    </row>
    <row r="54" spans="1:67" ht="15.75" customHeight="1">
      <c r="A54" s="1"/>
      <c r="B54" s="1"/>
      <c r="C54" s="1"/>
      <c r="D54" s="1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3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BO54" s="1"/>
    </row>
    <row r="55" spans="1:67" ht="15.75" customHeight="1">
      <c r="A55" s="1"/>
      <c r="B55" s="1"/>
      <c r="C55" s="1"/>
      <c r="D55" s="1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3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BO55" s="1"/>
    </row>
    <row r="56" spans="1:67" ht="15.75" customHeight="1">
      <c r="A56" s="1"/>
      <c r="B56" s="1"/>
      <c r="C56" s="1"/>
      <c r="D56" s="1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3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BO56" s="1"/>
    </row>
    <row r="57" spans="1:67" ht="15.75" customHeight="1">
      <c r="A57" s="1"/>
      <c r="B57" s="1"/>
      <c r="C57" s="1"/>
      <c r="D57" s="1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3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BO57" s="1"/>
    </row>
    <row r="58" spans="1:67" ht="15.7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3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BO58" s="1"/>
    </row>
    <row r="59" spans="1:67" ht="15.7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3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BO59" s="1"/>
    </row>
    <row r="60" spans="1:67" ht="15.7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3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BO60" s="1"/>
    </row>
    <row r="61" spans="1:67" ht="15.7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3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BO61" s="1"/>
    </row>
    <row r="62" spans="1:67" ht="15.7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3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BO62" s="1"/>
    </row>
    <row r="63" spans="1:67" ht="15.7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3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BO63" s="1"/>
    </row>
    <row r="64" spans="1:67" ht="15.7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3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BO64" s="1"/>
    </row>
    <row r="65" spans="1:67" ht="15.7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3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BO65" s="1"/>
    </row>
    <row r="66" spans="1:67" ht="15.7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3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BO66" s="1"/>
    </row>
    <row r="67" spans="1:67" ht="15.7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3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BO67" s="1"/>
    </row>
    <row r="68" spans="1:67" ht="15.7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3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BO68" s="1"/>
    </row>
    <row r="69" spans="1:67" ht="15.7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3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BO69" s="1"/>
    </row>
    <row r="70" spans="1:67" ht="15.7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3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BO70" s="1"/>
    </row>
    <row r="71" spans="1:67" ht="15.7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3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BO71" s="1"/>
    </row>
    <row r="72" spans="1:67" ht="15.7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3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BO72" s="1"/>
    </row>
    <row r="73" spans="1:67" ht="15.7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3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BO73" s="1"/>
    </row>
    <row r="74" spans="1:67" ht="15.7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3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BO74" s="1"/>
    </row>
    <row r="75" spans="1:67" ht="15.7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3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BO75" s="1"/>
    </row>
    <row r="76" spans="1:67" ht="15.7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3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BO76" s="1"/>
    </row>
    <row r="77" spans="1:67" ht="15.7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3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BO77" s="1"/>
    </row>
    <row r="78" spans="1:67" ht="15.7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3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BO78" s="1"/>
    </row>
    <row r="79" spans="1:67" ht="15.7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3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BO79" s="1"/>
    </row>
    <row r="80" spans="1:67" ht="15.7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3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BO80" s="1"/>
    </row>
    <row r="81" spans="1:67" ht="15.7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3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BO81" s="1"/>
    </row>
    <row r="82" spans="1:67" ht="15.7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3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BO82" s="1"/>
    </row>
    <row r="83" spans="1:67" ht="15.7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3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BO83" s="1"/>
    </row>
    <row r="84" spans="1:67" ht="15.7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3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BO84" s="1"/>
    </row>
    <row r="85" spans="1:67" ht="15.7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3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BO85" s="1"/>
    </row>
    <row r="86" spans="1:67" ht="15.7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3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BO86" s="1"/>
    </row>
    <row r="87" spans="1:67" ht="15.7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3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BO87" s="1"/>
    </row>
    <row r="88" spans="1:67" ht="15.7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3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BO88" s="1"/>
    </row>
    <row r="89" spans="1:67" ht="15.7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3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BO89" s="1"/>
    </row>
    <row r="90" spans="1:67" ht="15.7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3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BO90" s="1"/>
    </row>
    <row r="91" spans="1:67" ht="15.7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3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BO91" s="1"/>
    </row>
    <row r="92" spans="1:67" ht="15.7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3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BO92" s="1"/>
    </row>
    <row r="93" spans="1:67" ht="15.7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3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BO93" s="1"/>
    </row>
    <row r="94" spans="1:67" ht="15.7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3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BO94" s="1"/>
    </row>
    <row r="95" spans="1:67" ht="15.7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3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BO95" s="1"/>
    </row>
    <row r="96" spans="1:67" ht="15.7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3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BO96" s="1"/>
    </row>
    <row r="97" spans="1:67" ht="15.7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3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BO97" s="1"/>
    </row>
    <row r="98" spans="1:67" ht="15.7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3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BO98" s="1"/>
    </row>
    <row r="99" spans="1:67" ht="15.7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3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BO99" s="1"/>
    </row>
    <row r="100" spans="1:67" ht="15.7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3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BO100" s="1"/>
    </row>
    <row r="101" spans="1:67" ht="15.7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BO101" s="1"/>
    </row>
    <row r="102" spans="1:67" ht="15.7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3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BO102" s="1"/>
    </row>
    <row r="103" spans="1:67" ht="15.7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3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BO103" s="1"/>
    </row>
    <row r="104" spans="1:67" ht="15.7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BO104" s="1"/>
    </row>
    <row r="105" spans="1:67" ht="15.7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BO105" s="1"/>
    </row>
    <row r="106" spans="1:67" ht="15.7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BO106" s="1"/>
    </row>
    <row r="107" spans="1:67" ht="15.7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BO107" s="1"/>
    </row>
    <row r="108" spans="1:67" ht="15.7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3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BO108" s="1"/>
    </row>
    <row r="109" spans="1:67" ht="15.7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BO109" s="1"/>
    </row>
    <row r="110" spans="1:67" ht="15.7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BO110" s="1"/>
    </row>
    <row r="111" spans="1:67" ht="15.7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BO111" s="1"/>
    </row>
    <row r="112" spans="1:67" ht="15.7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BO112" s="1"/>
    </row>
    <row r="113" spans="1:67" ht="15.7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BO113" s="1"/>
    </row>
    <row r="114" spans="1:67" ht="15.7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3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BO114" s="1"/>
    </row>
    <row r="115" spans="1:67" ht="15.7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3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BO115" s="1"/>
    </row>
    <row r="116" spans="1:67" ht="15.7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3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BO116" s="1"/>
    </row>
    <row r="117" spans="1:67" ht="15.7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BO117" s="1"/>
    </row>
    <row r="118" spans="1:67" ht="15.7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3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BO118" s="1"/>
    </row>
    <row r="119" spans="1:67" ht="15.7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3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BO119" s="1"/>
    </row>
    <row r="120" spans="1:67" ht="15.7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3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BO120" s="1"/>
    </row>
    <row r="121" spans="1:67" ht="15.7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3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BO121" s="1"/>
    </row>
    <row r="122" spans="1:67" ht="15.7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3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BO122" s="1"/>
    </row>
    <row r="123" spans="1:67" ht="15.7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3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BO123" s="1"/>
    </row>
    <row r="124" spans="1:67" ht="15.7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3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BO124" s="1"/>
    </row>
    <row r="125" spans="1:67" ht="15.7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3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BO125" s="1"/>
    </row>
    <row r="126" spans="1:67" ht="15.7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3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BO126" s="1"/>
    </row>
    <row r="127" spans="1:67" ht="15.7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3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BO127" s="1"/>
    </row>
    <row r="128" spans="1:67" ht="15.7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3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BO128" s="1"/>
    </row>
    <row r="129" spans="1:67" ht="15.7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3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BO129" s="1"/>
    </row>
    <row r="130" spans="1:67" ht="15.7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3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BO130" s="1"/>
    </row>
    <row r="131" spans="1:67" ht="15.7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3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BO131" s="1"/>
    </row>
    <row r="132" spans="1:67" ht="15.7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3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BO132" s="1"/>
    </row>
    <row r="133" spans="1:67" ht="15.7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3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BO133" s="1"/>
    </row>
    <row r="134" spans="1:67" ht="15.7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3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BO134" s="1"/>
    </row>
    <row r="135" spans="1:67" ht="15.7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3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BO135" s="1"/>
    </row>
    <row r="136" spans="1:67" ht="15.7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3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BO136" s="1"/>
    </row>
    <row r="137" spans="1:67" ht="15.7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3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BO137" s="1"/>
    </row>
    <row r="138" spans="1:67" ht="15.7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3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BO138" s="1"/>
    </row>
    <row r="139" spans="1:67" ht="15.7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3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BO139" s="1"/>
    </row>
    <row r="140" spans="1:67" ht="15.7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3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BO140" s="1"/>
    </row>
    <row r="141" spans="1:67" ht="15.7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3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BO141" s="1"/>
    </row>
    <row r="142" spans="1:67" ht="15.7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3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BO142" s="1"/>
    </row>
    <row r="143" spans="1:67" ht="15.7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3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BO143" s="1"/>
    </row>
    <row r="144" spans="1:67" ht="15.7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3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BO144" s="1"/>
    </row>
    <row r="145" spans="1:67" ht="15.7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3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BO145" s="1"/>
    </row>
    <row r="146" spans="1:67" ht="15.7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3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BO146" s="1"/>
    </row>
    <row r="147" spans="1:67" ht="15.7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3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BO147" s="1"/>
    </row>
    <row r="148" spans="1:67" ht="15.7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3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BO148" s="1"/>
    </row>
    <row r="149" spans="1:67" ht="15.7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3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BO149" s="1"/>
    </row>
    <row r="150" spans="1:67" ht="15.7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3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BO150" s="1"/>
    </row>
    <row r="151" spans="1:67" ht="15.7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BO151" s="1"/>
    </row>
    <row r="152" spans="1:67" ht="15.7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3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BO152" s="1"/>
    </row>
    <row r="153" spans="1:67" ht="15.7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3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BO153" s="1"/>
    </row>
    <row r="154" spans="1:67" ht="15.7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3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BO154" s="1"/>
    </row>
    <row r="155" spans="1:67" ht="15.7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3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BO155" s="1"/>
    </row>
    <row r="156" spans="1:67" ht="15.7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3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BO156" s="1"/>
    </row>
    <row r="157" spans="1:67" ht="15.7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3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BO157" s="1"/>
    </row>
    <row r="158" spans="1:67" ht="15.7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3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BO158" s="1"/>
    </row>
    <row r="159" spans="1:67" ht="15.7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3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BO159" s="1"/>
    </row>
    <row r="160" spans="1:67" ht="15.7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3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BO160" s="1"/>
    </row>
    <row r="161" spans="1:67" ht="15.7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3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BO161" s="1"/>
    </row>
    <row r="162" spans="1:67" ht="15.7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3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BO162" s="1"/>
    </row>
    <row r="163" spans="1:67" ht="15.7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3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BO163" s="1"/>
    </row>
    <row r="164" spans="1:67" ht="15.7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3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BO164" s="1"/>
    </row>
    <row r="165" spans="1:67" ht="15.7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3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BO165" s="1"/>
    </row>
    <row r="166" spans="1:67" ht="15.7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3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BO166" s="1"/>
    </row>
    <row r="167" spans="1:67" ht="15.7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3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BO167" s="1"/>
    </row>
    <row r="168" spans="1:67" ht="15.7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3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BO168" s="1"/>
    </row>
    <row r="169" spans="1:67" ht="15.7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3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BO169" s="1"/>
    </row>
    <row r="170" spans="1:67" ht="15.7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3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BO170" s="1"/>
    </row>
    <row r="171" spans="1:67" ht="15.7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3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BO171" s="1"/>
    </row>
    <row r="172" spans="1:67" ht="15.7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3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BO172" s="1"/>
    </row>
    <row r="173" spans="1:67" ht="15.7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3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BO173" s="1"/>
    </row>
    <row r="174" spans="1:67" ht="15.7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3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BO174" s="1"/>
    </row>
    <row r="175" spans="1:67" ht="15.7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3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BO175" s="1"/>
    </row>
    <row r="176" spans="1:67" ht="15.7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3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BO176" s="1"/>
    </row>
    <row r="177" spans="1:67" ht="15.7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3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BO177" s="1"/>
    </row>
    <row r="178" spans="1:67" ht="15.7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3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BO178" s="1"/>
    </row>
    <row r="179" spans="1:67" ht="15.7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3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BO179" s="1"/>
    </row>
    <row r="180" spans="1:67" ht="15.7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3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BO180" s="1"/>
    </row>
    <row r="181" spans="1:67" ht="15.7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3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BO181" s="1"/>
    </row>
    <row r="182" spans="1:67" ht="15.7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3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BO182" s="1"/>
    </row>
    <row r="183" spans="1:67" ht="15.7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3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BO183" s="1"/>
    </row>
    <row r="184" spans="1:67" ht="15.7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3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BO184" s="1"/>
    </row>
    <row r="185" spans="1:67" ht="15.7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BO185" s="1"/>
    </row>
    <row r="186" spans="1:67" ht="15.7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3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BO186" s="1"/>
    </row>
    <row r="187" spans="1:6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3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BO187" s="1"/>
    </row>
    <row r="188" spans="1:67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3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BO188" s="1"/>
    </row>
    <row r="189" spans="1:67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3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BO189" s="1"/>
    </row>
    <row r="190" spans="1:67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3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BO190" s="1"/>
    </row>
    <row r="191" spans="1:67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3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BO191" s="1"/>
    </row>
    <row r="192" spans="1:67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3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BO192" s="1"/>
    </row>
    <row r="193" spans="1:67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3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BO193" s="1"/>
    </row>
    <row r="194" spans="1:67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3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BO194" s="1"/>
    </row>
    <row r="195" spans="1:67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3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BO195" s="1"/>
    </row>
    <row r="196" spans="1:67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3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BO196" s="1"/>
    </row>
    <row r="197" spans="1:6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3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BO197" s="1"/>
    </row>
    <row r="198" spans="1:67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3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BO198" s="1"/>
    </row>
    <row r="199" spans="1:67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3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BO199" s="1"/>
    </row>
    <row r="200" spans="1:67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3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BO200" s="1"/>
    </row>
    <row r="201" spans="1:67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3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BO201" s="1"/>
    </row>
    <row r="202" spans="1:67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3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BO202" s="1"/>
    </row>
    <row r="203" spans="1:67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3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BO203" s="1"/>
    </row>
    <row r="204" spans="1:67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3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BO204" s="1"/>
    </row>
    <row r="205" spans="1:67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3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BO205" s="1"/>
    </row>
    <row r="206" spans="1:67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3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BO206" s="1"/>
    </row>
    <row r="207" spans="1:6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3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BO207" s="1"/>
    </row>
    <row r="208" spans="1:67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3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BO208" s="1"/>
    </row>
    <row r="209" spans="1:67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3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BO209" s="1"/>
    </row>
    <row r="210" spans="1:67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3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BO210" s="1"/>
    </row>
    <row r="211" spans="1:67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3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BO211" s="1"/>
    </row>
    <row r="212" spans="1:67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3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BO212" s="1"/>
    </row>
    <row r="213" spans="1:67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3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BO213" s="1"/>
    </row>
    <row r="214" spans="1:67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3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BO214" s="1"/>
    </row>
    <row r="215" spans="1:67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3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BO215" s="1"/>
    </row>
    <row r="216" spans="1:67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3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BO216" s="1"/>
    </row>
    <row r="217" spans="1:6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3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BO217" s="1"/>
    </row>
    <row r="218" spans="1:67" ht="15.7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3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BO218" s="1"/>
    </row>
    <row r="219" spans="1:67" ht="15.7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BO219" s="1"/>
    </row>
    <row r="220" spans="1:67" ht="15.7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3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BO220" s="1"/>
    </row>
    <row r="221" spans="1:67" ht="15.7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3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BO221" s="1"/>
    </row>
    <row r="222" spans="1:67" ht="15.7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3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BO222" s="1"/>
    </row>
    <row r="223" spans="1:67" ht="15.7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3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BO223" s="1"/>
    </row>
    <row r="224" spans="1:67" ht="15.7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3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BO224" s="1"/>
    </row>
    <row r="225" spans="1:67" ht="15.7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3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BO225" s="1"/>
    </row>
    <row r="226" spans="1:67" ht="15.7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3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BO226" s="1"/>
    </row>
    <row r="227" spans="1:67" ht="15.7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3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BO227" s="1"/>
    </row>
    <row r="228" spans="1:67" ht="15.7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3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BO228" s="1"/>
    </row>
    <row r="229" spans="1:67" ht="15.7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3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BO229" s="1"/>
    </row>
    <row r="230" spans="1:67" ht="15.7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3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BO230" s="1"/>
    </row>
    <row r="231" spans="1:67" ht="15.7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3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BO231" s="1"/>
    </row>
    <row r="232" spans="1:67" ht="15.7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3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BO232" s="1"/>
    </row>
    <row r="233" spans="1:67" ht="15.7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3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BO233" s="1"/>
    </row>
    <row r="234" spans="1:67" ht="15.7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3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BO234" s="1"/>
    </row>
    <row r="235" spans="1:67" ht="15.7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3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BO235" s="1"/>
    </row>
    <row r="236" spans="1:67" ht="15.7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3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BO236" s="1"/>
    </row>
    <row r="237" spans="1:67" ht="15.7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3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BO237" s="1"/>
    </row>
    <row r="238" spans="1:67" ht="15.7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3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BO238" s="1"/>
    </row>
    <row r="239" spans="1:67" ht="15.7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3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BO239" s="1"/>
    </row>
    <row r="240" spans="1:67" ht="15.7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3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BO240" s="1"/>
    </row>
    <row r="241" spans="1:67" ht="15.7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3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BO241" s="1"/>
    </row>
    <row r="242" spans="1:67" ht="15.7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3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BO242" s="1"/>
    </row>
    <row r="243" spans="1:67" ht="15.7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3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BO243" s="1"/>
    </row>
    <row r="244" spans="1:67" ht="15.7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3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BO244" s="1"/>
    </row>
    <row r="245" spans="1:67" ht="15.7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3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BO245" s="1"/>
    </row>
    <row r="246" spans="1:67" ht="15.7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3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BO246" s="1"/>
    </row>
    <row r="247" spans="1:67" ht="15.7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3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BO247" s="1"/>
    </row>
    <row r="248" spans="1:67" ht="15.7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3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BO248" s="1"/>
    </row>
    <row r="249" spans="1:67" ht="15.7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3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BO249" s="1"/>
    </row>
    <row r="250" spans="1:67" ht="15.7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3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BO250" s="1"/>
    </row>
    <row r="251" spans="1:67" ht="15.7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3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BO251" s="1"/>
    </row>
    <row r="252" spans="1:67" ht="15.7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3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BO252" s="1"/>
    </row>
    <row r="253" spans="1:67" ht="15.7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BO253" s="1"/>
    </row>
    <row r="254" spans="1:67" ht="15.7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3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BO254" s="1"/>
    </row>
    <row r="255" spans="1:67" ht="15.7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3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BO255" s="1"/>
    </row>
    <row r="256" spans="1:67" ht="15.7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3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BO256" s="1"/>
    </row>
    <row r="257" spans="1:67" ht="15.7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3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BO257" s="1"/>
    </row>
    <row r="258" spans="1:67" ht="15.7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3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BO258" s="1"/>
    </row>
    <row r="259" spans="1:67" ht="15.7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3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BO259" s="1"/>
    </row>
    <row r="260" spans="1:67" ht="15.7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3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BO260" s="1"/>
    </row>
    <row r="261" spans="1:67" ht="15.7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3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BO261" s="1"/>
    </row>
    <row r="262" spans="1:67" ht="15.7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3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BO262" s="1"/>
    </row>
    <row r="263" spans="1:67" ht="15.7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3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BO263" s="1"/>
    </row>
    <row r="264" spans="1:67" ht="15.7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3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BO264" s="1"/>
    </row>
    <row r="265" spans="1:67" ht="15.7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3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BO265" s="1"/>
    </row>
    <row r="266" spans="1:67" ht="15.7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3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BO266" s="1"/>
    </row>
    <row r="267" spans="1:67" ht="15.7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3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BO267" s="1"/>
    </row>
    <row r="268" spans="1:67" ht="15.7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3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BO268" s="1"/>
    </row>
    <row r="269" spans="1:67" ht="15.7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3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BO269" s="1"/>
    </row>
    <row r="270" spans="1:67" ht="15.7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3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BO270" s="1"/>
    </row>
    <row r="271" spans="1:67" ht="15.7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3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BO271" s="1"/>
    </row>
    <row r="272" spans="1:67" ht="15.7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3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BO272" s="1"/>
    </row>
    <row r="273" spans="1:67" ht="15.7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3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BO273" s="1"/>
    </row>
    <row r="274" spans="1:67" ht="15.7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3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BO274" s="1"/>
    </row>
    <row r="275" spans="1:67" ht="15.7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3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BO275" s="1"/>
    </row>
    <row r="276" spans="1:67" ht="15.7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3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BO276" s="1"/>
    </row>
    <row r="277" spans="1:67" ht="15.7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3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BO277" s="1"/>
    </row>
    <row r="278" spans="1:67" ht="15.7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3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BO278" s="1"/>
    </row>
    <row r="279" spans="1:67" ht="15.7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3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BO279" s="1"/>
    </row>
    <row r="280" spans="1:67" ht="15.7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3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BO280" s="1"/>
    </row>
    <row r="281" spans="1:67" ht="15.7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3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BO281" s="1"/>
    </row>
    <row r="282" spans="1:67" ht="15.7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3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BO282" s="1"/>
    </row>
    <row r="283" spans="1:67" ht="15.7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3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BO283" s="1"/>
    </row>
    <row r="284" spans="1:67" ht="15.7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3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BO284" s="1"/>
    </row>
    <row r="285" spans="1:67" ht="15.7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3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BO285" s="1"/>
    </row>
    <row r="286" spans="1:67" ht="15.7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3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BO286" s="1"/>
    </row>
    <row r="287" spans="1:67" ht="15.7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BO287" s="1"/>
    </row>
    <row r="288" spans="1:67" ht="15.7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3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BO288" s="1"/>
    </row>
    <row r="289" spans="1:67" ht="15.7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3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BO289" s="1"/>
    </row>
    <row r="290" spans="1:67" ht="15.7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3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BO290" s="1"/>
    </row>
    <row r="291" spans="1:67" ht="15.7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3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BO291" s="1"/>
    </row>
    <row r="292" spans="1:67" ht="15.7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3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BO292" s="1"/>
    </row>
    <row r="293" spans="1:67" ht="15.7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3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BO293" s="1"/>
    </row>
    <row r="294" spans="1:67" ht="15.7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3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BO294" s="1"/>
    </row>
    <row r="295" spans="1:67" ht="15.7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3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BO295" s="1"/>
    </row>
    <row r="296" spans="1:67" ht="15.7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3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BO296" s="1"/>
    </row>
    <row r="297" spans="1:67" ht="15.7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BO297" s="1"/>
    </row>
    <row r="298" spans="1:67" ht="15.7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BO298" s="1"/>
    </row>
    <row r="299" spans="1:67" ht="15.7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BO299" s="1"/>
    </row>
    <row r="300" spans="1:67" ht="15.7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BO300" s="1"/>
    </row>
    <row r="301" spans="1:67" ht="15.7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BO301" s="1"/>
    </row>
    <row r="302" spans="1:67" ht="15.7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BO302" s="1"/>
    </row>
    <row r="303" spans="1:67" ht="15.7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BO303" s="1"/>
    </row>
    <row r="304" spans="1:67" ht="15.7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BO304" s="1"/>
    </row>
    <row r="305" spans="1:67" ht="15.7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3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BO305" s="1"/>
    </row>
    <row r="306" spans="1:67" ht="15.7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3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BO306" s="1"/>
    </row>
    <row r="307" spans="1:67" ht="15.7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3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BO307" s="1"/>
    </row>
    <row r="308" spans="1:67" ht="15.7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3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BO308" s="1"/>
    </row>
    <row r="309" spans="1:67" ht="15.7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3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BO309" s="1"/>
    </row>
    <row r="310" spans="1:67" ht="15.7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3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BO310" s="1"/>
    </row>
    <row r="311" spans="1:67" ht="15.7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3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BO311" s="1"/>
    </row>
    <row r="312" spans="1:67" ht="15.7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3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BO312" s="1"/>
    </row>
    <row r="313" spans="1:67" ht="15.7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3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BO313" s="1"/>
    </row>
    <row r="314" spans="1:67" ht="15.7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3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BO314" s="1"/>
    </row>
    <row r="315" spans="1:67" ht="15.7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3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BO315" s="1"/>
    </row>
    <row r="316" spans="1:67" ht="15.7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3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BO316" s="1"/>
    </row>
    <row r="317" spans="1:67" ht="15.7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3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BO317" s="1"/>
    </row>
    <row r="318" spans="1:67" ht="15.7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3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BO318" s="1"/>
    </row>
    <row r="319" spans="1:67" ht="15.7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3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BO319" s="1"/>
    </row>
    <row r="320" spans="1:67" ht="15.7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3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BO320" s="1"/>
    </row>
    <row r="321" spans="1:67" ht="15.7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BO321" s="1"/>
    </row>
    <row r="322" spans="1:67" ht="15.7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3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BO322" s="1"/>
    </row>
    <row r="323" spans="1:67" ht="15.7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3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BO323" s="1"/>
    </row>
    <row r="324" spans="1:67" ht="15.7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3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BO324" s="1"/>
    </row>
    <row r="325" spans="1:67" ht="15.7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3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BO325" s="1"/>
    </row>
    <row r="326" spans="1:67" ht="15.7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3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BO326" s="1"/>
    </row>
    <row r="327" spans="1:67" ht="15.7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3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BO327" s="1"/>
    </row>
    <row r="328" spans="1:67" ht="15.7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3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BO328" s="1"/>
    </row>
    <row r="329" spans="1:67" ht="15.7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3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BO329" s="1"/>
    </row>
    <row r="330" spans="1:67" ht="15.7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3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BO330" s="1"/>
    </row>
    <row r="331" spans="1:67" ht="15.7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3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BO331" s="1"/>
    </row>
    <row r="332" spans="1:67" ht="15.7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3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BO332" s="1"/>
    </row>
    <row r="333" spans="1:67" ht="15.7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3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BO333" s="1"/>
    </row>
    <row r="334" spans="1:67" ht="15.7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3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BO334" s="1"/>
    </row>
    <row r="335" spans="1:67" ht="15.7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3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BO335" s="1"/>
    </row>
    <row r="336" spans="1:67" ht="15.7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3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BO336" s="1"/>
    </row>
    <row r="337" spans="1:67" ht="15.7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3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BO337" s="1"/>
    </row>
    <row r="338" spans="1:67" ht="15.7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3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BO338" s="1"/>
    </row>
    <row r="339" spans="1:67" ht="15.7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3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BO339" s="1"/>
    </row>
    <row r="340" spans="1:67" ht="15.7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3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BO340" s="1"/>
    </row>
    <row r="341" spans="1:67" ht="15.7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3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BO341" s="1"/>
    </row>
    <row r="342" spans="1:67" ht="15.7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3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BO342" s="1"/>
    </row>
    <row r="343" spans="1:67" ht="15.7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3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BO343" s="1"/>
    </row>
    <row r="344" spans="1:67" ht="15.7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3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BO344" s="1"/>
    </row>
    <row r="345" spans="1:67" ht="15.7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3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BO345" s="1"/>
    </row>
    <row r="346" spans="1:67" ht="15.7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3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BO346" s="1"/>
    </row>
    <row r="347" spans="1:67" ht="15.7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3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BO347" s="1"/>
    </row>
    <row r="348" spans="1:67" ht="15.7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3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BO348" s="1"/>
    </row>
    <row r="349" spans="1:67" ht="15.7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3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BO349" s="1"/>
    </row>
    <row r="350" spans="1:67" ht="15.7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3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BO350" s="1"/>
    </row>
    <row r="351" spans="1:67" ht="15.7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3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BO351" s="1"/>
    </row>
    <row r="352" spans="1:67" ht="15.7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3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BO352" s="1"/>
    </row>
    <row r="353" spans="1:67" ht="15.7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3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BO353" s="1"/>
    </row>
    <row r="354" spans="1:67" ht="15.7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3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BO354" s="1"/>
    </row>
    <row r="355" spans="1:67" ht="15.7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BO355" s="1"/>
    </row>
    <row r="356" spans="1:67" ht="15.7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3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BO356" s="1"/>
    </row>
    <row r="357" spans="1:67" ht="15.7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3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BO357" s="1"/>
    </row>
    <row r="358" spans="1:67" ht="15.7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3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BO358" s="1"/>
    </row>
    <row r="359" spans="1:67" ht="15.7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3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BO359" s="1"/>
    </row>
    <row r="360" spans="1:67" ht="15.7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3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BO360" s="1"/>
    </row>
    <row r="361" spans="1:67" ht="15.7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3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BO361" s="1"/>
    </row>
    <row r="362" spans="1:67" ht="15.7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3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BO362" s="1"/>
    </row>
    <row r="363" spans="1:67" ht="15.7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3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BO363" s="1"/>
    </row>
    <row r="364" spans="1:67" ht="15.7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3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BO364" s="1"/>
    </row>
    <row r="365" spans="1:67" ht="15.7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3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BO365" s="1"/>
    </row>
    <row r="366" spans="1:67" ht="15.7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3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BO366" s="1"/>
    </row>
    <row r="367" spans="1:67" ht="15.7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3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BO367" s="1"/>
    </row>
    <row r="368" spans="1:67" ht="15.7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3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BO368" s="1"/>
    </row>
    <row r="369" spans="1:67" ht="15.7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3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BO369" s="1"/>
    </row>
    <row r="370" spans="1:67" ht="15.7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3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BO370" s="1"/>
    </row>
    <row r="371" spans="1:67" ht="15.7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3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BO371" s="1"/>
    </row>
    <row r="372" spans="1:67" ht="15.7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3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BO372" s="1"/>
    </row>
    <row r="373" spans="1:67" ht="15.7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3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BO373" s="1"/>
    </row>
    <row r="374" spans="1:67" ht="15.7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3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BO374" s="1"/>
    </row>
    <row r="375" spans="1:67" ht="15.7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3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BO375" s="1"/>
    </row>
    <row r="376" spans="1:67" ht="15.7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3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BO376" s="1"/>
    </row>
    <row r="377" spans="1:67" ht="15.7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3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BO377" s="1"/>
    </row>
    <row r="378" spans="1:67" ht="15.7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3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BO378" s="1"/>
    </row>
    <row r="379" spans="1:67" ht="15.7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3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BO379" s="1"/>
    </row>
    <row r="380" spans="1:67" ht="15.7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3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BO380" s="1"/>
    </row>
    <row r="381" spans="1:67" ht="15.7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3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BO381" s="1"/>
    </row>
    <row r="382" spans="1:67" ht="15.7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3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BO382" s="1"/>
    </row>
    <row r="383" spans="1:67" ht="15.7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3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BO383" s="1"/>
    </row>
    <row r="384" spans="1:67" ht="15.7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3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BO384" s="1"/>
    </row>
    <row r="385" spans="1:67" ht="15.7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3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BO385" s="1"/>
    </row>
    <row r="386" spans="1:67" ht="15.7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3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BO386" s="1"/>
    </row>
    <row r="387" spans="1:67" ht="15.7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3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BO387" s="1"/>
    </row>
    <row r="388" spans="1:67" ht="15.7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3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BO388" s="1"/>
    </row>
    <row r="389" spans="1:67" ht="15.7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BO389" s="1"/>
    </row>
    <row r="390" spans="1:67" ht="15.7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3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BO390" s="1"/>
    </row>
    <row r="391" spans="1:67" ht="15.7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3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BO391" s="1"/>
    </row>
    <row r="392" spans="1:67" ht="15.7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3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BO392" s="1"/>
    </row>
    <row r="393" spans="1:67" ht="15.7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3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BO393" s="1"/>
    </row>
    <row r="394" spans="1:67" ht="15.7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3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BO394" s="1"/>
    </row>
    <row r="395" spans="1:67" ht="15.7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3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BO395" s="1"/>
    </row>
    <row r="396" spans="1:67" ht="15.7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3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BO396" s="1"/>
    </row>
    <row r="397" spans="1:67" ht="15.7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3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BO397" s="1"/>
    </row>
    <row r="398" spans="1:67" ht="15.7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3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BO398" s="1"/>
    </row>
    <row r="399" spans="1:67" ht="15.7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3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BO399" s="1"/>
    </row>
    <row r="400" spans="1:67" ht="15.7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3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BO400" s="1"/>
    </row>
    <row r="401" spans="1:67" ht="15.7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3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BO401" s="1"/>
    </row>
    <row r="402" spans="1:67" ht="15.7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3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BO402" s="1"/>
    </row>
    <row r="403" spans="1:67" ht="15.7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3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BO403" s="1"/>
    </row>
    <row r="404" spans="1:67" ht="15.7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3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BO404" s="1"/>
    </row>
    <row r="405" spans="1:67" ht="15.7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3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BO405" s="1"/>
    </row>
    <row r="406" spans="1:67" ht="15.7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3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BO406" s="1"/>
    </row>
    <row r="407" spans="1:67" ht="15.7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3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BO407" s="1"/>
    </row>
    <row r="408" spans="1:67" ht="15.7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3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BO408" s="1"/>
    </row>
    <row r="409" spans="1:67" ht="15.7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3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BO409" s="1"/>
    </row>
    <row r="410" spans="1:67" ht="15.7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3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BO410" s="1"/>
    </row>
    <row r="411" spans="1:67" ht="15.7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3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BO411" s="1"/>
    </row>
    <row r="412" spans="1:67" ht="15.7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3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BO412" s="1"/>
    </row>
    <row r="413" spans="1:67" ht="15.7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3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BO413" s="1"/>
    </row>
    <row r="414" spans="1:67" ht="15.7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3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BO414" s="1"/>
    </row>
    <row r="415" spans="1:67" ht="15.7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3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BO415" s="1"/>
    </row>
    <row r="416" spans="1:67" ht="15.7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3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BO416" s="1"/>
    </row>
    <row r="417" spans="1:67" ht="15.7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3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BO417" s="1"/>
    </row>
    <row r="418" spans="1:67" ht="15.7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3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BO418" s="1"/>
    </row>
    <row r="419" spans="1:67" ht="15.7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3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BO419" s="1"/>
    </row>
    <row r="420" spans="1:67" ht="15.7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3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BO420" s="1"/>
    </row>
    <row r="421" spans="1:67" ht="15.7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3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BO421" s="1"/>
    </row>
    <row r="422" spans="1:67" ht="15.7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3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BO422" s="1"/>
    </row>
    <row r="423" spans="1:67" ht="15.7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BO423" s="1"/>
    </row>
    <row r="424" spans="1:67" ht="15.7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3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BO424" s="1"/>
    </row>
    <row r="425" spans="1:67" ht="15.7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3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BO425" s="1"/>
    </row>
    <row r="426" spans="1:67" ht="15.7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3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BO426" s="1"/>
    </row>
    <row r="427" spans="1:67" ht="15.7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3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BO427" s="1"/>
    </row>
    <row r="428" spans="1:67" ht="15.7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3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BO428" s="1"/>
    </row>
    <row r="429" spans="1:67" ht="15.7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3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BO429" s="1"/>
    </row>
    <row r="430" spans="1:67" ht="15.7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3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BO430" s="1"/>
    </row>
    <row r="431" spans="1:67" ht="15.7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3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BO431" s="1"/>
    </row>
    <row r="432" spans="1:67" ht="15.7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3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BO432" s="1"/>
    </row>
    <row r="433" spans="1:67" ht="15.7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3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BO433" s="1"/>
    </row>
    <row r="434" spans="1:67" ht="15.7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3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BO434" s="1"/>
    </row>
    <row r="435" spans="1:67" ht="15.7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3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BO435" s="1"/>
    </row>
    <row r="436" spans="1:67" ht="15.7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3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BO436" s="1"/>
    </row>
    <row r="437" spans="1:67" ht="15.7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3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BO437" s="1"/>
    </row>
    <row r="438" spans="1:67" ht="15.7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3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BO438" s="1"/>
    </row>
    <row r="439" spans="1:67" ht="15.7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3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BO439" s="1"/>
    </row>
    <row r="440" spans="1:67" ht="15.7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3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BO440" s="1"/>
    </row>
    <row r="441" spans="1:67" ht="15.7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3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BO441" s="1"/>
    </row>
    <row r="442" spans="1:67" ht="15.7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3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BO442" s="1"/>
    </row>
    <row r="443" spans="1:67" ht="15.7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3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BO443" s="1"/>
    </row>
    <row r="444" spans="1:67" ht="15.7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3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BO444" s="1"/>
    </row>
    <row r="445" spans="1:67" ht="15.7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3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BO445" s="1"/>
    </row>
    <row r="446" spans="1:67" ht="15.7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3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BO446" s="1"/>
    </row>
    <row r="447" spans="1:67" ht="15.7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3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BO447" s="1"/>
    </row>
    <row r="448" spans="1:67" ht="15.7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3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BO448" s="1"/>
    </row>
    <row r="449" spans="1:67" ht="15.7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3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BO449" s="1"/>
    </row>
    <row r="450" spans="1:67" ht="15.7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3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BO450" s="1"/>
    </row>
    <row r="451" spans="1:67" ht="15.7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3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BO451" s="1"/>
    </row>
    <row r="452" spans="1:67" ht="15.7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3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BO452" s="1"/>
    </row>
    <row r="453" spans="1:67" ht="15.7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3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BO453" s="1"/>
    </row>
    <row r="454" spans="1:67" ht="15.7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3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BO454" s="1"/>
    </row>
    <row r="455" spans="1:67" ht="15.7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3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BO455" s="1"/>
    </row>
    <row r="456" spans="1:67" ht="15.7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3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BO456" s="1"/>
    </row>
    <row r="457" spans="1:67" ht="15.7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BO457" s="1"/>
    </row>
    <row r="458" spans="1:67" ht="15.7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3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BO458" s="1"/>
    </row>
    <row r="459" spans="1:67" ht="15.7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3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BO459" s="1"/>
    </row>
    <row r="460" spans="1:67" ht="15.7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3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BO460" s="1"/>
    </row>
    <row r="461" spans="1:67" ht="15.7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3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BO461" s="1"/>
    </row>
    <row r="462" spans="1:67" ht="15.7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3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BO462" s="1"/>
    </row>
    <row r="463" spans="1:67" ht="15.7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3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BO463" s="1"/>
    </row>
    <row r="464" spans="1:67" ht="15.7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3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BO464" s="1"/>
    </row>
    <row r="465" spans="1:67" ht="15.7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3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BO465" s="1"/>
    </row>
    <row r="466" spans="1:67" ht="15.7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3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BO466" s="1"/>
    </row>
    <row r="467" spans="1:67" ht="15.7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3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BO467" s="1"/>
    </row>
    <row r="468" spans="1:67" ht="15.7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3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BO468" s="1"/>
    </row>
    <row r="469" spans="1:67" ht="15.7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3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BO469" s="1"/>
    </row>
    <row r="470" spans="1:67" ht="15.7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3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BO470" s="1"/>
    </row>
    <row r="471" spans="1:67" ht="15.7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3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BO471" s="1"/>
    </row>
    <row r="472" spans="1:67" ht="15.7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3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BO472" s="1"/>
    </row>
    <row r="473" spans="1:67" ht="15.7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3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BO473" s="1"/>
    </row>
    <row r="474" spans="1:67" ht="15.7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3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BO474" s="1"/>
    </row>
    <row r="475" spans="1:67" ht="15.7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3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BO475" s="1"/>
    </row>
    <row r="476" spans="1:67" ht="15.7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3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BO476" s="1"/>
    </row>
    <row r="477" spans="1:67" ht="15.7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3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BO477" s="1"/>
    </row>
    <row r="478" spans="1:67" ht="15.7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3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BO478" s="1"/>
    </row>
    <row r="479" spans="1:67" ht="15.7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3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BO479" s="1"/>
    </row>
    <row r="480" spans="1:67" ht="15.7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3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BO480" s="1"/>
    </row>
    <row r="481" spans="1:67" ht="15.7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3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BO481" s="1"/>
    </row>
    <row r="482" spans="1:67" ht="15.7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3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BO482" s="1"/>
    </row>
    <row r="483" spans="1:67" ht="15.7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3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BO483" s="1"/>
    </row>
    <row r="484" spans="1:67" ht="15.7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3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BO484" s="1"/>
    </row>
    <row r="485" spans="1:67" ht="15.7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3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BO485" s="1"/>
    </row>
    <row r="486" spans="1:67" ht="15.7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3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BO486" s="1"/>
    </row>
    <row r="487" spans="1:67" ht="15.7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3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BO487" s="1"/>
    </row>
    <row r="488" spans="1:67" ht="15.7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3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BO488" s="1"/>
    </row>
    <row r="489" spans="1:67" ht="15.7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3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BO489" s="1"/>
    </row>
    <row r="490" spans="1:67" ht="15.7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3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BO490" s="1"/>
    </row>
    <row r="491" spans="1:67" ht="15.7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3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BO491" s="1"/>
    </row>
    <row r="492" spans="1:67" ht="15.7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3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BO492" s="1"/>
    </row>
    <row r="493" spans="1:67" ht="15.7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3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BO493" s="1"/>
    </row>
    <row r="494" spans="1:67" ht="15.7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3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BO494" s="1"/>
    </row>
    <row r="495" spans="1:67" ht="15.7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3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BO495" s="1"/>
    </row>
    <row r="496" spans="1:67" ht="15.7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3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BO496" s="1"/>
    </row>
    <row r="497" spans="1:67" ht="15.7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3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BO497" s="1"/>
    </row>
    <row r="498" spans="1:67" ht="15.7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3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BO498" s="1"/>
    </row>
    <row r="499" spans="1:67" ht="15.7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3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BO499" s="1"/>
    </row>
    <row r="500" spans="1:67" ht="15.7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3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BO500" s="1"/>
    </row>
    <row r="501" spans="1:67" ht="15.7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3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BO501" s="1"/>
    </row>
    <row r="502" spans="1:67" ht="15.7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3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BO502" s="1"/>
    </row>
    <row r="503" spans="1:67" ht="15.7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3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BO503" s="1"/>
    </row>
    <row r="504" spans="1:67" ht="15.7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3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BO504" s="1"/>
    </row>
    <row r="505" spans="1:67" ht="15.7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3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BO505" s="1"/>
    </row>
    <row r="506" spans="1:67" ht="15.7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3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BO506" s="1"/>
    </row>
    <row r="507" spans="1:67" ht="15.7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3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BO507" s="1"/>
    </row>
    <row r="508" spans="1:67" ht="15.7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3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BO508" s="1"/>
    </row>
    <row r="509" spans="1:67" ht="15.7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3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BO509" s="1"/>
    </row>
    <row r="510" spans="1:67" ht="15.7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3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BO510" s="1"/>
    </row>
    <row r="511" spans="1:67" ht="15.7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3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BO511" s="1"/>
    </row>
    <row r="512" spans="1:67" ht="15.7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3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BO512" s="1"/>
    </row>
    <row r="513" spans="1:67" ht="15.7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3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BO513" s="1"/>
    </row>
    <row r="514" spans="1:67" ht="15.7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3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BO514" s="1"/>
    </row>
    <row r="515" spans="1:67" ht="15.7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3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BO515" s="1"/>
    </row>
    <row r="516" spans="1:67" ht="15.7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3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BO516" s="1"/>
    </row>
    <row r="517" spans="1:67" ht="15.7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3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BO517" s="1"/>
    </row>
    <row r="518" spans="1:67" ht="15.7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3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BO518" s="1"/>
    </row>
    <row r="519" spans="1:67" ht="15.7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3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BO519" s="1"/>
    </row>
    <row r="520" spans="1:67" ht="15.7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3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BO520" s="1"/>
    </row>
    <row r="521" spans="1:67" ht="15.7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3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BO521" s="1"/>
    </row>
    <row r="522" spans="1:67" ht="15.7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3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BO522" s="1"/>
    </row>
    <row r="523" spans="1:67" ht="15.7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3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BO523" s="1"/>
    </row>
    <row r="524" spans="1:67" ht="15.7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3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BO524" s="1"/>
    </row>
    <row r="525" spans="1:67" ht="15.7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3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BO525" s="1"/>
    </row>
    <row r="526" spans="1:67" ht="15.7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3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BO526" s="1"/>
    </row>
    <row r="527" spans="1:67" ht="15.7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3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BO527" s="1"/>
    </row>
    <row r="528" spans="1:67" ht="15.7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3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BO528" s="1"/>
    </row>
    <row r="529" spans="1:67" ht="15.7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3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BO529" s="1"/>
    </row>
    <row r="530" spans="1:67" ht="15.7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3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BO530" s="1"/>
    </row>
    <row r="531" spans="1:67" ht="15.7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3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BO531" s="1"/>
    </row>
    <row r="532" spans="1:67" ht="15.7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3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BO532" s="1"/>
    </row>
    <row r="533" spans="1:67" ht="15.7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3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BO533" s="1"/>
    </row>
    <row r="534" spans="1:67" ht="15.7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3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BO534" s="1"/>
    </row>
    <row r="535" spans="1:67" ht="15.7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3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BO535" s="1"/>
    </row>
    <row r="536" spans="1:67" ht="15.7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3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BO536" s="1"/>
    </row>
    <row r="537" spans="1:67" ht="15.7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3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BO537" s="1"/>
    </row>
    <row r="538" spans="1:67" ht="15.7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3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BO538" s="1"/>
    </row>
    <row r="539" spans="1:67" ht="15.7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3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BO539" s="1"/>
    </row>
    <row r="540" spans="1:67" ht="15.7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3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BO540" s="1"/>
    </row>
    <row r="541" spans="1:67" ht="15.7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3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BO541" s="1"/>
    </row>
    <row r="542" spans="1:67" ht="15.7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3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BO542" s="1"/>
    </row>
    <row r="543" spans="1:67" ht="15.7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3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BO543" s="1"/>
    </row>
    <row r="544" spans="1:67" ht="15.7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3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BO544" s="1"/>
    </row>
    <row r="545" spans="1:67" ht="15.7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3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BO545" s="1"/>
    </row>
    <row r="546" spans="1:67" ht="15.7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3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BO546" s="1"/>
    </row>
    <row r="547" spans="1:67" ht="15.7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3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BO547" s="1"/>
    </row>
    <row r="548" spans="1:67" ht="15.7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3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BO548" s="1"/>
    </row>
    <row r="549" spans="1:67" ht="15.7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3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BO549" s="1"/>
    </row>
    <row r="550" spans="1:67" ht="15.7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3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BO550" s="1"/>
    </row>
    <row r="551" spans="1:67" ht="15.7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3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BO551" s="1"/>
    </row>
    <row r="552" spans="1:67" ht="15.7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3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BO552" s="1"/>
    </row>
    <row r="553" spans="1:67" ht="15.7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3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BO553" s="1"/>
    </row>
    <row r="554" spans="1:67" ht="15.7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3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BO554" s="1"/>
    </row>
    <row r="555" spans="1:67" ht="15.7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3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BO555" s="1"/>
    </row>
    <row r="556" spans="1:67" ht="15.7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3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BO556" s="1"/>
    </row>
    <row r="557" spans="1:67" ht="15.7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3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BO557" s="1"/>
    </row>
    <row r="558" spans="1:67" ht="15.7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3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BO558" s="1"/>
    </row>
    <row r="559" spans="1:67" ht="15.7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3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BO559" s="1"/>
    </row>
    <row r="560" spans="1:67" ht="15.7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3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BO560" s="1"/>
    </row>
    <row r="561" spans="1:67" ht="15.7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3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BO561" s="1"/>
    </row>
    <row r="562" spans="1:67" ht="15.7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3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BO562" s="1"/>
    </row>
    <row r="563" spans="1:67" ht="15.7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3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BO563" s="1"/>
    </row>
    <row r="564" spans="1:67" ht="15.7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3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BO564" s="1"/>
    </row>
    <row r="565" spans="1:67" ht="15.7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3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BO565" s="1"/>
    </row>
    <row r="566" spans="1:67" ht="15.7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3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BO566" s="1"/>
    </row>
    <row r="567" spans="1:67" ht="15.7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3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BO567" s="1"/>
    </row>
    <row r="568" spans="1:67" ht="15.7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3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BO568" s="1"/>
    </row>
    <row r="569" spans="1:67" ht="15.7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3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BO569" s="1"/>
    </row>
    <row r="570" spans="1:67" ht="15.7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3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BO570" s="1"/>
    </row>
    <row r="571" spans="1:67" ht="15.7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3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BO571" s="1"/>
    </row>
    <row r="572" spans="1:67" ht="15.7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3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BO572" s="1"/>
    </row>
    <row r="573" spans="1:67" ht="15.7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3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BO573" s="1"/>
    </row>
    <row r="574" spans="1:67" ht="15.7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3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BO574" s="1"/>
    </row>
    <row r="575" spans="1:67" ht="15.7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3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BO575" s="1"/>
    </row>
    <row r="576" spans="1:67" ht="15.7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3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BO576" s="1"/>
    </row>
    <row r="577" spans="1:67" ht="15.7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3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BO577" s="1"/>
    </row>
    <row r="578" spans="1:67" ht="15.7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3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BO578" s="1"/>
    </row>
    <row r="579" spans="1:67" ht="15.7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3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BO579" s="1"/>
    </row>
    <row r="580" spans="1:67" ht="15.7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3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BO580" s="1"/>
    </row>
    <row r="581" spans="1:67" ht="15.7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3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BO581" s="1"/>
    </row>
    <row r="582" spans="1:67" ht="15.7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3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BO582" s="1"/>
    </row>
    <row r="583" spans="1:67" ht="15.7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3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BO583" s="1"/>
    </row>
    <row r="584" spans="1:67" ht="15.7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3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BO584" s="1"/>
    </row>
    <row r="585" spans="1:67" ht="15.7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3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BO585" s="1"/>
    </row>
    <row r="586" spans="1:67" ht="15.7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3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BO586" s="1"/>
    </row>
    <row r="587" spans="1:67" ht="15.7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3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BO587" s="1"/>
    </row>
    <row r="588" spans="1:67" ht="15.7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3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BO588" s="1"/>
    </row>
    <row r="589" spans="1:67" ht="15.7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3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BO589" s="1"/>
    </row>
    <row r="590" spans="1:67" ht="15.7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3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BO590" s="1"/>
    </row>
    <row r="591" spans="1:67" ht="15.7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3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BO591" s="1"/>
    </row>
    <row r="592" spans="1:67" ht="15.7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3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BO592" s="1"/>
    </row>
    <row r="593" spans="1:67" ht="15.7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3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BO593" s="1"/>
    </row>
    <row r="594" spans="1:67" ht="15.7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3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BO594" s="1"/>
    </row>
    <row r="595" spans="1:67" ht="15.7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3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BO595" s="1"/>
    </row>
    <row r="596" spans="1:67" ht="15.7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3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BO596" s="1"/>
    </row>
    <row r="597" spans="1:67" ht="15.7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3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BO597" s="1"/>
    </row>
    <row r="598" spans="1:67" ht="15.7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3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BO598" s="1"/>
    </row>
    <row r="599" spans="1:67" ht="15.7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3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BO599" s="1"/>
    </row>
    <row r="600" spans="1:67" ht="15.7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3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BO600" s="1"/>
    </row>
    <row r="601" spans="1:67" ht="15.7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3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BO601" s="1"/>
    </row>
    <row r="602" spans="1:67" ht="15.7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3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BO602" s="1"/>
    </row>
    <row r="603" spans="1:67" ht="15.7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3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BO603" s="1"/>
    </row>
    <row r="604" spans="1:67" ht="15.7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3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BO604" s="1"/>
    </row>
    <row r="605" spans="1:67" ht="15.7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3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BO605" s="1"/>
    </row>
    <row r="606" spans="1:67" ht="15.7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3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BO606" s="1"/>
    </row>
    <row r="607" spans="1:67" ht="15.7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3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BO607" s="1"/>
    </row>
    <row r="608" spans="1:67" ht="15.7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3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BO608" s="1"/>
    </row>
    <row r="609" spans="1:67" ht="15.7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3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BO609" s="1"/>
    </row>
    <row r="610" spans="1:67" ht="15.7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3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BO610" s="1"/>
    </row>
    <row r="611" spans="1:67" ht="15.7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3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BO611" s="1"/>
    </row>
    <row r="612" spans="1:67" ht="15.7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3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BO612" s="1"/>
    </row>
    <row r="613" spans="1:67" ht="15.7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3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BO613" s="1"/>
    </row>
    <row r="614" spans="1:67" ht="15.7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3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BO614" s="1"/>
    </row>
    <row r="615" spans="1:67" ht="15.7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3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BO615" s="1"/>
    </row>
    <row r="616" spans="1:67" ht="15.7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3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BO616" s="1"/>
    </row>
    <row r="617" spans="1:67" ht="15.7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3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BO617" s="1"/>
    </row>
    <row r="618" spans="1:67" ht="15.7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3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BO618" s="1"/>
    </row>
    <row r="619" spans="1:67" ht="15.7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3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BO619" s="1"/>
    </row>
    <row r="620" spans="1:67" ht="15.7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3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BO620" s="1"/>
    </row>
    <row r="621" spans="1:67" ht="15.7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3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BO621" s="1"/>
    </row>
    <row r="622" spans="1:67" ht="15.7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3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BO622" s="1"/>
    </row>
    <row r="623" spans="1:67" ht="15.7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3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BO623" s="1"/>
    </row>
    <row r="624" spans="1:67" ht="15.7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3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BO624" s="1"/>
    </row>
    <row r="625" spans="1:67" ht="15.7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3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BO625" s="1"/>
    </row>
    <row r="626" spans="1:67" ht="15.7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3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BO626" s="1"/>
    </row>
    <row r="627" spans="1:67" ht="15.7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3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BO627" s="1"/>
    </row>
    <row r="628" spans="1:67" ht="15.7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3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BO628" s="1"/>
    </row>
    <row r="629" spans="1:67" ht="15.7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3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BO629" s="1"/>
    </row>
    <row r="630" spans="1:67" ht="15.7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3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BO630" s="1"/>
    </row>
    <row r="631" spans="1:67" ht="15.7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3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BO631" s="1"/>
    </row>
    <row r="632" spans="1:67" ht="15.7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3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BO632" s="1"/>
    </row>
    <row r="633" spans="1:67" ht="15.7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3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BO633" s="1"/>
    </row>
    <row r="634" spans="1:67" ht="15.7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3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BO634" s="1"/>
    </row>
    <row r="635" spans="1:67" ht="15.7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3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BO635" s="1"/>
    </row>
    <row r="636" spans="1:67" ht="15.7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3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BO636" s="1"/>
    </row>
    <row r="637" spans="1:67" ht="15.7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3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BO637" s="1"/>
    </row>
    <row r="638" spans="1:67" ht="15.7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3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BO638" s="1"/>
    </row>
    <row r="639" spans="1:67" ht="15.7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3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BO639" s="1"/>
    </row>
    <row r="640" spans="1:67" ht="15.7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3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BO640" s="1"/>
    </row>
    <row r="641" spans="1:67" ht="15.7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3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BO641" s="1"/>
    </row>
    <row r="642" spans="1:67" ht="15.7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3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BO642" s="1"/>
    </row>
    <row r="643" spans="1:67" ht="15.7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3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BO643" s="1"/>
    </row>
    <row r="644" spans="1:67" ht="15.7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3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BO644" s="1"/>
    </row>
    <row r="645" spans="1:67" ht="15.7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3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BO645" s="1"/>
    </row>
    <row r="646" spans="1:67" ht="15.7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3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BO646" s="1"/>
    </row>
    <row r="647" spans="1:67" ht="15.7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3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BO647" s="1"/>
    </row>
    <row r="648" spans="1:67" ht="15.7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3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BO648" s="1"/>
    </row>
    <row r="649" spans="1:67" ht="15.7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3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BO649" s="1"/>
    </row>
    <row r="650" spans="1:67" ht="15.7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3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BO650" s="1"/>
    </row>
    <row r="651" spans="1:67" ht="15.7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3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BO651" s="1"/>
    </row>
    <row r="652" spans="1:67" ht="15.7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3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BO652" s="1"/>
    </row>
    <row r="653" spans="1:67" ht="15.7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3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BO653" s="1"/>
    </row>
    <row r="654" spans="1:67" ht="15.7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3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BO654" s="1"/>
    </row>
    <row r="655" spans="1:67" ht="15.7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3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BO655" s="1"/>
    </row>
    <row r="656" spans="1:67" ht="15.7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3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BO656" s="1"/>
    </row>
    <row r="657" spans="1:67" ht="15.7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3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BO657" s="1"/>
    </row>
    <row r="658" spans="1:67" ht="15.7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3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BO658" s="1"/>
    </row>
    <row r="659" spans="1:67" ht="15.7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3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BO659" s="1"/>
    </row>
    <row r="660" spans="1:67" ht="15.7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3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BO660" s="1"/>
    </row>
    <row r="661" spans="1:67" ht="15.7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3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BO661" s="1"/>
    </row>
    <row r="662" spans="1:67" ht="15.7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3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BO662" s="1"/>
    </row>
    <row r="663" spans="1:67" ht="15.7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3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BO663" s="1"/>
    </row>
    <row r="664" spans="1:67" ht="15.7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3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BO664" s="1"/>
    </row>
    <row r="665" spans="1:67" ht="15.7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3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BO665" s="1"/>
    </row>
    <row r="666" spans="1:67" ht="15.7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3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BO666" s="1"/>
    </row>
    <row r="667" spans="1:67" ht="15.7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3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BO667" s="1"/>
    </row>
    <row r="668" spans="1:67" ht="15.7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3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BO668" s="1"/>
    </row>
    <row r="669" spans="1:67" ht="15.7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3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BO669" s="1"/>
    </row>
    <row r="670" spans="1:67" ht="15.7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3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BO670" s="1"/>
    </row>
    <row r="671" spans="1:67" ht="15.7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3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BO671" s="1"/>
    </row>
    <row r="672" spans="1:67" ht="15.7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3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BO672" s="1"/>
    </row>
    <row r="673" spans="1:67" ht="15.7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3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BO673" s="1"/>
    </row>
    <row r="674" spans="1:67" ht="15.7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3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BO674" s="1"/>
    </row>
    <row r="675" spans="1:67" ht="15.7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3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BO675" s="1"/>
    </row>
    <row r="676" spans="1:67" ht="15.7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3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BO676" s="1"/>
    </row>
    <row r="677" spans="1:67" ht="15.7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3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BO677" s="1"/>
    </row>
    <row r="678" spans="1:67" ht="15.7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3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BO678" s="1"/>
    </row>
    <row r="679" spans="1:67" ht="15.7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3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BO679" s="1"/>
    </row>
    <row r="680" spans="1:67" ht="15.7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3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BO680" s="1"/>
    </row>
    <row r="681" spans="1:67" ht="15.7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3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BO681" s="1"/>
    </row>
    <row r="682" spans="1:67" ht="15.7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3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BO682" s="1"/>
    </row>
    <row r="683" spans="1:67" ht="15.7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3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BO683" s="1"/>
    </row>
    <row r="684" spans="1:67" ht="15.7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3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BO684" s="1"/>
    </row>
    <row r="685" spans="1:67" ht="15.7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3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BO685" s="1"/>
    </row>
    <row r="686" spans="1:67" ht="15.7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3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BO686" s="1"/>
    </row>
    <row r="687" spans="1:67" ht="15.7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3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BO687" s="1"/>
    </row>
    <row r="688" spans="1:67" ht="15.7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3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BO688" s="1"/>
    </row>
    <row r="689" spans="1:67" ht="15.7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3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BO689" s="1"/>
    </row>
    <row r="690" spans="1:67" ht="15.7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3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BO690" s="1"/>
    </row>
    <row r="691" spans="1:67" ht="15.7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3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BO691" s="1"/>
    </row>
    <row r="692" spans="1:67" ht="15.7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3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BO692" s="1"/>
    </row>
    <row r="693" spans="1:67" ht="15.7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3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BO693" s="1"/>
    </row>
    <row r="694" spans="1:67" ht="15.7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3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BO694" s="1"/>
    </row>
    <row r="695" spans="1:67" ht="15.7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3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BO695" s="1"/>
    </row>
    <row r="696" spans="1:67" ht="15.7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3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BO696" s="1"/>
    </row>
    <row r="697" spans="1:67" ht="15.7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3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BO697" s="1"/>
    </row>
    <row r="698" spans="1:67" ht="15.7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3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BO698" s="1"/>
    </row>
    <row r="699" spans="1:67" ht="15.7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3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BO699" s="1"/>
    </row>
    <row r="700" spans="1:67" ht="15.7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3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BO700" s="1"/>
    </row>
    <row r="701" spans="1:67" ht="15.7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3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BO701" s="1"/>
    </row>
    <row r="702" spans="1:67" ht="15.7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3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BO702" s="1"/>
    </row>
    <row r="703" spans="1:67" ht="15.7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3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BO703" s="1"/>
    </row>
    <row r="704" spans="1:67" ht="15.7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3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BO704" s="1"/>
    </row>
    <row r="705" spans="1:67" ht="15.7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3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BO705" s="1"/>
    </row>
    <row r="706" spans="1:67" ht="15.7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3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BO706" s="1"/>
    </row>
    <row r="707" spans="1:67" ht="15.7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3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BO707" s="1"/>
    </row>
    <row r="708" spans="1:67" ht="15.7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3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BO708" s="1"/>
    </row>
    <row r="709" spans="1:67" ht="15.7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3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BO709" s="1"/>
    </row>
    <row r="710" spans="1:67" ht="15.7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3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BO710" s="1"/>
    </row>
    <row r="711" spans="1:67" ht="15.7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3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BO711" s="1"/>
    </row>
    <row r="712" spans="1:67" ht="15.7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3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BO712" s="1"/>
    </row>
    <row r="713" spans="1:67" ht="15.7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3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BO713" s="1"/>
    </row>
    <row r="714" spans="1:67" ht="15.7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3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BO714" s="1"/>
    </row>
    <row r="715" spans="1:67" ht="15.7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3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BO715" s="1"/>
    </row>
    <row r="716" spans="1:67" ht="15.7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3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BO716" s="1"/>
    </row>
    <row r="717" spans="1:67" ht="15.7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3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BO717" s="1"/>
    </row>
    <row r="718" spans="1:67" ht="15.7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3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BO718" s="1"/>
    </row>
    <row r="719" spans="1:67" ht="15.7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3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BO719" s="1"/>
    </row>
    <row r="720" spans="1:67" ht="15.7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3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BO720" s="1"/>
    </row>
    <row r="721" spans="1:67" ht="15.7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3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BO721" s="1"/>
    </row>
    <row r="722" spans="1:67" ht="15.7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3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BO722" s="1"/>
    </row>
    <row r="723" spans="1:67" ht="15.7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3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BO723" s="1"/>
    </row>
    <row r="724" spans="1:67" ht="15.7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3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BO724" s="1"/>
    </row>
    <row r="725" spans="1:67" ht="15.7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3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BO725" s="1"/>
    </row>
    <row r="726" spans="1:67" ht="15.7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3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BO726" s="1"/>
    </row>
    <row r="727" spans="1:67" ht="15.7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3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BO727" s="1"/>
    </row>
    <row r="728" spans="1:67" ht="15.7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3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BO728" s="1"/>
    </row>
    <row r="729" spans="1:67" ht="15.7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3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BO729" s="1"/>
    </row>
    <row r="730" spans="1:67" ht="15.7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3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BO730" s="1"/>
    </row>
    <row r="731" spans="1:67" ht="15.7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3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BO731" s="1"/>
    </row>
    <row r="732" spans="1:67" ht="15.7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3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BO732" s="1"/>
    </row>
    <row r="733" spans="1:67" ht="15.7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3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BO733" s="1"/>
    </row>
    <row r="734" spans="1:67" ht="15.7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3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BO734" s="1"/>
    </row>
    <row r="735" spans="1:67" ht="15.7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3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BO735" s="1"/>
    </row>
    <row r="736" spans="1:67" ht="15.7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3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BO736" s="1"/>
    </row>
    <row r="737" spans="1:67" ht="15.7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3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BO737" s="1"/>
    </row>
    <row r="738" spans="1:67" ht="15.7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3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BO738" s="1"/>
    </row>
    <row r="739" spans="1:67" ht="15.7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3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BO739" s="1"/>
    </row>
    <row r="740" spans="1:67" ht="15.7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3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BO740" s="1"/>
    </row>
    <row r="741" spans="1:67" ht="15.7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3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BO741" s="1"/>
    </row>
    <row r="742" spans="1:67" ht="15.7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3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BO742" s="1"/>
    </row>
    <row r="743" spans="1:67" ht="15.7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3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BO743" s="1"/>
    </row>
    <row r="744" spans="1:67" ht="15.7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3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BO744" s="1"/>
    </row>
    <row r="745" spans="1:67" ht="15.7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3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BO745" s="1"/>
    </row>
    <row r="746" spans="1:67" ht="15.7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3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BO746" s="1"/>
    </row>
    <row r="747" spans="1:67" ht="15.7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3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BO747" s="1"/>
    </row>
    <row r="748" spans="1:67" ht="15.7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3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BO748" s="1"/>
    </row>
    <row r="749" spans="1:67" ht="15.7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3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BO749" s="1"/>
    </row>
    <row r="750" spans="1:67" ht="15.7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3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BO750" s="1"/>
    </row>
    <row r="751" spans="1:67" ht="15.7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3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BO751" s="1"/>
    </row>
    <row r="752" spans="1:67" ht="15.7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3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BO752" s="1"/>
    </row>
    <row r="753" spans="1:67" ht="15.7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3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BO753" s="1"/>
    </row>
    <row r="754" spans="1:67" ht="15.7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3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BO754" s="1"/>
    </row>
    <row r="755" spans="1:67" ht="15.7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3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BO755" s="1"/>
    </row>
    <row r="756" spans="1:67" ht="15.7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3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BO756" s="1"/>
    </row>
    <row r="757" spans="1:67" ht="15.7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3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BO757" s="1"/>
    </row>
    <row r="758" spans="1:67" ht="15.7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3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BO758" s="1"/>
    </row>
    <row r="759" spans="1:67" ht="15.7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3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BO759" s="1"/>
    </row>
    <row r="760" spans="1:67" ht="15.7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3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BO760" s="1"/>
    </row>
    <row r="761" spans="1:67" ht="15.7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3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BO761" s="1"/>
    </row>
    <row r="762" spans="1:67" ht="15.7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3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BO762" s="1"/>
    </row>
    <row r="763" spans="1:67" ht="15.7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3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BO763" s="1"/>
    </row>
    <row r="764" spans="1:67" ht="15.7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3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BO764" s="1"/>
    </row>
    <row r="765" spans="1:67" ht="15.7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3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BO765" s="1"/>
    </row>
    <row r="766" spans="1:67" ht="15.7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3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BO766" s="1"/>
    </row>
    <row r="767" spans="1:67" ht="15.7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3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BO767" s="1"/>
    </row>
    <row r="768" spans="1:67" ht="15.7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3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BO768" s="1"/>
    </row>
    <row r="769" spans="1:67" ht="15.7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3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BO769" s="1"/>
    </row>
    <row r="770" spans="1:67" ht="15.7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3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BO770" s="1"/>
    </row>
    <row r="771" spans="1:67" ht="15.7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3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BO771" s="1"/>
    </row>
    <row r="772" spans="1:67" ht="15.7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3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BO772" s="1"/>
    </row>
    <row r="773" spans="1:67" ht="15.7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3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BO773" s="1"/>
    </row>
    <row r="774" spans="1:67" ht="15.7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3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BO774" s="1"/>
    </row>
    <row r="775" spans="1:67" ht="15.7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3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BO775" s="1"/>
    </row>
    <row r="776" spans="1:67" ht="15.7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3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BO776" s="1"/>
    </row>
    <row r="777" spans="1:67" ht="15.7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3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BO777" s="1"/>
    </row>
    <row r="778" spans="1:67" ht="15.7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3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BO778" s="1"/>
    </row>
    <row r="779" spans="1:67" ht="15.7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3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BO779" s="1"/>
    </row>
    <row r="780" spans="1:67" ht="15.7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3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BO780" s="1"/>
    </row>
    <row r="781" spans="1:67" ht="15.7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3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BO781" s="1"/>
    </row>
    <row r="782" spans="1:67" ht="15.7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3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BO782" s="1"/>
    </row>
    <row r="783" spans="1:67" ht="15.7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3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BO783" s="1"/>
    </row>
    <row r="784" spans="1:67" ht="15.7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3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BO784" s="1"/>
    </row>
    <row r="785" spans="1:67" ht="15.7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3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BO785" s="1"/>
    </row>
    <row r="786" spans="1:67" ht="15.7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3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BO786" s="1"/>
    </row>
    <row r="787" spans="1:67" ht="15.7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3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BO787" s="1"/>
    </row>
    <row r="788" spans="1:67" ht="15.7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3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BO788" s="1"/>
    </row>
    <row r="789" spans="1:67" ht="15.7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3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BO789" s="1"/>
    </row>
    <row r="790" spans="1:67" ht="15.7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3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BO790" s="1"/>
    </row>
    <row r="791" spans="1:67" ht="15.7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3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BO791" s="1"/>
    </row>
    <row r="792" spans="1:67" ht="15.7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3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BO792" s="1"/>
    </row>
    <row r="793" spans="1:67" ht="15.7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3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BO793" s="1"/>
    </row>
    <row r="794" spans="1:67" ht="15.7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3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BO794" s="1"/>
    </row>
    <row r="795" spans="1:67" ht="15.7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3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BO795" s="1"/>
    </row>
    <row r="796" spans="1:67" ht="15.7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3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BO796" s="1"/>
    </row>
    <row r="797" spans="1:67" ht="15.7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3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BO797" s="1"/>
    </row>
    <row r="798" spans="1:67" ht="15.7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3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BO798" s="1"/>
    </row>
    <row r="799" spans="1:67" ht="15.7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3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BO799" s="1"/>
    </row>
    <row r="800" spans="1:67" ht="15.7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3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BO800" s="1"/>
    </row>
    <row r="801" spans="1:67" ht="15.7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3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BO801" s="1"/>
    </row>
    <row r="802" spans="1:67" ht="15.7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3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BO802" s="1"/>
    </row>
    <row r="803" spans="1:67" ht="15.7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3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BO803" s="1"/>
    </row>
    <row r="804" spans="1:67" ht="15.7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3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BO804" s="1"/>
    </row>
    <row r="805" spans="1:67" ht="15.7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3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BO805" s="1"/>
    </row>
    <row r="806" spans="1:67" ht="15.7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3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BO806" s="1"/>
    </row>
    <row r="807" spans="1:67" ht="15.7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3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BO807" s="1"/>
    </row>
    <row r="808" spans="1:67" ht="15.7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3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BO808" s="1"/>
    </row>
    <row r="809" spans="1:67" ht="15.7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3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BO809" s="1"/>
    </row>
    <row r="810" spans="1:67" ht="15.7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3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BO810" s="1"/>
    </row>
    <row r="811" spans="1:67" ht="15.7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3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BO811" s="1"/>
    </row>
    <row r="812" spans="1:67" ht="15.7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3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BO812" s="1"/>
    </row>
    <row r="813" spans="1:67" ht="15.7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3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BO813" s="1"/>
    </row>
    <row r="814" spans="1:67" ht="15.7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3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BO814" s="1"/>
    </row>
    <row r="815" spans="1:67" ht="15.7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3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BO815" s="1"/>
    </row>
    <row r="816" spans="1:67" ht="15.7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3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BO816" s="1"/>
    </row>
    <row r="817" spans="1:67" ht="15.7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3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BO817" s="1"/>
    </row>
    <row r="818" spans="1:67" ht="15.7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3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BO818" s="1"/>
    </row>
    <row r="819" spans="1:67" ht="15.7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3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BO819" s="1"/>
    </row>
    <row r="820" spans="1:67" ht="15.7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3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BO820" s="1"/>
    </row>
    <row r="821" spans="1:67" ht="15.7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3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BO821" s="1"/>
    </row>
    <row r="822" spans="1:67" ht="15.7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3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BO822" s="1"/>
    </row>
    <row r="823" spans="1:67" ht="15.7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3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BO823" s="1"/>
    </row>
    <row r="824" spans="1:67" ht="15.7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3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BO824" s="1"/>
    </row>
    <row r="825" spans="1:67" ht="15.7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3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BO825" s="1"/>
    </row>
    <row r="826" spans="1:67" ht="15.7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3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BO826" s="1"/>
    </row>
    <row r="827" spans="1:67" ht="15.7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3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BO827" s="1"/>
    </row>
    <row r="828" spans="1:67" ht="15.7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3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BO828" s="1"/>
    </row>
    <row r="829" spans="1:67" ht="15.7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3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BO829" s="1"/>
    </row>
    <row r="830" spans="1:67" ht="15.7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3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BO830" s="1"/>
    </row>
    <row r="831" spans="1:67" ht="15.7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3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BO831" s="1"/>
    </row>
    <row r="832" spans="1:67" ht="15.7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3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BO832" s="1"/>
    </row>
    <row r="833" spans="1:67" ht="15.7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3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BO833" s="1"/>
    </row>
    <row r="834" spans="1:67" ht="15.7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3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BO834" s="1"/>
    </row>
    <row r="835" spans="1:67" ht="15.7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3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BO835" s="1"/>
    </row>
    <row r="836" spans="1:67" ht="15.7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3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BO836" s="1"/>
    </row>
    <row r="837" spans="1:67" ht="15.7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3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BO837" s="1"/>
    </row>
    <row r="838" spans="1:67" ht="15.7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3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BO838" s="1"/>
    </row>
    <row r="839" spans="1:67" ht="15.7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3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BO839" s="1"/>
    </row>
    <row r="840" spans="1:67" ht="15.7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3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BO840" s="1"/>
    </row>
    <row r="841" spans="1:67" ht="15.7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3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BO841" s="1"/>
    </row>
    <row r="842" spans="1:67" ht="15.7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3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BO842" s="1"/>
    </row>
    <row r="843" spans="1:67" ht="15.7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3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BO843" s="1"/>
    </row>
    <row r="844" spans="1:67" ht="15.7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3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BO844" s="1"/>
    </row>
    <row r="845" spans="1:67" ht="15.7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3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BO845" s="1"/>
    </row>
    <row r="846" spans="1:67" ht="15.7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3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BO846" s="1"/>
    </row>
    <row r="847" spans="1:67" ht="15.7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3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BO847" s="1"/>
    </row>
    <row r="848" spans="1:67" ht="15.7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3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BO848" s="1"/>
    </row>
    <row r="849" spans="1:67" ht="15.7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3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BO849" s="1"/>
    </row>
    <row r="850" spans="1:67" ht="15.7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3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BO850" s="1"/>
    </row>
    <row r="851" spans="1:67" ht="15.7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3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BO851" s="1"/>
    </row>
    <row r="852" spans="1:67" ht="15.7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3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BO852" s="1"/>
    </row>
    <row r="853" spans="1:67" ht="15.7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3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BO853" s="1"/>
    </row>
    <row r="854" spans="1:67" ht="15.7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3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BO854" s="1"/>
    </row>
    <row r="855" spans="1:67" ht="15.7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3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BO855" s="1"/>
    </row>
    <row r="856" spans="1:67" ht="15.7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3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BO856" s="1"/>
    </row>
    <row r="857" spans="1:67" ht="15.7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3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BO857" s="1"/>
    </row>
    <row r="858" spans="1:67" ht="15.7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3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BO858" s="1"/>
    </row>
    <row r="859" spans="1:67" ht="15.7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3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BO859" s="1"/>
    </row>
    <row r="860" spans="1:67" ht="15.7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3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BO860" s="1"/>
    </row>
    <row r="861" spans="1:67" ht="15.7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3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BO861" s="1"/>
    </row>
    <row r="862" spans="1:67" ht="15.7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3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BO862" s="1"/>
    </row>
    <row r="863" spans="1:67" ht="15.7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3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BO863" s="1"/>
    </row>
    <row r="864" spans="1:67" ht="15.7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3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BO864" s="1"/>
    </row>
    <row r="865" spans="1:67" ht="15.7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3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BO865" s="1"/>
    </row>
    <row r="866" spans="1:67" ht="15.7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3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BO866" s="1"/>
    </row>
    <row r="867" spans="1:67" ht="15.7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3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BO867" s="1"/>
    </row>
    <row r="868" spans="1:67" ht="15.7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3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BO868" s="1"/>
    </row>
    <row r="869" spans="1:67" ht="15.7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3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BO869" s="1"/>
    </row>
    <row r="870" spans="1:67" ht="15.7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3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BO870" s="1"/>
    </row>
    <row r="871" spans="1:67" ht="15.7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3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BO871" s="1"/>
    </row>
    <row r="872" spans="1:67" ht="15.7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3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BO872" s="1"/>
    </row>
    <row r="873" spans="1:67" ht="15.7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3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BO873" s="1"/>
    </row>
    <row r="874" spans="1:67" ht="15.7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3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BO874" s="1"/>
    </row>
    <row r="875" spans="1:67" ht="15.7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3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BO875" s="1"/>
    </row>
    <row r="876" spans="1:67" ht="15.7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3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BO876" s="1"/>
    </row>
    <row r="877" spans="1:67" ht="15.7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3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BO877" s="1"/>
    </row>
    <row r="878" spans="1:67" ht="15.7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3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BO878" s="1"/>
    </row>
    <row r="879" spans="1:67" ht="15.7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3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BO879" s="1"/>
    </row>
    <row r="880" spans="1:67" ht="15.7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3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BO880" s="1"/>
    </row>
    <row r="881" spans="1:67" ht="15.7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3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BO881" s="1"/>
    </row>
    <row r="882" spans="1:67" ht="15.7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3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BO882" s="1"/>
    </row>
    <row r="883" spans="1:67" ht="15.7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3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BO883" s="1"/>
    </row>
    <row r="884" spans="1:67" ht="15.7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3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BO884" s="1"/>
    </row>
    <row r="885" spans="1:67" ht="15.7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3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BO885" s="1"/>
    </row>
    <row r="886" spans="1:67" ht="15.7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3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BO886" s="1"/>
    </row>
    <row r="887" spans="1:67" ht="15.7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3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BO887" s="1"/>
    </row>
    <row r="888" spans="1:67" ht="15.7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3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BO888" s="1"/>
    </row>
    <row r="889" spans="1:67" ht="15.7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3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BO889" s="1"/>
    </row>
    <row r="890" spans="1:67" ht="15.7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3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BO890" s="1"/>
    </row>
    <row r="891" spans="1:67" ht="15.7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3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BO891" s="1"/>
    </row>
    <row r="892" spans="1:67" ht="15.7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3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BO892" s="1"/>
    </row>
    <row r="893" spans="1:67" ht="15.7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3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BO893" s="1"/>
    </row>
    <row r="894" spans="1:67" ht="15.7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3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BO894" s="1"/>
    </row>
    <row r="895" spans="1:67" ht="15.7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3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BO895" s="1"/>
    </row>
    <row r="896" spans="1:67" ht="15.7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3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BO896" s="1"/>
    </row>
    <row r="897" spans="1:67" ht="15.7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3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BO897" s="1"/>
    </row>
    <row r="898" spans="1:67" ht="15.7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3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BO898" s="1"/>
    </row>
    <row r="899" spans="1:67" ht="15.7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3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BO899" s="1"/>
    </row>
    <row r="900" spans="1:67" ht="15.7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3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BO900" s="1"/>
    </row>
    <row r="901" spans="1:67" ht="15.7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3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BO901" s="1"/>
    </row>
    <row r="902" spans="1:67" ht="15.7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3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BO902" s="1"/>
    </row>
    <row r="903" spans="1:67" ht="15.7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3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BO903" s="1"/>
    </row>
    <row r="904" spans="1:67" ht="15.7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3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BO904" s="1"/>
    </row>
    <row r="905" spans="1:67" ht="15.7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3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BO905" s="1"/>
    </row>
    <row r="906" spans="1:67" ht="15.7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3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BO906" s="1"/>
    </row>
    <row r="907" spans="1:67" ht="15.7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3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BO907" s="1"/>
    </row>
    <row r="908" spans="1:67" ht="15.7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3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BO908" s="1"/>
    </row>
    <row r="909" spans="1:67" ht="15.7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3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BO909" s="1"/>
    </row>
  </sheetData>
  <mergeCells count="54">
    <mergeCell ref="BL3:BL4"/>
    <mergeCell ref="BM3:BM4"/>
    <mergeCell ref="BN3:BN4"/>
    <mergeCell ref="BO3:BO4"/>
    <mergeCell ref="AC3:AE3"/>
    <mergeCell ref="AF3:AH3"/>
    <mergeCell ref="AQ3:AQ4"/>
    <mergeCell ref="AR3:AR4"/>
    <mergeCell ref="AS3:AS4"/>
    <mergeCell ref="AJ3:AJ4"/>
    <mergeCell ref="AK3:AK4"/>
    <mergeCell ref="AL3:AL4"/>
    <mergeCell ref="AM3:AM4"/>
    <mergeCell ref="AN3:AN4"/>
    <mergeCell ref="AO3:AO4"/>
    <mergeCell ref="AP3:AP4"/>
    <mergeCell ref="AZ3:AZ4"/>
    <mergeCell ref="Z39:AA39"/>
    <mergeCell ref="AC39:AD39"/>
    <mergeCell ref="AF39:AG39"/>
    <mergeCell ref="AT3:AT4"/>
    <mergeCell ref="AU3:AU4"/>
    <mergeCell ref="Z3:AB3"/>
    <mergeCell ref="M19:N19"/>
    <mergeCell ref="P36:P37"/>
    <mergeCell ref="Q39:R39"/>
    <mergeCell ref="T39:U39"/>
    <mergeCell ref="W39:X39"/>
    <mergeCell ref="A1:A2"/>
    <mergeCell ref="B1:B2"/>
    <mergeCell ref="A3:A4"/>
    <mergeCell ref="B3:D3"/>
    <mergeCell ref="E3:H3"/>
    <mergeCell ref="BC3:BC4"/>
    <mergeCell ref="BD3:BD4"/>
    <mergeCell ref="BE3:BE4"/>
    <mergeCell ref="BF3:BF4"/>
    <mergeCell ref="I3:I4"/>
    <mergeCell ref="J3:J4"/>
    <mergeCell ref="BA3:BA4"/>
    <mergeCell ref="BB3:BB4"/>
    <mergeCell ref="P3:P4"/>
    <mergeCell ref="Q3:S3"/>
    <mergeCell ref="T3:V3"/>
    <mergeCell ref="W3:Y3"/>
    <mergeCell ref="AV3:AV4"/>
    <mergeCell ref="AW3:AW4"/>
    <mergeCell ref="AX3:AX4"/>
    <mergeCell ref="AY3:AY4"/>
    <mergeCell ref="BK3:BK4"/>
    <mergeCell ref="BG3:BG4"/>
    <mergeCell ref="BJ3:BJ4"/>
    <mergeCell ref="BI3:BI4"/>
    <mergeCell ref="BH3:BH4"/>
  </mergeCells>
  <phoneticPr fontId="7"/>
  <dataValidations count="5">
    <dataValidation type="list" allowBlank="1" showErrorMessage="1" sqref="Q5:Q6 T5:T35 W5:W35 Z5:Z35 AC5:AC35 AF5:AF35" xr:uid="{F4A13396-16D4-4993-B1BF-5862F137E939}">
      <formula1>入時間</formula1>
    </dataValidation>
    <dataValidation type="list" allowBlank="1" showErrorMessage="1" sqref="R5:R35 U5:U35 X5:X35 AA5:AA35 AD5:AD35 AG5:AG35" xr:uid="{B1515165-9B16-470A-8842-1938D5D921E0}">
      <formula1>出時間</formula1>
    </dataValidation>
    <dataValidation type="list" allowBlank="1" showErrorMessage="1" sqref="Q3:AH3 AK3:AW4 BO3:BO4 AX3:BN3" xr:uid="{EC3B719B-DFBD-4881-8975-29DDC1C5479C}">
      <formula1>名前</formula1>
    </dataValidation>
    <dataValidation type="list" allowBlank="1" showErrorMessage="1" sqref="Q7:Q35" xr:uid="{00000000-0002-0000-0100-000002000000}">
      <formula1>#REF!</formula1>
    </dataValidation>
    <dataValidation type="list" allowBlank="1" showErrorMessage="1" sqref="S5:S35 V5:V35 Y5:Y35 AB5:AB35 AE5:AE35 AH5:AH35" xr:uid="{C73A2595-E462-4EF5-B431-9E63D026727F}">
      <formula1>"　,済"</formula1>
    </dataValidation>
  </dataValidations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8AD4-3488-474C-950A-F238A3C505C6}">
  <dimension ref="A1:BP60"/>
  <sheetViews>
    <sheetView topLeftCell="AC1" zoomScale="75" workbookViewId="0">
      <selection activeCell="N20" sqref="N20:N21"/>
    </sheetView>
  </sheetViews>
  <sheetFormatPr baseColWidth="10" defaultRowHeight="20"/>
  <cols>
    <col min="1" max="1" width="17.5703125" customWidth="1"/>
    <col min="55" max="55" width="15.7109375" bestFit="1" customWidth="1"/>
    <col min="64" max="64" width="10.7109375" style="1"/>
  </cols>
  <sheetData>
    <row r="1" spans="1:68">
      <c r="A1" s="498">
        <v>2020</v>
      </c>
      <c r="B1" s="500">
        <v>9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M1" s="1"/>
      <c r="BN1" s="1"/>
      <c r="BO1" s="1"/>
      <c r="BP1" s="1"/>
    </row>
    <row r="2" spans="1:68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M2" s="1"/>
      <c r="BN2" s="1"/>
      <c r="BO2" s="1"/>
      <c r="BP2" s="1"/>
    </row>
    <row r="3" spans="1:68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184</v>
      </c>
      <c r="AV3" s="494">
        <v>0.3</v>
      </c>
      <c r="AW3" s="496" t="s">
        <v>139</v>
      </c>
      <c r="AX3" s="494">
        <v>0.3</v>
      </c>
      <c r="AY3" s="527" t="s">
        <v>213</v>
      </c>
      <c r="AZ3" s="494">
        <v>0.3</v>
      </c>
      <c r="BA3" s="492" t="s">
        <v>199</v>
      </c>
      <c r="BB3" s="494">
        <v>0.3</v>
      </c>
      <c r="BC3" s="496" t="s">
        <v>225</v>
      </c>
      <c r="BD3" s="494">
        <v>0.3</v>
      </c>
      <c r="BE3" s="566" t="s">
        <v>231</v>
      </c>
      <c r="BF3" s="571">
        <v>0.3</v>
      </c>
      <c r="BG3" s="496" t="s">
        <v>74</v>
      </c>
      <c r="BH3" s="496" t="s">
        <v>201</v>
      </c>
      <c r="BI3" s="496" t="s">
        <v>222</v>
      </c>
      <c r="BJ3" s="496" t="s">
        <v>165</v>
      </c>
      <c r="BK3" s="496" t="s">
        <v>145</v>
      </c>
      <c r="BL3" s="496" t="s">
        <v>207</v>
      </c>
      <c r="BM3" s="496" t="s">
        <v>120</v>
      </c>
      <c r="BN3" s="570" t="s">
        <v>188</v>
      </c>
      <c r="BO3" s="570" t="s">
        <v>227</v>
      </c>
      <c r="BP3" s="570" t="s">
        <v>135</v>
      </c>
    </row>
    <row r="4" spans="1:68" ht="21" thickBot="1">
      <c r="A4" s="502"/>
      <c r="B4" s="9"/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567"/>
      <c r="BF4" s="496"/>
      <c r="BG4" s="497"/>
      <c r="BH4" s="497"/>
      <c r="BI4" s="497"/>
      <c r="BJ4" s="497"/>
      <c r="BK4" s="497"/>
      <c r="BL4" s="497"/>
      <c r="BM4" s="497"/>
      <c r="BN4" s="580"/>
      <c r="BO4" s="580"/>
      <c r="BP4" s="580"/>
    </row>
    <row r="5" spans="1:68" ht="21" thickTop="1">
      <c r="A5" s="21">
        <f t="shared" ref="A5:A35" si="0">IF(DAY(DATE($A$1,$B$1,ROW()-4))=ROW()-4,DATE($A$1,$B$1,ROW()-4),"")</f>
        <v>44075</v>
      </c>
      <c r="B5" s="23">
        <v>60000</v>
      </c>
      <c r="C5" s="23"/>
      <c r="D5" s="24">
        <f t="shared" ref="D5:D35" si="1">B5+C5</f>
        <v>60000</v>
      </c>
      <c r="E5" s="25"/>
      <c r="F5" s="26"/>
      <c r="G5" s="27"/>
      <c r="H5" s="28">
        <f t="shared" ref="H5:H23" si="2">E5+F5+G5</f>
        <v>0</v>
      </c>
      <c r="I5" s="27"/>
      <c r="J5" s="28" t="str">
        <f t="shared" ref="J5:J35" si="3">IFERROR(B5/I5, "")</f>
        <v/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44075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44075</v>
      </c>
      <c r="AK5" s="35"/>
      <c r="AL5" s="138"/>
      <c r="AM5" s="139"/>
      <c r="AN5" s="138"/>
      <c r="AO5" s="140"/>
      <c r="AP5" s="138"/>
      <c r="AQ5" s="141"/>
      <c r="AR5" s="138"/>
      <c r="AS5" s="142"/>
      <c r="AT5" s="138"/>
      <c r="AU5" s="143"/>
      <c r="AV5" s="138"/>
      <c r="AW5" s="144"/>
      <c r="AX5" s="138"/>
      <c r="AY5" s="145"/>
      <c r="AZ5" s="138"/>
      <c r="BA5" s="146"/>
      <c r="BB5" s="138"/>
      <c r="BC5" s="144"/>
      <c r="BD5" s="138"/>
      <c r="BE5" s="184"/>
      <c r="BF5" s="158"/>
      <c r="BG5" s="158"/>
      <c r="BH5" s="158"/>
      <c r="BI5" s="158"/>
      <c r="BJ5" s="158"/>
      <c r="BK5" s="158"/>
      <c r="BL5" s="158"/>
      <c r="BM5" s="158"/>
      <c r="BN5" s="305"/>
      <c r="BO5" s="161"/>
      <c r="BP5" s="138"/>
    </row>
    <row r="6" spans="1:68">
      <c r="A6" s="21">
        <f t="shared" si="0"/>
        <v>44076</v>
      </c>
      <c r="B6" s="38">
        <v>0</v>
      </c>
      <c r="C6" s="23"/>
      <c r="D6" s="39">
        <f t="shared" si="1"/>
        <v>0</v>
      </c>
      <c r="E6" s="40">
        <v>55316</v>
      </c>
      <c r="F6" s="35">
        <v>1089</v>
      </c>
      <c r="G6" s="27"/>
      <c r="H6" s="28">
        <f t="shared" si="2"/>
        <v>56405</v>
      </c>
      <c r="I6" s="35"/>
      <c r="J6" s="41" t="str">
        <f t="shared" si="3"/>
        <v/>
      </c>
      <c r="K6" s="29"/>
      <c r="L6" s="5"/>
      <c r="M6" s="30" t="s">
        <v>24</v>
      </c>
      <c r="N6" s="31" t="s">
        <v>25</v>
      </c>
      <c r="O6" s="7"/>
      <c r="P6" s="32">
        <f t="shared" si="4"/>
        <v>44076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44076</v>
      </c>
      <c r="AK6" s="35"/>
      <c r="AL6" s="138"/>
      <c r="AM6" s="139"/>
      <c r="AN6" s="138"/>
      <c r="AO6" s="143">
        <v>60000</v>
      </c>
      <c r="AP6" s="138"/>
      <c r="AQ6" s="147"/>
      <c r="AR6" s="138"/>
      <c r="AS6" s="142"/>
      <c r="AT6" s="138"/>
      <c r="AU6" s="143"/>
      <c r="AV6" s="138"/>
      <c r="AW6" s="147"/>
      <c r="AX6" s="138"/>
      <c r="AY6" s="145"/>
      <c r="AZ6" s="138"/>
      <c r="BA6" s="146"/>
      <c r="BB6" s="138"/>
      <c r="BC6" s="144"/>
      <c r="BD6" s="138"/>
      <c r="BE6" s="184"/>
      <c r="BF6" s="158"/>
      <c r="BG6" s="158"/>
      <c r="BH6" s="158"/>
      <c r="BI6" s="158"/>
      <c r="BJ6" s="158"/>
      <c r="BK6" s="158"/>
      <c r="BL6" s="158"/>
      <c r="BM6" s="158"/>
      <c r="BN6" s="172"/>
      <c r="BO6" s="161"/>
      <c r="BP6" s="138"/>
    </row>
    <row r="7" spans="1:68">
      <c r="A7" s="21">
        <f t="shared" si="0"/>
        <v>44077</v>
      </c>
      <c r="B7" s="38">
        <v>72000</v>
      </c>
      <c r="C7" s="23">
        <v>3500</v>
      </c>
      <c r="D7" s="39">
        <f t="shared" si="1"/>
        <v>75500</v>
      </c>
      <c r="E7" s="40"/>
      <c r="F7" s="35"/>
      <c r="G7" s="27"/>
      <c r="H7" s="28">
        <f t="shared" si="2"/>
        <v>0</v>
      </c>
      <c r="I7" s="35"/>
      <c r="J7" s="41" t="str">
        <f t="shared" si="3"/>
        <v/>
      </c>
      <c r="K7" s="29"/>
      <c r="L7" s="5"/>
      <c r="M7" s="6"/>
      <c r="N7" s="7"/>
      <c r="O7" s="7"/>
      <c r="P7" s="32">
        <f t="shared" si="4"/>
        <v>44077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44077</v>
      </c>
      <c r="AK7" s="35"/>
      <c r="AL7" s="138"/>
      <c r="AM7" s="139"/>
      <c r="AN7" s="138"/>
      <c r="AO7" s="143">
        <v>34500</v>
      </c>
      <c r="AP7" s="138"/>
      <c r="AQ7" s="147"/>
      <c r="AR7" s="138"/>
      <c r="AS7" s="142"/>
      <c r="AT7" s="138"/>
      <c r="AU7" s="139">
        <v>31000</v>
      </c>
      <c r="AV7" s="138"/>
      <c r="AW7" s="148">
        <v>5000</v>
      </c>
      <c r="AX7" s="138"/>
      <c r="AY7" s="149"/>
      <c r="AZ7" s="138"/>
      <c r="BA7" s="149"/>
      <c r="BB7" s="138"/>
      <c r="BC7" s="150"/>
      <c r="BD7" s="138"/>
      <c r="BE7" s="185"/>
      <c r="BF7" s="158"/>
      <c r="BG7" s="158">
        <v>5000</v>
      </c>
      <c r="BH7" s="158"/>
      <c r="BI7" s="158"/>
      <c r="BJ7" s="158"/>
      <c r="BK7" s="158"/>
      <c r="BL7" s="158"/>
      <c r="BM7" s="158"/>
      <c r="BN7" s="172"/>
      <c r="BO7" s="162"/>
      <c r="BP7" s="138"/>
    </row>
    <row r="8" spans="1:68">
      <c r="A8" s="21">
        <f t="shared" si="0"/>
        <v>44078</v>
      </c>
      <c r="B8" s="38">
        <v>65000</v>
      </c>
      <c r="C8" s="23"/>
      <c r="D8" s="39">
        <f t="shared" si="1"/>
        <v>65000</v>
      </c>
      <c r="E8" s="40">
        <v>6380</v>
      </c>
      <c r="F8" s="35"/>
      <c r="G8" s="27"/>
      <c r="H8" s="28">
        <f t="shared" si="2"/>
        <v>6380</v>
      </c>
      <c r="I8" s="35"/>
      <c r="J8" s="41" t="str">
        <f t="shared" si="3"/>
        <v/>
      </c>
      <c r="K8" s="29"/>
      <c r="L8" s="5"/>
      <c r="M8" s="45"/>
      <c r="N8" s="46"/>
      <c r="O8" s="7"/>
      <c r="P8" s="32">
        <f t="shared" si="4"/>
        <v>44078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44078</v>
      </c>
      <c r="AK8" s="35"/>
      <c r="AL8" s="138"/>
      <c r="AM8" s="139"/>
      <c r="AN8" s="138"/>
      <c r="AO8" s="143">
        <v>41000</v>
      </c>
      <c r="AP8" s="138"/>
      <c r="AQ8" s="147">
        <v>24000</v>
      </c>
      <c r="AR8" s="138"/>
      <c r="AS8" s="142"/>
      <c r="AT8" s="138"/>
      <c r="AU8" s="139"/>
      <c r="AV8" s="138"/>
      <c r="AW8" s="151"/>
      <c r="AX8" s="138"/>
      <c r="AY8" s="149"/>
      <c r="AZ8" s="138"/>
      <c r="BA8" s="149"/>
      <c r="BB8" s="138"/>
      <c r="BC8" s="149"/>
      <c r="BD8" s="138"/>
      <c r="BE8" s="146"/>
      <c r="BF8" s="158"/>
      <c r="BG8" s="158"/>
      <c r="BH8" s="158"/>
      <c r="BI8" s="158"/>
      <c r="BJ8" s="158"/>
      <c r="BK8" s="158"/>
      <c r="BL8" s="158"/>
      <c r="BM8" s="158"/>
      <c r="BN8" s="173"/>
      <c r="BO8" s="149"/>
      <c r="BP8" s="138"/>
    </row>
    <row r="9" spans="1:68">
      <c r="A9" s="21">
        <f t="shared" si="0"/>
        <v>44079</v>
      </c>
      <c r="B9" s="38">
        <v>75000</v>
      </c>
      <c r="C9" s="23">
        <v>5000</v>
      </c>
      <c r="D9" s="39">
        <f t="shared" si="1"/>
        <v>80000</v>
      </c>
      <c r="E9" s="40"/>
      <c r="F9" s="35"/>
      <c r="G9" s="27"/>
      <c r="H9" s="28">
        <f t="shared" si="2"/>
        <v>0</v>
      </c>
      <c r="I9" s="35"/>
      <c r="J9" s="41" t="str">
        <f t="shared" si="3"/>
        <v/>
      </c>
      <c r="K9" s="29"/>
      <c r="L9" s="5"/>
      <c r="M9" s="296" t="s">
        <v>80</v>
      </c>
      <c r="N9" s="297">
        <v>22000</v>
      </c>
      <c r="O9" s="6"/>
      <c r="P9" s="32">
        <f t="shared" si="4"/>
        <v>44079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44079</v>
      </c>
      <c r="AK9" s="35"/>
      <c r="AL9" s="138"/>
      <c r="AM9" s="139"/>
      <c r="AN9" s="138"/>
      <c r="AO9" s="139">
        <v>20000</v>
      </c>
      <c r="AP9" s="138"/>
      <c r="AQ9" s="152">
        <v>19000</v>
      </c>
      <c r="AR9" s="138"/>
      <c r="AS9" s="139"/>
      <c r="AT9" s="138"/>
      <c r="AU9" s="139"/>
      <c r="AV9" s="138"/>
      <c r="AW9" s="151">
        <v>13000</v>
      </c>
      <c r="AX9" s="138"/>
      <c r="AY9" s="149">
        <v>3000</v>
      </c>
      <c r="AZ9" s="138"/>
      <c r="BA9" s="149">
        <v>18000</v>
      </c>
      <c r="BB9" s="138"/>
      <c r="BC9" s="149"/>
      <c r="BD9" s="138"/>
      <c r="BE9" s="146"/>
      <c r="BF9" s="158"/>
      <c r="BG9" s="158"/>
      <c r="BH9" s="158">
        <v>7000</v>
      </c>
      <c r="BI9" s="158"/>
      <c r="BJ9" s="158"/>
      <c r="BK9" s="158"/>
      <c r="BL9" s="158"/>
      <c r="BM9" s="158"/>
      <c r="BN9" s="166"/>
      <c r="BO9" s="149"/>
      <c r="BP9" s="138"/>
    </row>
    <row r="10" spans="1:68">
      <c r="A10" s="21">
        <f t="shared" si="0"/>
        <v>44080</v>
      </c>
      <c r="B10" s="38">
        <v>140000</v>
      </c>
      <c r="C10" s="23"/>
      <c r="D10" s="39">
        <f t="shared" si="1"/>
        <v>140000</v>
      </c>
      <c r="E10" s="40">
        <v>32322</v>
      </c>
      <c r="F10" s="35">
        <v>2207</v>
      </c>
      <c r="G10" s="27"/>
      <c r="H10" s="28">
        <f t="shared" si="2"/>
        <v>34529</v>
      </c>
      <c r="I10" s="35"/>
      <c r="J10" s="41" t="str">
        <f t="shared" si="3"/>
        <v/>
      </c>
      <c r="K10" s="29"/>
      <c r="L10" s="5"/>
      <c r="M10" s="256"/>
      <c r="N10" s="257"/>
      <c r="O10" s="7"/>
      <c r="P10" s="32">
        <f t="shared" si="4"/>
        <v>44080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44080</v>
      </c>
      <c r="AK10" s="35">
        <v>30000</v>
      </c>
      <c r="AL10" s="138">
        <v>50000</v>
      </c>
      <c r="AM10" s="139"/>
      <c r="AN10" s="138"/>
      <c r="AO10" s="139">
        <v>52000</v>
      </c>
      <c r="AP10" s="138"/>
      <c r="AQ10" s="139">
        <v>8000</v>
      </c>
      <c r="AR10" s="138"/>
      <c r="AS10" s="139"/>
      <c r="AT10" s="138"/>
      <c r="AU10" s="139"/>
      <c r="AV10" s="138"/>
      <c r="AW10" s="151"/>
      <c r="AX10" s="138"/>
      <c r="AY10" s="149"/>
      <c r="AZ10" s="138"/>
      <c r="BA10" s="149"/>
      <c r="BB10" s="138"/>
      <c r="BC10" s="149"/>
      <c r="BD10" s="138"/>
      <c r="BE10" s="146"/>
      <c r="BF10" s="158"/>
      <c r="BG10" s="158"/>
      <c r="BH10" s="158"/>
      <c r="BI10" s="158"/>
      <c r="BJ10" s="158"/>
      <c r="BK10" s="158"/>
      <c r="BL10" s="158"/>
      <c r="BM10" s="158"/>
      <c r="BN10" s="166"/>
      <c r="BO10" s="149"/>
      <c r="BP10" s="138"/>
    </row>
    <row r="11" spans="1:68">
      <c r="A11" s="21">
        <f t="shared" si="0"/>
        <v>44081</v>
      </c>
      <c r="B11" s="38">
        <v>128000</v>
      </c>
      <c r="C11" s="23"/>
      <c r="D11" s="39">
        <f t="shared" si="1"/>
        <v>128000</v>
      </c>
      <c r="E11" s="40">
        <v>8448</v>
      </c>
      <c r="F11" s="35">
        <v>1000</v>
      </c>
      <c r="G11" s="27"/>
      <c r="H11" s="28">
        <f t="shared" si="2"/>
        <v>9448</v>
      </c>
      <c r="I11" s="35"/>
      <c r="J11" s="41" t="str">
        <f t="shared" si="3"/>
        <v/>
      </c>
      <c r="K11" s="29"/>
      <c r="L11" s="5"/>
      <c r="M11" s="6"/>
      <c r="N11" s="7"/>
      <c r="O11" s="7"/>
      <c r="P11" s="32">
        <f t="shared" si="4"/>
        <v>44081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44081</v>
      </c>
      <c r="AK11" s="35"/>
      <c r="AL11" s="138"/>
      <c r="AM11" s="139">
        <v>30000</v>
      </c>
      <c r="AN11" s="138"/>
      <c r="AO11" s="139">
        <v>28000</v>
      </c>
      <c r="AP11" s="138">
        <v>20000</v>
      </c>
      <c r="AQ11" s="139">
        <v>8000</v>
      </c>
      <c r="AR11" s="138"/>
      <c r="AS11" s="139"/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59"/>
      <c r="BG11" s="159"/>
      <c r="BH11" s="159"/>
      <c r="BI11" s="159">
        <v>42000</v>
      </c>
      <c r="BJ11" s="159"/>
      <c r="BK11" s="159"/>
      <c r="BL11" s="159"/>
      <c r="BM11" s="159"/>
      <c r="BN11" s="138"/>
      <c r="BO11" s="149"/>
      <c r="BP11" s="138"/>
    </row>
    <row r="12" spans="1:68">
      <c r="A12" s="21">
        <f t="shared" si="0"/>
        <v>44082</v>
      </c>
      <c r="B12" s="38">
        <v>0</v>
      </c>
      <c r="C12" s="23"/>
      <c r="D12" s="39">
        <f t="shared" si="1"/>
        <v>0</v>
      </c>
      <c r="E12" s="40"/>
      <c r="F12" s="35"/>
      <c r="G12" s="27"/>
      <c r="H12" s="28">
        <f t="shared" si="2"/>
        <v>0</v>
      </c>
      <c r="I12" s="35"/>
      <c r="J12" s="41" t="str">
        <f t="shared" si="3"/>
        <v/>
      </c>
      <c r="K12" s="29"/>
      <c r="L12" s="5"/>
      <c r="M12" s="6"/>
      <c r="N12" s="7"/>
      <c r="O12" s="7"/>
      <c r="P12" s="32">
        <f t="shared" si="4"/>
        <v>44082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44082</v>
      </c>
      <c r="AK12" s="35"/>
      <c r="AL12" s="138"/>
      <c r="AM12" s="139"/>
      <c r="AN12" s="138"/>
      <c r="AO12" s="139"/>
      <c r="AP12" s="138"/>
      <c r="AQ12" s="139"/>
      <c r="AR12" s="138"/>
      <c r="AS12" s="139"/>
      <c r="AT12" s="138"/>
      <c r="AU12" s="139"/>
      <c r="AV12" s="138"/>
      <c r="AW12" s="151"/>
      <c r="AX12" s="138"/>
      <c r="AY12" s="149"/>
      <c r="AZ12" s="138"/>
      <c r="BA12" s="149"/>
      <c r="BB12" s="138"/>
      <c r="BC12" s="149"/>
      <c r="BD12" s="138"/>
      <c r="BE12" s="149"/>
      <c r="BF12" s="138"/>
      <c r="BG12" s="138"/>
      <c r="BH12" s="138"/>
      <c r="BI12" s="138"/>
      <c r="BJ12" s="138"/>
      <c r="BK12" s="138"/>
      <c r="BL12" s="138"/>
      <c r="BM12" s="138"/>
      <c r="BN12" s="138"/>
      <c r="BO12" s="149"/>
      <c r="BP12" s="138"/>
    </row>
    <row r="13" spans="1:68">
      <c r="A13" s="21">
        <f t="shared" si="0"/>
        <v>44083</v>
      </c>
      <c r="B13" s="38">
        <v>32500</v>
      </c>
      <c r="C13" s="23">
        <v>50000</v>
      </c>
      <c r="D13" s="39">
        <f t="shared" si="1"/>
        <v>82500</v>
      </c>
      <c r="E13" s="40"/>
      <c r="F13" s="35">
        <v>330</v>
      </c>
      <c r="G13" s="27"/>
      <c r="H13" s="28">
        <f t="shared" si="2"/>
        <v>330</v>
      </c>
      <c r="I13" s="35"/>
      <c r="J13" s="41" t="str">
        <f t="shared" si="3"/>
        <v/>
      </c>
      <c r="K13" s="29"/>
      <c r="L13" s="5"/>
      <c r="M13" s="6"/>
      <c r="N13" s="7"/>
      <c r="O13" s="7"/>
      <c r="P13" s="32">
        <f t="shared" si="4"/>
        <v>44083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44083</v>
      </c>
      <c r="AK13" s="35"/>
      <c r="AL13" s="138"/>
      <c r="AM13" s="139"/>
      <c r="AN13" s="138"/>
      <c r="AO13" s="139">
        <v>80000</v>
      </c>
      <c r="AP13" s="138"/>
      <c r="AQ13" s="139"/>
      <c r="AR13" s="138"/>
      <c r="AS13" s="139"/>
      <c r="AT13" s="138"/>
      <c r="AU13" s="139"/>
      <c r="AV13" s="138"/>
      <c r="AW13" s="151">
        <v>2500</v>
      </c>
      <c r="AX13" s="138"/>
      <c r="AY13" s="149"/>
      <c r="AZ13" s="138"/>
      <c r="BA13" s="149"/>
      <c r="BB13" s="138"/>
      <c r="BC13" s="149"/>
      <c r="BD13" s="138"/>
      <c r="BE13" s="149"/>
      <c r="BF13" s="138"/>
      <c r="BG13" s="138"/>
      <c r="BH13" s="138"/>
      <c r="BI13" s="138"/>
      <c r="BJ13" s="138"/>
      <c r="BK13" s="138"/>
      <c r="BL13" s="138"/>
      <c r="BM13" s="138"/>
      <c r="BN13" s="138"/>
      <c r="BO13" s="149"/>
      <c r="BP13" s="138"/>
    </row>
    <row r="14" spans="1:68">
      <c r="A14" s="21">
        <f t="shared" si="0"/>
        <v>44084</v>
      </c>
      <c r="B14" s="38">
        <v>82000</v>
      </c>
      <c r="C14" s="23">
        <v>26000</v>
      </c>
      <c r="D14" s="39">
        <f t="shared" si="1"/>
        <v>108000</v>
      </c>
      <c r="E14" s="40">
        <f>16581+2816</f>
        <v>19397</v>
      </c>
      <c r="F14" s="44"/>
      <c r="G14" s="27"/>
      <c r="H14" s="28">
        <f t="shared" si="2"/>
        <v>19397</v>
      </c>
      <c r="I14" s="35"/>
      <c r="J14" s="41" t="str">
        <f t="shared" si="3"/>
        <v/>
      </c>
      <c r="K14" s="29"/>
      <c r="L14" s="5"/>
      <c r="M14" s="6"/>
      <c r="N14" s="7"/>
      <c r="O14" s="7"/>
      <c r="P14" s="32">
        <f t="shared" si="4"/>
        <v>44084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44084</v>
      </c>
      <c r="AK14" s="35"/>
      <c r="AL14" s="138"/>
      <c r="AM14" s="139">
        <v>6000</v>
      </c>
      <c r="AN14" s="138">
        <v>20000</v>
      </c>
      <c r="AO14" s="139">
        <v>32000</v>
      </c>
      <c r="AP14" s="138"/>
      <c r="AQ14" s="139"/>
      <c r="AR14" s="138"/>
      <c r="AS14" s="139"/>
      <c r="AT14" s="138"/>
      <c r="AU14" s="139">
        <v>30000</v>
      </c>
      <c r="AV14" s="138"/>
      <c r="AW14" s="151">
        <v>11000</v>
      </c>
      <c r="AX14" s="138"/>
      <c r="AY14" s="149"/>
      <c r="AZ14" s="138"/>
      <c r="BA14" s="149"/>
      <c r="BB14" s="138"/>
      <c r="BC14" s="149"/>
      <c r="BD14" s="138"/>
      <c r="BE14" s="149"/>
      <c r="BF14" s="138"/>
      <c r="BG14" s="138">
        <v>3000</v>
      </c>
      <c r="BH14" s="138"/>
      <c r="BI14" s="138"/>
      <c r="BJ14" s="138"/>
      <c r="BK14" s="138"/>
      <c r="BL14" s="138"/>
      <c r="BM14" s="138"/>
      <c r="BN14" s="138"/>
      <c r="BO14" s="149"/>
      <c r="BP14" s="138"/>
    </row>
    <row r="15" spans="1:68">
      <c r="A15" s="21">
        <f t="shared" si="0"/>
        <v>44085</v>
      </c>
      <c r="B15" s="38">
        <v>135000</v>
      </c>
      <c r="C15" s="23">
        <v>110000</v>
      </c>
      <c r="D15" s="39">
        <f t="shared" si="1"/>
        <v>245000</v>
      </c>
      <c r="E15" s="40">
        <v>11686</v>
      </c>
      <c r="F15" s="35"/>
      <c r="G15" s="27"/>
      <c r="H15" s="28">
        <f t="shared" si="2"/>
        <v>11686</v>
      </c>
      <c r="I15" s="35"/>
      <c r="J15" s="41" t="str">
        <f t="shared" si="3"/>
        <v/>
      </c>
      <c r="K15" s="29"/>
      <c r="L15" s="5"/>
      <c r="M15" s="6"/>
      <c r="N15" s="7"/>
      <c r="O15" s="7"/>
      <c r="P15" s="32">
        <f t="shared" si="4"/>
        <v>44085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44085</v>
      </c>
      <c r="AK15" s="35"/>
      <c r="AL15" s="138"/>
      <c r="AM15" s="139"/>
      <c r="AN15" s="138">
        <v>10000</v>
      </c>
      <c r="AO15" s="139">
        <v>31000</v>
      </c>
      <c r="AP15" s="138"/>
      <c r="AQ15" s="139">
        <v>27000</v>
      </c>
      <c r="AR15" s="138"/>
      <c r="AS15" s="139"/>
      <c r="AT15" s="138"/>
      <c r="AU15" s="139">
        <v>8000</v>
      </c>
      <c r="AV15" s="138"/>
      <c r="AW15" s="151">
        <v>79000</v>
      </c>
      <c r="AX15" s="138">
        <v>45000</v>
      </c>
      <c r="AY15" s="149"/>
      <c r="AZ15" s="138"/>
      <c r="BA15" s="149"/>
      <c r="BB15" s="138"/>
      <c r="BC15" s="149">
        <v>35000</v>
      </c>
      <c r="BD15" s="138"/>
      <c r="BE15" s="149"/>
      <c r="BF15" s="138"/>
      <c r="BG15" s="138"/>
      <c r="BH15" s="138"/>
      <c r="BI15" s="138"/>
      <c r="BJ15" s="138"/>
      <c r="BK15" s="138">
        <v>10000</v>
      </c>
      <c r="BL15" s="138"/>
      <c r="BM15" s="138"/>
      <c r="BN15" s="138"/>
      <c r="BO15" s="149"/>
      <c r="BP15" s="138"/>
    </row>
    <row r="16" spans="1:68">
      <c r="A16" s="21">
        <f t="shared" si="0"/>
        <v>44086</v>
      </c>
      <c r="B16" s="38">
        <v>117000</v>
      </c>
      <c r="C16" s="23"/>
      <c r="D16" s="39">
        <f t="shared" si="1"/>
        <v>117000</v>
      </c>
      <c r="E16" s="40">
        <v>47904</v>
      </c>
      <c r="F16" s="35">
        <v>534</v>
      </c>
      <c r="G16" s="27"/>
      <c r="H16" s="28">
        <f t="shared" si="2"/>
        <v>48438</v>
      </c>
      <c r="I16" s="35"/>
      <c r="J16" s="41" t="str">
        <f t="shared" si="3"/>
        <v/>
      </c>
      <c r="K16" s="29"/>
      <c r="L16" s="5"/>
      <c r="M16" s="6"/>
      <c r="N16" s="7"/>
      <c r="O16" s="7"/>
      <c r="P16" s="32">
        <f t="shared" si="4"/>
        <v>44086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44086</v>
      </c>
      <c r="AK16" s="35"/>
      <c r="AL16" s="138"/>
      <c r="AM16" s="139"/>
      <c r="AN16" s="138"/>
      <c r="AO16" s="139">
        <v>10000</v>
      </c>
      <c r="AP16" s="138"/>
      <c r="AQ16" s="139">
        <v>40000</v>
      </c>
      <c r="AR16" s="138"/>
      <c r="AS16" s="139"/>
      <c r="AT16" s="138"/>
      <c r="AU16" s="139"/>
      <c r="AV16" s="138"/>
      <c r="AW16" s="151">
        <v>28000</v>
      </c>
      <c r="AX16" s="138"/>
      <c r="AY16" s="149">
        <v>13000</v>
      </c>
      <c r="AZ16" s="138"/>
      <c r="BA16" s="149">
        <v>14000</v>
      </c>
      <c r="BB16" s="138"/>
      <c r="BC16" s="149"/>
      <c r="BD16" s="138"/>
      <c r="BE16" s="149"/>
      <c r="BF16" s="138"/>
      <c r="BG16" s="138">
        <v>9000</v>
      </c>
      <c r="BH16" s="138"/>
      <c r="BI16" s="138"/>
      <c r="BJ16" s="138"/>
      <c r="BK16" s="138"/>
      <c r="BL16" s="138"/>
      <c r="BM16" s="138">
        <v>3000</v>
      </c>
      <c r="BN16" s="138"/>
      <c r="BO16" s="149"/>
      <c r="BP16" s="138"/>
    </row>
    <row r="17" spans="1:68">
      <c r="A17" s="21">
        <f t="shared" si="0"/>
        <v>44087</v>
      </c>
      <c r="B17" s="38">
        <v>165000</v>
      </c>
      <c r="C17" s="23"/>
      <c r="D17" s="39">
        <f t="shared" si="1"/>
        <v>165000</v>
      </c>
      <c r="E17" s="40">
        <v>11711</v>
      </c>
      <c r="F17" s="35">
        <f>999+450</f>
        <v>1449</v>
      </c>
      <c r="G17" s="27"/>
      <c r="H17" s="28">
        <f t="shared" si="2"/>
        <v>13160</v>
      </c>
      <c r="I17" s="35"/>
      <c r="J17" s="41" t="str">
        <f t="shared" si="3"/>
        <v/>
      </c>
      <c r="K17" s="29"/>
      <c r="L17" s="5"/>
      <c r="M17" s="6"/>
      <c r="N17" s="7"/>
      <c r="O17" s="7"/>
      <c r="P17" s="32">
        <f t="shared" si="4"/>
        <v>44087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44087</v>
      </c>
      <c r="AK17" s="35"/>
      <c r="AL17" s="138"/>
      <c r="AM17" s="139"/>
      <c r="AN17" s="138"/>
      <c r="AO17" s="139">
        <v>75000</v>
      </c>
      <c r="AP17" s="138"/>
      <c r="AQ17" s="139">
        <v>47000</v>
      </c>
      <c r="AR17" s="138"/>
      <c r="AS17" s="139"/>
      <c r="AT17" s="138"/>
      <c r="AU17" s="139"/>
      <c r="AV17" s="138"/>
      <c r="AW17" s="151">
        <v>20000</v>
      </c>
      <c r="AX17" s="138"/>
      <c r="AY17" s="149"/>
      <c r="AZ17" s="138"/>
      <c r="BA17" s="149"/>
      <c r="BB17" s="138"/>
      <c r="BC17" s="149"/>
      <c r="BD17" s="138"/>
      <c r="BE17" s="149"/>
      <c r="BF17" s="138"/>
      <c r="BG17" s="138"/>
      <c r="BH17" s="138"/>
      <c r="BI17" s="138"/>
      <c r="BJ17" s="138"/>
      <c r="BK17" s="138"/>
      <c r="BL17" s="138"/>
      <c r="BM17" s="138"/>
      <c r="BN17" s="138">
        <v>23000</v>
      </c>
      <c r="BO17" s="149"/>
      <c r="BP17" s="138"/>
    </row>
    <row r="18" spans="1:68">
      <c r="A18" s="21">
        <f t="shared" si="0"/>
        <v>44088</v>
      </c>
      <c r="B18" s="38">
        <v>19000</v>
      </c>
      <c r="C18" s="23"/>
      <c r="D18" s="39">
        <f t="shared" si="1"/>
        <v>19000</v>
      </c>
      <c r="E18" s="40">
        <v>2490</v>
      </c>
      <c r="F18" s="35">
        <v>1995</v>
      </c>
      <c r="G18" s="27"/>
      <c r="H18" s="28">
        <f t="shared" si="2"/>
        <v>4485</v>
      </c>
      <c r="I18" s="35"/>
      <c r="J18" s="41" t="str">
        <f t="shared" si="3"/>
        <v/>
      </c>
      <c r="K18" s="29"/>
      <c r="L18" s="5"/>
      <c r="M18" s="45"/>
      <c r="N18" s="46"/>
      <c r="O18" s="7"/>
      <c r="P18" s="32">
        <f t="shared" si="4"/>
        <v>44088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44088</v>
      </c>
      <c r="AK18" s="35"/>
      <c r="AL18" s="138"/>
      <c r="AM18" s="139"/>
      <c r="AN18" s="138"/>
      <c r="AO18" s="139">
        <v>14000</v>
      </c>
      <c r="AP18" s="138"/>
      <c r="AQ18" s="139"/>
      <c r="AR18" s="138"/>
      <c r="AS18" s="139"/>
      <c r="AT18" s="138"/>
      <c r="AU18" s="139"/>
      <c r="AV18" s="138"/>
      <c r="AW18" s="151">
        <v>5000</v>
      </c>
      <c r="AX18" s="138"/>
      <c r="AY18" s="149"/>
      <c r="AZ18" s="138"/>
      <c r="BA18" s="149"/>
      <c r="BB18" s="138"/>
      <c r="BC18" s="149"/>
      <c r="BD18" s="138"/>
      <c r="BE18" s="149"/>
      <c r="BF18" s="138"/>
      <c r="BG18" s="138"/>
      <c r="BH18" s="138"/>
      <c r="BI18" s="138"/>
      <c r="BJ18" s="138"/>
      <c r="BK18" s="138"/>
      <c r="BL18" s="138"/>
      <c r="BM18" s="138"/>
      <c r="BN18" s="138"/>
      <c r="BO18" s="149"/>
      <c r="BP18" s="138"/>
    </row>
    <row r="19" spans="1:68">
      <c r="A19" s="21">
        <f t="shared" si="0"/>
        <v>44089</v>
      </c>
      <c r="B19" s="38">
        <v>0</v>
      </c>
      <c r="C19" s="23"/>
      <c r="D19" s="39">
        <f t="shared" si="1"/>
        <v>0</v>
      </c>
      <c r="E19" s="40"/>
      <c r="F19" s="35"/>
      <c r="G19" s="27"/>
      <c r="H19" s="28">
        <f t="shared" si="2"/>
        <v>0</v>
      </c>
      <c r="I19" s="35"/>
      <c r="J19" s="41" t="str">
        <f t="shared" si="3"/>
        <v/>
      </c>
      <c r="K19" s="29"/>
      <c r="L19" s="5"/>
      <c r="M19" s="516" t="s">
        <v>26</v>
      </c>
      <c r="N19" s="517"/>
      <c r="O19" s="6"/>
      <c r="P19" s="32">
        <f t="shared" si="4"/>
        <v>44089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44089</v>
      </c>
      <c r="AK19" s="35"/>
      <c r="AL19" s="138"/>
      <c r="AM19" s="139"/>
      <c r="AN19" s="138"/>
      <c r="AO19" s="139"/>
      <c r="AP19" s="138"/>
      <c r="AQ19" s="139"/>
      <c r="AR19" s="138"/>
      <c r="AS19" s="139"/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/>
      <c r="BK19" s="138"/>
      <c r="BL19" s="138"/>
      <c r="BM19" s="138"/>
      <c r="BN19" s="138"/>
      <c r="BO19" s="149"/>
      <c r="BP19" s="138"/>
    </row>
    <row r="20" spans="1:68">
      <c r="A20" s="21">
        <f t="shared" si="0"/>
        <v>44090</v>
      </c>
      <c r="B20" s="38">
        <v>0</v>
      </c>
      <c r="C20" s="38"/>
      <c r="D20" s="39">
        <f t="shared" si="1"/>
        <v>0</v>
      </c>
      <c r="E20" s="40"/>
      <c r="F20" s="35"/>
      <c r="G20" s="27"/>
      <c r="H20" s="28">
        <f t="shared" si="2"/>
        <v>0</v>
      </c>
      <c r="I20" s="35"/>
      <c r="J20" s="41" t="str">
        <f t="shared" si="3"/>
        <v/>
      </c>
      <c r="K20" s="29"/>
      <c r="L20" s="5"/>
      <c r="M20" s="47" t="s">
        <v>27</v>
      </c>
      <c r="N20" s="518">
        <v>310000</v>
      </c>
      <c r="O20" s="6"/>
      <c r="P20" s="32">
        <f t="shared" si="4"/>
        <v>44090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44090</v>
      </c>
      <c r="AK20" s="35"/>
      <c r="AL20" s="138"/>
      <c r="AM20" s="139"/>
      <c r="AN20" s="138"/>
      <c r="AO20" s="139"/>
      <c r="AP20" s="138"/>
      <c r="AQ20" s="139"/>
      <c r="AR20" s="138"/>
      <c r="AS20" s="139"/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/>
      <c r="BF20" s="138"/>
      <c r="BG20" s="138"/>
      <c r="BH20" s="138"/>
      <c r="BI20" s="138"/>
      <c r="BJ20" s="138"/>
      <c r="BK20" s="138"/>
      <c r="BL20" s="138"/>
      <c r="BM20" s="138"/>
      <c r="BN20" s="138"/>
      <c r="BO20" s="149"/>
      <c r="BP20" s="138"/>
    </row>
    <row r="21" spans="1:68">
      <c r="A21" s="21">
        <f t="shared" si="0"/>
        <v>44091</v>
      </c>
      <c r="B21" s="38">
        <v>56000</v>
      </c>
      <c r="C21" s="38">
        <v>13000</v>
      </c>
      <c r="D21" s="39">
        <f t="shared" si="1"/>
        <v>69000</v>
      </c>
      <c r="E21" s="40">
        <f>17688+46000</f>
        <v>63688</v>
      </c>
      <c r="F21" s="35"/>
      <c r="G21" s="27"/>
      <c r="H21" s="28">
        <f t="shared" si="2"/>
        <v>63688</v>
      </c>
      <c r="I21" s="35"/>
      <c r="J21" s="41" t="str">
        <f t="shared" si="3"/>
        <v/>
      </c>
      <c r="K21" s="29"/>
      <c r="L21" s="5"/>
      <c r="M21" s="47" t="s">
        <v>28</v>
      </c>
      <c r="N21" s="519"/>
      <c r="O21" s="6"/>
      <c r="P21" s="32">
        <f t="shared" si="4"/>
        <v>44091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44091</v>
      </c>
      <c r="AK21" s="35"/>
      <c r="AL21" s="138"/>
      <c r="AM21" s="139"/>
      <c r="AN21" s="138"/>
      <c r="AO21" s="139">
        <v>29000</v>
      </c>
      <c r="AP21" s="138"/>
      <c r="AQ21" s="139">
        <v>23000</v>
      </c>
      <c r="AR21" s="138"/>
      <c r="AS21" s="139"/>
      <c r="AT21" s="138"/>
      <c r="AU21" s="139"/>
      <c r="AV21" s="138"/>
      <c r="AW21" s="151"/>
      <c r="AX21" s="138"/>
      <c r="AY21" s="149"/>
      <c r="AZ21" s="138"/>
      <c r="BA21" s="149"/>
      <c r="BB21" s="138"/>
      <c r="BC21" s="149">
        <v>13000</v>
      </c>
      <c r="BD21" s="138"/>
      <c r="BE21" s="149"/>
      <c r="BF21" s="138"/>
      <c r="BG21" s="138">
        <v>2000</v>
      </c>
      <c r="BH21" s="138"/>
      <c r="BI21" s="138"/>
      <c r="BJ21" s="138"/>
      <c r="BK21" s="138"/>
      <c r="BL21" s="138"/>
      <c r="BM21" s="138"/>
      <c r="BN21" s="138"/>
      <c r="BO21" s="149">
        <v>2000</v>
      </c>
      <c r="BP21" s="138"/>
    </row>
    <row r="22" spans="1:68">
      <c r="A22" s="21">
        <f t="shared" si="0"/>
        <v>44092</v>
      </c>
      <c r="B22" s="38">
        <v>110000</v>
      </c>
      <c r="C22" s="38">
        <v>5000</v>
      </c>
      <c r="D22" s="39">
        <f t="shared" si="1"/>
        <v>115000</v>
      </c>
      <c r="E22" s="40"/>
      <c r="F22" s="35">
        <f>972+1072</f>
        <v>2044</v>
      </c>
      <c r="G22" s="27"/>
      <c r="H22" s="28">
        <f t="shared" si="2"/>
        <v>2044</v>
      </c>
      <c r="I22" s="35"/>
      <c r="J22" s="41" t="str">
        <f t="shared" si="3"/>
        <v/>
      </c>
      <c r="K22" s="29"/>
      <c r="L22" s="5"/>
      <c r="M22" s="47" t="s">
        <v>29</v>
      </c>
      <c r="N22" s="35">
        <v>7000</v>
      </c>
      <c r="O22" s="6"/>
      <c r="P22" s="32">
        <f t="shared" si="4"/>
        <v>44092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44092</v>
      </c>
      <c r="AK22" s="35"/>
      <c r="AL22" s="138"/>
      <c r="AM22" s="139">
        <v>13000</v>
      </c>
      <c r="AN22" s="138"/>
      <c r="AO22" s="139">
        <v>68000</v>
      </c>
      <c r="AP22" s="138"/>
      <c r="AQ22" s="139">
        <v>7000</v>
      </c>
      <c r="AR22" s="138"/>
      <c r="AS22" s="153"/>
      <c r="AT22" s="138"/>
      <c r="AU22" s="139"/>
      <c r="AV22" s="138"/>
      <c r="AW22" s="151"/>
      <c r="AX22" s="138"/>
      <c r="AY22" s="139"/>
      <c r="AZ22" s="138"/>
      <c r="BA22" s="139">
        <v>8000</v>
      </c>
      <c r="BB22" s="138"/>
      <c r="BC22" s="149"/>
      <c r="BD22" s="138"/>
      <c r="BE22" s="149"/>
      <c r="BF22" s="138"/>
      <c r="BG22" s="138">
        <v>1500</v>
      </c>
      <c r="BH22" s="138"/>
      <c r="BI22" s="138"/>
      <c r="BJ22" s="138"/>
      <c r="BK22" s="138"/>
      <c r="BL22" s="138"/>
      <c r="BM22" s="138"/>
      <c r="BN22" s="138"/>
      <c r="BO22" s="149"/>
      <c r="BP22" s="138"/>
    </row>
    <row r="23" spans="1:68">
      <c r="A23" s="21">
        <f t="shared" si="0"/>
        <v>44093</v>
      </c>
      <c r="B23" s="38">
        <v>70000</v>
      </c>
      <c r="C23" s="38"/>
      <c r="D23" s="39">
        <f t="shared" si="1"/>
        <v>70000</v>
      </c>
      <c r="E23" s="40">
        <v>10225</v>
      </c>
      <c r="F23" s="35"/>
      <c r="G23" s="27"/>
      <c r="H23" s="28">
        <f t="shared" si="2"/>
        <v>10225</v>
      </c>
      <c r="I23" s="35"/>
      <c r="J23" s="41" t="str">
        <f t="shared" si="3"/>
        <v/>
      </c>
      <c r="K23" s="29"/>
      <c r="L23" s="5"/>
      <c r="M23" s="47" t="s">
        <v>30</v>
      </c>
      <c r="N23" s="35">
        <v>4800</v>
      </c>
      <c r="O23" s="6"/>
      <c r="P23" s="32">
        <f t="shared" si="4"/>
        <v>44093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44093</v>
      </c>
      <c r="AK23" s="35"/>
      <c r="AL23" s="138"/>
      <c r="AM23" s="139"/>
      <c r="AN23" s="138"/>
      <c r="AO23" s="139"/>
      <c r="AP23" s="138"/>
      <c r="AQ23" s="139">
        <v>22000</v>
      </c>
      <c r="AR23" s="138"/>
      <c r="AS23" s="139"/>
      <c r="AT23" s="138"/>
      <c r="AU23" s="139"/>
      <c r="AV23" s="138"/>
      <c r="AW23" s="151">
        <v>13000</v>
      </c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>
        <v>35000</v>
      </c>
      <c r="BK23" s="138"/>
      <c r="BL23" s="138"/>
      <c r="BM23" s="138"/>
      <c r="BN23" s="138"/>
      <c r="BO23" s="149"/>
      <c r="BP23" s="138"/>
    </row>
    <row r="24" spans="1:68">
      <c r="A24" s="21">
        <f t="shared" si="0"/>
        <v>44094</v>
      </c>
      <c r="B24" s="38">
        <v>12000</v>
      </c>
      <c r="C24" s="38"/>
      <c r="D24" s="39">
        <f t="shared" si="1"/>
        <v>12000</v>
      </c>
      <c r="E24" s="40"/>
      <c r="F24" s="35"/>
      <c r="G24" s="27"/>
      <c r="H24" s="28">
        <f>E24+F24+H19</f>
        <v>0</v>
      </c>
      <c r="I24" s="35"/>
      <c r="J24" s="41" t="str">
        <f t="shared" si="3"/>
        <v/>
      </c>
      <c r="K24" s="29"/>
      <c r="L24" s="5"/>
      <c r="M24" s="47" t="s">
        <v>31</v>
      </c>
      <c r="N24" s="35">
        <v>300000</v>
      </c>
      <c r="O24" s="6"/>
      <c r="P24" s="32">
        <f t="shared" si="4"/>
        <v>44094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44094</v>
      </c>
      <c r="AK24" s="35"/>
      <c r="AL24" s="138"/>
      <c r="AM24" s="139"/>
      <c r="AN24" s="138"/>
      <c r="AO24" s="139"/>
      <c r="AP24" s="138"/>
      <c r="AQ24" s="139"/>
      <c r="AR24" s="138"/>
      <c r="AS24" s="139"/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/>
      <c r="BF24" s="138"/>
      <c r="BG24" s="138">
        <v>12000</v>
      </c>
      <c r="BH24" s="138"/>
      <c r="BI24" s="138"/>
      <c r="BJ24" s="138"/>
      <c r="BK24" s="138"/>
      <c r="BL24" s="138"/>
      <c r="BM24" s="138"/>
      <c r="BN24" s="138"/>
      <c r="BO24" s="149"/>
      <c r="BP24" s="138"/>
    </row>
    <row r="25" spans="1:68">
      <c r="A25" s="21">
        <f t="shared" si="0"/>
        <v>44095</v>
      </c>
      <c r="B25" s="38">
        <v>92000</v>
      </c>
      <c r="C25" s="38"/>
      <c r="D25" s="39">
        <f t="shared" si="1"/>
        <v>92000</v>
      </c>
      <c r="E25" s="40"/>
      <c r="F25" s="35"/>
      <c r="G25" s="27"/>
      <c r="H25" s="28">
        <f t="shared" ref="H25:H35" si="6">E25+F25+G25</f>
        <v>0</v>
      </c>
      <c r="I25" s="35"/>
      <c r="J25" s="41" t="str">
        <f t="shared" si="3"/>
        <v/>
      </c>
      <c r="K25" s="29"/>
      <c r="L25" s="5"/>
      <c r="M25" s="47" t="s">
        <v>32</v>
      </c>
      <c r="N25" s="35">
        <v>44000</v>
      </c>
      <c r="O25" s="6"/>
      <c r="P25" s="32">
        <f t="shared" si="4"/>
        <v>44095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44095</v>
      </c>
      <c r="AK25" s="35"/>
      <c r="AL25" s="138"/>
      <c r="AM25" s="139"/>
      <c r="AN25" s="138"/>
      <c r="AO25" s="139">
        <v>40000</v>
      </c>
      <c r="AP25" s="138"/>
      <c r="AQ25" s="139">
        <v>17000</v>
      </c>
      <c r="AR25" s="138"/>
      <c r="AS25" s="139"/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>
        <v>35000</v>
      </c>
      <c r="BK25" s="138"/>
      <c r="BL25" s="138"/>
      <c r="BM25" s="138"/>
      <c r="BN25" s="138"/>
      <c r="BO25" s="149"/>
      <c r="BP25" s="138"/>
    </row>
    <row r="26" spans="1:68">
      <c r="A26" s="21">
        <f t="shared" si="0"/>
        <v>44096</v>
      </c>
      <c r="B26" s="38">
        <v>0</v>
      </c>
      <c r="C26" s="38"/>
      <c r="D26" s="39">
        <f t="shared" si="1"/>
        <v>0</v>
      </c>
      <c r="E26" s="40"/>
      <c r="F26" s="35"/>
      <c r="G26" s="27"/>
      <c r="H26" s="28">
        <f t="shared" si="6"/>
        <v>0</v>
      </c>
      <c r="I26" s="35"/>
      <c r="J26" s="41" t="str">
        <f t="shared" si="3"/>
        <v/>
      </c>
      <c r="K26" s="29"/>
      <c r="L26" s="5"/>
      <c r="M26" s="47"/>
      <c r="N26" s="35"/>
      <c r="O26" s="6"/>
      <c r="P26" s="32">
        <f t="shared" si="4"/>
        <v>44096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44096</v>
      </c>
      <c r="AK26" s="35"/>
      <c r="AL26" s="138"/>
      <c r="AM26" s="139"/>
      <c r="AN26" s="138"/>
      <c r="AO26" s="139"/>
      <c r="AP26" s="138"/>
      <c r="AQ26" s="139"/>
      <c r="AR26" s="138"/>
      <c r="AS26" s="139"/>
      <c r="AT26" s="138"/>
      <c r="AU26" s="139"/>
      <c r="AV26" s="138"/>
      <c r="AW26" s="151"/>
      <c r="AX26" s="138"/>
      <c r="AY26" s="149"/>
      <c r="AZ26" s="138"/>
      <c r="BA26" s="149"/>
      <c r="BB26" s="138"/>
      <c r="BC26" s="149"/>
      <c r="BD26" s="138"/>
      <c r="BE26" s="149"/>
      <c r="BF26" s="138"/>
      <c r="BG26" s="138"/>
      <c r="BH26" s="138"/>
      <c r="BI26" s="138"/>
      <c r="BJ26" s="138"/>
      <c r="BK26" s="138"/>
      <c r="BL26" s="138"/>
      <c r="BM26" s="138"/>
      <c r="BN26" s="138"/>
      <c r="BO26" s="149"/>
      <c r="BP26" s="138"/>
    </row>
    <row r="27" spans="1:68">
      <c r="A27" s="21">
        <f t="shared" si="0"/>
        <v>44097</v>
      </c>
      <c r="B27" s="38">
        <v>43600</v>
      </c>
      <c r="C27" s="38">
        <v>65000</v>
      </c>
      <c r="D27" s="39">
        <f t="shared" si="1"/>
        <v>108600</v>
      </c>
      <c r="E27" s="40">
        <v>15551</v>
      </c>
      <c r="F27" s="35"/>
      <c r="G27" s="27"/>
      <c r="H27" s="28">
        <f t="shared" si="6"/>
        <v>15551</v>
      </c>
      <c r="I27" s="35"/>
      <c r="J27" s="41" t="str">
        <f t="shared" si="3"/>
        <v/>
      </c>
      <c r="K27" s="29"/>
      <c r="L27" s="5"/>
      <c r="M27" s="47"/>
      <c r="N27" s="35"/>
      <c r="O27" s="7"/>
      <c r="P27" s="32">
        <f t="shared" si="4"/>
        <v>44097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44097</v>
      </c>
      <c r="AK27" s="35"/>
      <c r="AL27" s="138"/>
      <c r="AM27" s="139"/>
      <c r="AN27" s="138"/>
      <c r="AO27" s="139">
        <v>104000</v>
      </c>
      <c r="AP27" s="138"/>
      <c r="AQ27" s="139">
        <v>25000</v>
      </c>
      <c r="AR27" s="138"/>
      <c r="AS27" s="139"/>
      <c r="AT27" s="138"/>
      <c r="AU27" s="139"/>
      <c r="AV27" s="138"/>
      <c r="AW27" s="151">
        <v>3600</v>
      </c>
      <c r="AX27" s="138"/>
      <c r="AY27" s="149"/>
      <c r="AZ27" s="138"/>
      <c r="BA27" s="149"/>
      <c r="BB27" s="138"/>
      <c r="BC27" s="149"/>
      <c r="BD27" s="138"/>
      <c r="BE27" s="149"/>
      <c r="BF27" s="138"/>
      <c r="BG27" s="138"/>
      <c r="BH27" s="138"/>
      <c r="BI27" s="138"/>
      <c r="BJ27" s="138"/>
      <c r="BK27" s="138"/>
      <c r="BL27" s="138"/>
      <c r="BM27" s="138"/>
      <c r="BN27" s="138"/>
      <c r="BO27" s="149"/>
      <c r="BP27" s="138"/>
    </row>
    <row r="28" spans="1:68">
      <c r="A28" s="21">
        <f t="shared" si="0"/>
        <v>44098</v>
      </c>
      <c r="B28" s="38">
        <v>112000</v>
      </c>
      <c r="C28" s="38"/>
      <c r="D28" s="39">
        <f t="shared" si="1"/>
        <v>112000</v>
      </c>
      <c r="E28" s="40">
        <v>4021</v>
      </c>
      <c r="F28" s="35"/>
      <c r="G28" s="27"/>
      <c r="H28" s="28">
        <f t="shared" si="6"/>
        <v>4021</v>
      </c>
      <c r="I28" s="35"/>
      <c r="J28" s="41" t="str">
        <f t="shared" si="3"/>
        <v/>
      </c>
      <c r="K28" s="29"/>
      <c r="L28" s="5"/>
      <c r="M28" s="49" t="s">
        <v>33</v>
      </c>
      <c r="N28" s="50">
        <f>SUM(N20:N27)</f>
        <v>665800</v>
      </c>
      <c r="O28" s="7"/>
      <c r="P28" s="32">
        <f t="shared" si="4"/>
        <v>44098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44098</v>
      </c>
      <c r="AK28" s="35"/>
      <c r="AL28" s="138"/>
      <c r="AM28" s="139"/>
      <c r="AN28" s="138"/>
      <c r="AO28" s="139">
        <v>71000</v>
      </c>
      <c r="AP28" s="138"/>
      <c r="AQ28" s="139">
        <v>22000</v>
      </c>
      <c r="AR28" s="138"/>
      <c r="AS28" s="139"/>
      <c r="AT28" s="138"/>
      <c r="AU28" s="139"/>
      <c r="AV28" s="138"/>
      <c r="AW28" s="151">
        <v>16000</v>
      </c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38"/>
      <c r="BL28" s="138"/>
      <c r="BM28" s="138"/>
      <c r="BN28" s="138"/>
      <c r="BO28" s="149"/>
      <c r="BP28" s="138">
        <v>3000</v>
      </c>
    </row>
    <row r="29" spans="1:68">
      <c r="A29" s="21">
        <f t="shared" si="0"/>
        <v>44099</v>
      </c>
      <c r="B29" s="38">
        <v>124000</v>
      </c>
      <c r="C29" s="38"/>
      <c r="D29" s="39">
        <f t="shared" si="1"/>
        <v>124000</v>
      </c>
      <c r="E29" s="40">
        <v>16737</v>
      </c>
      <c r="F29" s="35"/>
      <c r="G29" s="27"/>
      <c r="H29" s="28">
        <f t="shared" si="6"/>
        <v>16737</v>
      </c>
      <c r="I29" s="35"/>
      <c r="J29" s="41" t="str">
        <f t="shared" si="3"/>
        <v/>
      </c>
      <c r="K29" s="29"/>
      <c r="L29" s="5"/>
      <c r="M29" s="51"/>
      <c r="N29" s="7"/>
      <c r="O29" s="7"/>
      <c r="P29" s="32">
        <f t="shared" si="4"/>
        <v>44099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44099</v>
      </c>
      <c r="AK29" s="35"/>
      <c r="AL29" s="138"/>
      <c r="AM29" s="139"/>
      <c r="AN29" s="138"/>
      <c r="AO29" s="139">
        <v>42000</v>
      </c>
      <c r="AP29" s="138"/>
      <c r="AQ29" s="139">
        <v>34000</v>
      </c>
      <c r="AR29" s="138"/>
      <c r="AS29" s="139"/>
      <c r="AT29" s="138"/>
      <c r="AU29" s="139"/>
      <c r="AV29" s="138"/>
      <c r="AW29" s="151"/>
      <c r="AX29" s="138"/>
      <c r="AY29" s="149"/>
      <c r="AZ29" s="138"/>
      <c r="BA29" s="149">
        <v>28000</v>
      </c>
      <c r="BB29" s="138"/>
      <c r="BC29" s="149"/>
      <c r="BD29" s="138"/>
      <c r="BE29" s="149"/>
      <c r="BF29" s="138"/>
      <c r="BG29" s="138">
        <v>5000</v>
      </c>
      <c r="BH29" s="138"/>
      <c r="BI29" s="138"/>
      <c r="BJ29" s="138"/>
      <c r="BK29" s="138"/>
      <c r="BL29" s="138">
        <v>15000</v>
      </c>
      <c r="BM29" s="138"/>
      <c r="BN29" s="138"/>
      <c r="BO29" s="149"/>
      <c r="BP29" s="138"/>
    </row>
    <row r="30" spans="1:68">
      <c r="A30" s="21">
        <f t="shared" si="0"/>
        <v>44100</v>
      </c>
      <c r="B30" s="38">
        <v>96000</v>
      </c>
      <c r="C30" s="38"/>
      <c r="D30" s="39">
        <f t="shared" si="1"/>
        <v>96000</v>
      </c>
      <c r="E30" s="40"/>
      <c r="F30" s="35"/>
      <c r="G30" s="27"/>
      <c r="H30" s="28">
        <f t="shared" si="6"/>
        <v>0</v>
      </c>
      <c r="I30" s="35"/>
      <c r="J30" s="41" t="str">
        <f t="shared" si="3"/>
        <v/>
      </c>
      <c r="K30" s="29"/>
      <c r="L30" s="5"/>
      <c r="M30" s="45"/>
      <c r="N30" s="7"/>
      <c r="O30" s="7"/>
      <c r="P30" s="32">
        <f t="shared" si="4"/>
        <v>44100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44100</v>
      </c>
      <c r="AK30" s="35">
        <v>20000</v>
      </c>
      <c r="AL30" s="138"/>
      <c r="AM30" s="139"/>
      <c r="AN30" s="138"/>
      <c r="AO30" s="139">
        <v>12000</v>
      </c>
      <c r="AP30" s="138"/>
      <c r="AQ30" s="139">
        <v>20000</v>
      </c>
      <c r="AR30" s="138"/>
      <c r="AS30" s="139"/>
      <c r="AT30" s="138"/>
      <c r="AU30" s="139"/>
      <c r="AV30" s="138"/>
      <c r="AW30" s="151"/>
      <c r="AX30" s="138"/>
      <c r="AY30" s="149"/>
      <c r="AZ30" s="138"/>
      <c r="BA30" s="149">
        <v>4000</v>
      </c>
      <c r="BB30" s="138"/>
      <c r="BC30" s="149"/>
      <c r="BD30" s="138"/>
      <c r="BE30" s="149"/>
      <c r="BF30" s="138"/>
      <c r="BG30" s="138">
        <v>17000</v>
      </c>
      <c r="BH30" s="138"/>
      <c r="BI30" s="138"/>
      <c r="BJ30" s="138"/>
      <c r="BK30" s="138"/>
      <c r="BL30" s="138"/>
      <c r="BM30" s="138">
        <v>23000</v>
      </c>
      <c r="BN30" s="138"/>
      <c r="BO30" s="149"/>
      <c r="BP30" s="138"/>
    </row>
    <row r="31" spans="1:68">
      <c r="A31" s="21">
        <f t="shared" si="0"/>
        <v>44101</v>
      </c>
      <c r="B31" s="38">
        <v>21000</v>
      </c>
      <c r="C31" s="38"/>
      <c r="D31" s="39">
        <f t="shared" si="1"/>
        <v>21000</v>
      </c>
      <c r="E31" s="40">
        <v>19001</v>
      </c>
      <c r="F31" s="35"/>
      <c r="G31" s="27"/>
      <c r="H31" s="28">
        <f t="shared" si="6"/>
        <v>19001</v>
      </c>
      <c r="I31" s="35"/>
      <c r="J31" s="41" t="str">
        <f t="shared" si="3"/>
        <v/>
      </c>
      <c r="K31" s="29"/>
      <c r="L31" s="5"/>
      <c r="M31" s="45"/>
      <c r="N31" s="52"/>
      <c r="O31" s="7"/>
      <c r="P31" s="32">
        <f t="shared" si="4"/>
        <v>44101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44101</v>
      </c>
      <c r="AK31" s="35"/>
      <c r="AL31" s="138"/>
      <c r="AM31" s="139"/>
      <c r="AN31" s="138"/>
      <c r="AO31" s="139">
        <v>7000</v>
      </c>
      <c r="AP31" s="138"/>
      <c r="AQ31" s="139"/>
      <c r="AR31" s="138"/>
      <c r="AS31" s="139"/>
      <c r="AT31" s="138"/>
      <c r="AU31" s="139">
        <v>8000</v>
      </c>
      <c r="AV31" s="138"/>
      <c r="AW31" s="151"/>
      <c r="AX31" s="138"/>
      <c r="AY31" s="149"/>
      <c r="AZ31" s="138"/>
      <c r="BA31" s="149"/>
      <c r="BB31" s="138"/>
      <c r="BC31" s="149"/>
      <c r="BD31" s="138"/>
      <c r="BE31" s="149"/>
      <c r="BF31" s="138"/>
      <c r="BG31" s="138">
        <v>6000</v>
      </c>
      <c r="BH31" s="138"/>
      <c r="BI31" s="138"/>
      <c r="BJ31" s="138"/>
      <c r="BK31" s="138"/>
      <c r="BL31" s="138"/>
      <c r="BM31" s="138"/>
      <c r="BN31" s="138"/>
      <c r="BO31" s="149"/>
      <c r="BP31" s="138"/>
    </row>
    <row r="32" spans="1:68">
      <c r="A32" s="21">
        <f t="shared" si="0"/>
        <v>44102</v>
      </c>
      <c r="B32" s="38">
        <v>66000</v>
      </c>
      <c r="C32" s="38">
        <v>27000</v>
      </c>
      <c r="D32" s="39">
        <f t="shared" si="1"/>
        <v>93000</v>
      </c>
      <c r="E32" s="40">
        <v>12146</v>
      </c>
      <c r="F32" s="35"/>
      <c r="G32" s="27"/>
      <c r="H32" s="28">
        <f t="shared" si="6"/>
        <v>12146</v>
      </c>
      <c r="I32" s="35"/>
      <c r="J32" s="41" t="str">
        <f t="shared" si="3"/>
        <v/>
      </c>
      <c r="K32" s="29"/>
      <c r="L32" s="5"/>
      <c r="M32" s="53" t="s">
        <v>34</v>
      </c>
      <c r="N32" s="38">
        <f>D37</f>
        <v>2267600</v>
      </c>
      <c r="O32" s="6"/>
      <c r="P32" s="32">
        <f t="shared" si="4"/>
        <v>44102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44102</v>
      </c>
      <c r="AK32" s="35"/>
      <c r="AL32" s="138"/>
      <c r="AM32" s="139"/>
      <c r="AN32" s="138"/>
      <c r="AO32" s="139">
        <v>31000</v>
      </c>
      <c r="AP32" s="138"/>
      <c r="AQ32" s="139">
        <v>29000</v>
      </c>
      <c r="AR32" s="138">
        <v>20000</v>
      </c>
      <c r="AS32" s="139"/>
      <c r="AT32" s="138"/>
      <c r="AU32" s="139"/>
      <c r="AV32" s="138"/>
      <c r="AW32" s="151">
        <v>9000</v>
      </c>
      <c r="AX32" s="138"/>
      <c r="AY32" s="149"/>
      <c r="AZ32" s="138"/>
      <c r="BA32" s="149"/>
      <c r="BB32" s="138"/>
      <c r="BC32" s="149"/>
      <c r="BD32" s="138"/>
      <c r="BE32" s="149"/>
      <c r="BF32" s="138"/>
      <c r="BG32" s="138">
        <v>4000</v>
      </c>
      <c r="BH32" s="138"/>
      <c r="BI32" s="138"/>
      <c r="BJ32" s="138"/>
      <c r="BK32" s="138"/>
      <c r="BL32" s="138"/>
      <c r="BM32" s="138"/>
      <c r="BN32" s="138"/>
      <c r="BO32" s="149"/>
      <c r="BP32" s="138"/>
    </row>
    <row r="33" spans="1:68">
      <c r="A33" s="21">
        <f t="shared" si="0"/>
        <v>44103</v>
      </c>
      <c r="B33" s="38">
        <v>0</v>
      </c>
      <c r="C33" s="38"/>
      <c r="D33" s="39">
        <f t="shared" si="1"/>
        <v>0</v>
      </c>
      <c r="E33" s="40"/>
      <c r="F33" s="35"/>
      <c r="G33" s="27"/>
      <c r="H33" s="28">
        <f t="shared" si="6"/>
        <v>0</v>
      </c>
      <c r="I33" s="35"/>
      <c r="J33" s="41" t="str">
        <f t="shared" si="3"/>
        <v/>
      </c>
      <c r="K33" s="29"/>
      <c r="L33" s="5"/>
      <c r="M33" s="53" t="s">
        <v>35</v>
      </c>
      <c r="N33" s="38">
        <f>H37</f>
        <v>347671</v>
      </c>
      <c r="O33" s="6"/>
      <c r="P33" s="32">
        <f>IF($A$33="","",$A$33)</f>
        <v>44103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44103</v>
      </c>
      <c r="AK33" s="56"/>
      <c r="AL33" s="138"/>
      <c r="AM33" s="139"/>
      <c r="AN33" s="138"/>
      <c r="AO33" s="139"/>
      <c r="AP33" s="138"/>
      <c r="AQ33" s="139"/>
      <c r="AR33" s="138"/>
      <c r="AS33" s="139"/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/>
      <c r="BF33" s="138"/>
      <c r="BG33" s="138"/>
      <c r="BH33" s="138"/>
      <c r="BI33" s="138"/>
      <c r="BJ33" s="138"/>
      <c r="BK33" s="138"/>
      <c r="BL33" s="138"/>
      <c r="BM33" s="138"/>
      <c r="BN33" s="138"/>
      <c r="BO33" s="149"/>
      <c r="BP33" s="138"/>
    </row>
    <row r="34" spans="1:68">
      <c r="A34" s="21">
        <f t="shared" si="0"/>
        <v>44104</v>
      </c>
      <c r="B34" s="38">
        <v>49000</v>
      </c>
      <c r="C34" s="38">
        <v>21000</v>
      </c>
      <c r="D34" s="39">
        <f t="shared" si="1"/>
        <v>70000</v>
      </c>
      <c r="E34" s="40"/>
      <c r="F34" s="35"/>
      <c r="G34" s="27"/>
      <c r="H34" s="28">
        <f t="shared" si="6"/>
        <v>0</v>
      </c>
      <c r="I34" s="35"/>
      <c r="J34" s="41" t="str">
        <f t="shared" si="3"/>
        <v/>
      </c>
      <c r="K34" s="29"/>
      <c r="L34" s="5"/>
      <c r="M34" s="53" t="s">
        <v>36</v>
      </c>
      <c r="N34" s="38">
        <f>N28</f>
        <v>665800</v>
      </c>
      <c r="O34" s="6"/>
      <c r="P34" s="32">
        <f>IF($A$34="","",$A$34)</f>
        <v>44104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44104</v>
      </c>
      <c r="AK34" s="137"/>
      <c r="AL34" s="154"/>
      <c r="AM34" s="155"/>
      <c r="AN34" s="154"/>
      <c r="AO34" s="155">
        <v>59000</v>
      </c>
      <c r="AP34" s="154"/>
      <c r="AQ34" s="155">
        <v>5000</v>
      </c>
      <c r="AR34" s="154"/>
      <c r="AS34" s="155"/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>
        <v>3000</v>
      </c>
      <c r="BF34" s="154"/>
      <c r="BG34" s="154">
        <v>2000</v>
      </c>
      <c r="BH34" s="154"/>
      <c r="BI34" s="154"/>
      <c r="BJ34" s="154"/>
      <c r="BK34" s="154"/>
      <c r="BL34" s="154"/>
      <c r="BM34" s="154">
        <v>1000</v>
      </c>
      <c r="BN34" s="154"/>
      <c r="BO34" s="157"/>
      <c r="BP34" s="154"/>
    </row>
    <row r="35" spans="1:68" ht="21" thickBot="1">
      <c r="A35" s="21" t="str">
        <f t="shared" si="0"/>
        <v/>
      </c>
      <c r="B35" s="38"/>
      <c r="C35" s="38"/>
      <c r="D35" s="39">
        <f t="shared" si="1"/>
        <v>0</v>
      </c>
      <c r="E35" s="40"/>
      <c r="F35" s="35"/>
      <c r="G35" s="27"/>
      <c r="H35" s="28">
        <f t="shared" si="6"/>
        <v>0</v>
      </c>
      <c r="I35" s="57"/>
      <c r="J35" s="58" t="str">
        <f t="shared" si="3"/>
        <v/>
      </c>
      <c r="K35" s="59"/>
      <c r="L35" s="5"/>
      <c r="M35" s="60" t="s">
        <v>37</v>
      </c>
      <c r="N35" s="61">
        <f>IFERROR(N32-N33-N34, "")</f>
        <v>1254129</v>
      </c>
      <c r="O35" s="6"/>
      <c r="P35" s="32" t="str">
        <f>IF($A$35="","",$A$35)</f>
        <v/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 t="str">
        <f>IF($A$35="","",$A$35)</f>
        <v/>
      </c>
      <c r="AK35" s="115"/>
      <c r="AL35" s="158"/>
      <c r="AM35" s="147"/>
      <c r="AN35" s="158"/>
      <c r="AO35" s="147"/>
      <c r="AP35" s="158"/>
      <c r="AQ35" s="147"/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58"/>
      <c r="BM35" s="158"/>
      <c r="BN35" s="158"/>
      <c r="BO35" s="147"/>
      <c r="BP35" s="158"/>
    </row>
    <row r="36" spans="1:68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 t="shared" ref="AK36:BP36" si="7">SUM(AK5:AK35)</f>
        <v>50000</v>
      </c>
      <c r="AL36" s="115">
        <f t="shared" si="7"/>
        <v>50000</v>
      </c>
      <c r="AM36" s="115">
        <f t="shared" si="7"/>
        <v>49000</v>
      </c>
      <c r="AN36" s="115">
        <f t="shared" si="7"/>
        <v>30000</v>
      </c>
      <c r="AO36" s="115">
        <f t="shared" si="7"/>
        <v>940500</v>
      </c>
      <c r="AP36" s="115">
        <f t="shared" si="7"/>
        <v>20000</v>
      </c>
      <c r="AQ36" s="115">
        <f t="shared" si="7"/>
        <v>377000</v>
      </c>
      <c r="AR36" s="115">
        <f t="shared" si="7"/>
        <v>20000</v>
      </c>
      <c r="AS36" s="115">
        <f t="shared" si="7"/>
        <v>0</v>
      </c>
      <c r="AT36" s="115">
        <f t="shared" si="7"/>
        <v>0</v>
      </c>
      <c r="AU36" s="115">
        <f t="shared" si="7"/>
        <v>77000</v>
      </c>
      <c r="AV36" s="115">
        <f t="shared" si="7"/>
        <v>0</v>
      </c>
      <c r="AW36" s="115">
        <f t="shared" si="7"/>
        <v>205100</v>
      </c>
      <c r="AX36" s="115">
        <f t="shared" si="7"/>
        <v>45000</v>
      </c>
      <c r="AY36" s="115">
        <f t="shared" si="7"/>
        <v>16000</v>
      </c>
      <c r="AZ36" s="115">
        <f t="shared" si="7"/>
        <v>0</v>
      </c>
      <c r="BA36" s="115">
        <f t="shared" si="7"/>
        <v>72000</v>
      </c>
      <c r="BB36" s="115">
        <f t="shared" si="7"/>
        <v>0</v>
      </c>
      <c r="BC36" s="115">
        <f t="shared" si="7"/>
        <v>48000</v>
      </c>
      <c r="BD36" s="115">
        <f t="shared" si="7"/>
        <v>0</v>
      </c>
      <c r="BE36" s="115">
        <f t="shared" si="7"/>
        <v>3000</v>
      </c>
      <c r="BF36" s="115">
        <f t="shared" si="7"/>
        <v>0</v>
      </c>
      <c r="BG36" s="115">
        <f t="shared" si="7"/>
        <v>66500</v>
      </c>
      <c r="BH36" s="115">
        <f t="shared" si="7"/>
        <v>7000</v>
      </c>
      <c r="BI36" s="115">
        <f t="shared" si="7"/>
        <v>42000</v>
      </c>
      <c r="BJ36" s="115">
        <f t="shared" si="7"/>
        <v>70000</v>
      </c>
      <c r="BK36" s="115">
        <f t="shared" si="7"/>
        <v>10000</v>
      </c>
      <c r="BL36" s="115">
        <f t="shared" si="7"/>
        <v>15000</v>
      </c>
      <c r="BM36" s="115">
        <f t="shared" si="7"/>
        <v>27000</v>
      </c>
      <c r="BN36" s="115">
        <f t="shared" si="7"/>
        <v>23000</v>
      </c>
      <c r="BO36" s="115">
        <f t="shared" si="7"/>
        <v>2000</v>
      </c>
      <c r="BP36" s="115">
        <f t="shared" si="7"/>
        <v>3000</v>
      </c>
    </row>
    <row r="37" spans="1:68" ht="22" thickTop="1" thickBot="1">
      <c r="A37" s="81" t="s">
        <v>33</v>
      </c>
      <c r="B37" s="82">
        <f>SUM(B5:B35)</f>
        <v>1942100</v>
      </c>
      <c r="C37" s="82">
        <f>SUM(C5:C33)</f>
        <v>304500</v>
      </c>
      <c r="D37" s="82">
        <f>SUM(D5:D35)</f>
        <v>2267600</v>
      </c>
      <c r="E37" s="83">
        <f>SUM(E5:E33)</f>
        <v>337023</v>
      </c>
      <c r="F37" s="84">
        <f>SUM(F5:F35)</f>
        <v>10648</v>
      </c>
      <c r="G37" s="84">
        <f>SUM(G5:G35)</f>
        <v>0</v>
      </c>
      <c r="H37" s="85">
        <f>SUM(H5:H33)</f>
        <v>347671</v>
      </c>
      <c r="I37" s="86">
        <f>SUM(I5:I35)</f>
        <v>0</v>
      </c>
      <c r="J37" s="86" t="str">
        <f>IFERROR(32/I37, "")</f>
        <v/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M37" s="1"/>
      <c r="BN37" s="1"/>
      <c r="BO37" s="1"/>
      <c r="BP37" s="1"/>
    </row>
    <row r="38" spans="1:68">
      <c r="AJ38" s="540" t="s">
        <v>228</v>
      </c>
      <c r="AK38" s="542">
        <f>AK36*0.35</f>
        <v>17500</v>
      </c>
      <c r="AL38" s="542">
        <f>AL36*0.3</f>
        <v>15000</v>
      </c>
      <c r="AM38" s="584">
        <f>AM36*0.35</f>
        <v>17150</v>
      </c>
      <c r="AN38" s="584">
        <f>AN36*0.3</f>
        <v>9000</v>
      </c>
      <c r="AO38" s="532">
        <f>AO36*0.35</f>
        <v>329175</v>
      </c>
      <c r="AP38" s="532">
        <f>AP36*0.3</f>
        <v>6000</v>
      </c>
      <c r="AQ38" s="534">
        <f>AQ36*0.35</f>
        <v>131950</v>
      </c>
      <c r="AR38" s="534">
        <f>AR36*0.3</f>
        <v>6000</v>
      </c>
      <c r="AS38" s="530">
        <f>AS36*0.35</f>
        <v>0</v>
      </c>
      <c r="AT38" s="530">
        <f>AT36*0.3</f>
        <v>0</v>
      </c>
      <c r="AU38" s="530">
        <f>AU36*0.35</f>
        <v>26950</v>
      </c>
      <c r="AV38" s="530">
        <f>AV36*0.3</f>
        <v>0</v>
      </c>
      <c r="AW38" s="530">
        <f>AW36*0.35</f>
        <v>71785</v>
      </c>
      <c r="AX38" s="530">
        <f>AX36*0.3</f>
        <v>13500</v>
      </c>
      <c r="AY38" s="530">
        <f>AY36*0.35</f>
        <v>5600</v>
      </c>
      <c r="AZ38" s="530">
        <f>AZ36*0.3</f>
        <v>0</v>
      </c>
      <c r="BA38" s="530">
        <f>BA36*0.35</f>
        <v>25200</v>
      </c>
      <c r="BB38" s="530">
        <f>BB36*0.3</f>
        <v>0</v>
      </c>
      <c r="BC38" s="530">
        <f>BC36*0.35</f>
        <v>16800</v>
      </c>
      <c r="BD38" s="530">
        <f>BD36*0.3</f>
        <v>0</v>
      </c>
      <c r="BE38" s="530"/>
      <c r="BF38" s="530">
        <f>BF36*0.3</f>
        <v>0</v>
      </c>
      <c r="BG38" s="581">
        <f>BG36</f>
        <v>66500</v>
      </c>
      <c r="BH38" s="530">
        <f t="shared" ref="BH38:BP38" si="8">BH36*0.35</f>
        <v>2450</v>
      </c>
      <c r="BI38" s="530">
        <f t="shared" si="8"/>
        <v>14699.999999999998</v>
      </c>
      <c r="BJ38" s="530">
        <f t="shared" si="8"/>
        <v>24500</v>
      </c>
      <c r="BK38" s="530">
        <f t="shared" si="8"/>
        <v>3500</v>
      </c>
      <c r="BL38" s="530">
        <f t="shared" si="8"/>
        <v>5250</v>
      </c>
      <c r="BM38" s="530">
        <f t="shared" si="8"/>
        <v>9450</v>
      </c>
      <c r="BN38" s="530">
        <f t="shared" si="8"/>
        <v>8049.9999999999991</v>
      </c>
      <c r="BO38" s="530">
        <f t="shared" si="8"/>
        <v>700</v>
      </c>
      <c r="BP38" s="530">
        <f t="shared" si="8"/>
        <v>1050</v>
      </c>
    </row>
    <row r="39" spans="1:68">
      <c r="F39" s="181" t="s">
        <v>229</v>
      </c>
      <c r="H39" s="181" t="s">
        <v>230</v>
      </c>
      <c r="AJ39" s="583"/>
      <c r="AK39" s="543"/>
      <c r="AL39" s="543"/>
      <c r="AM39" s="585"/>
      <c r="AN39" s="585"/>
      <c r="AO39" s="533"/>
      <c r="AP39" s="533"/>
      <c r="AQ39" s="535"/>
      <c r="AR39" s="535"/>
      <c r="AS39" s="531"/>
      <c r="AT39" s="531"/>
      <c r="AU39" s="531"/>
      <c r="AV39" s="531"/>
      <c r="AW39" s="531"/>
      <c r="AX39" s="531"/>
      <c r="AY39" s="531"/>
      <c r="AZ39" s="531"/>
      <c r="BA39" s="531"/>
      <c r="BB39" s="531"/>
      <c r="BC39" s="531"/>
      <c r="BD39" s="531"/>
      <c r="BE39" s="531"/>
      <c r="BF39" s="531"/>
      <c r="BG39" s="582"/>
      <c r="BH39" s="531"/>
      <c r="BI39" s="531"/>
      <c r="BJ39" s="531"/>
      <c r="BK39" s="531"/>
      <c r="BL39" s="531"/>
      <c r="BM39" s="531"/>
      <c r="BN39" s="531"/>
      <c r="BO39" s="531"/>
      <c r="BP39" s="531"/>
    </row>
    <row r="40" spans="1:68">
      <c r="F40">
        <v>2136</v>
      </c>
      <c r="H40">
        <v>4358</v>
      </c>
    </row>
    <row r="41" spans="1:68">
      <c r="A41" s="181" t="s">
        <v>219</v>
      </c>
      <c r="B41" s="1"/>
    </row>
    <row r="42" spans="1:68">
      <c r="A42" s="306">
        <v>44075</v>
      </c>
      <c r="B42" s="307">
        <v>60000</v>
      </c>
    </row>
    <row r="43" spans="1:68">
      <c r="A43" s="306">
        <v>44077</v>
      </c>
      <c r="B43" s="307">
        <v>56000</v>
      </c>
    </row>
    <row r="44" spans="1:68">
      <c r="A44" s="306">
        <v>44080</v>
      </c>
      <c r="B44" s="307">
        <v>40000</v>
      </c>
    </row>
    <row r="45" spans="1:68">
      <c r="A45" s="306">
        <v>44084</v>
      </c>
      <c r="B45" s="307">
        <v>50000</v>
      </c>
    </row>
    <row r="46" spans="1:68">
      <c r="A46" s="306">
        <v>44086</v>
      </c>
      <c r="B46" s="307">
        <v>50000</v>
      </c>
    </row>
    <row r="47" spans="1:68">
      <c r="A47" s="312">
        <v>44087</v>
      </c>
      <c r="B47" s="307">
        <v>50000</v>
      </c>
    </row>
    <row r="48" spans="1:68">
      <c r="A48" s="306">
        <v>44098</v>
      </c>
      <c r="B48" s="307">
        <v>50000</v>
      </c>
    </row>
    <row r="49" spans="1:2">
      <c r="A49" s="297"/>
      <c r="B49" s="297"/>
    </row>
    <row r="50" spans="1:2">
      <c r="A50" s="297"/>
      <c r="B50" s="297"/>
    </row>
    <row r="51" spans="1:2">
      <c r="A51" s="297"/>
      <c r="B51" s="297"/>
    </row>
    <row r="52" spans="1:2">
      <c r="A52" s="297"/>
      <c r="B52" s="297"/>
    </row>
    <row r="53" spans="1:2">
      <c r="A53" s="297"/>
      <c r="B53" s="297"/>
    </row>
    <row r="54" spans="1:2">
      <c r="A54" s="297"/>
      <c r="B54" s="297"/>
    </row>
    <row r="55" spans="1:2">
      <c r="A55" s="297"/>
      <c r="B55" s="297"/>
    </row>
    <row r="56" spans="1:2">
      <c r="A56" s="297"/>
      <c r="B56" s="297"/>
    </row>
    <row r="57" spans="1:2">
      <c r="A57" s="297"/>
      <c r="B57" s="297"/>
    </row>
    <row r="58" spans="1:2">
      <c r="A58" s="297"/>
      <c r="B58" s="297"/>
    </row>
    <row r="59" spans="1:2">
      <c r="A59" s="297"/>
      <c r="B59" s="297"/>
    </row>
    <row r="60" spans="1:2">
      <c r="A60" s="296" t="s">
        <v>169</v>
      </c>
      <c r="B60" s="307">
        <f>SUM(B42:B59)</f>
        <v>356000</v>
      </c>
    </row>
  </sheetData>
  <mergeCells count="83">
    <mergeCell ref="AK38:AK39"/>
    <mergeCell ref="AL38:AL39"/>
    <mergeCell ref="AJ38:AJ39"/>
    <mergeCell ref="BL3:BL4"/>
    <mergeCell ref="BL38:BL39"/>
    <mergeCell ref="AR38:AR39"/>
    <mergeCell ref="AQ38:AQ39"/>
    <mergeCell ref="AP38:AP39"/>
    <mergeCell ref="AO38:AO39"/>
    <mergeCell ref="AN38:AN39"/>
    <mergeCell ref="AM38:AM39"/>
    <mergeCell ref="AX38:AX39"/>
    <mergeCell ref="AW38:AW39"/>
    <mergeCell ref="AV38:AV39"/>
    <mergeCell ref="AU38:AU39"/>
    <mergeCell ref="AT38:AT39"/>
    <mergeCell ref="BI38:BI39"/>
    <mergeCell ref="BH38:BH39"/>
    <mergeCell ref="BG38:BG39"/>
    <mergeCell ref="BF38:BF39"/>
    <mergeCell ref="AS38:AS39"/>
    <mergeCell ref="BD38:BD39"/>
    <mergeCell ref="BC38:BC39"/>
    <mergeCell ref="BB38:BB39"/>
    <mergeCell ref="BA38:BA39"/>
    <mergeCell ref="AZ38:AZ39"/>
    <mergeCell ref="AY38:AY39"/>
    <mergeCell ref="BE38:BE39"/>
    <mergeCell ref="N20:N21"/>
    <mergeCell ref="Z3:AB3"/>
    <mergeCell ref="BE3:BE4"/>
    <mergeCell ref="AT3:AT4"/>
    <mergeCell ref="AU3:AU4"/>
    <mergeCell ref="AV3:AV4"/>
    <mergeCell ref="AW3:AW4"/>
    <mergeCell ref="AX3:AX4"/>
    <mergeCell ref="P3:P4"/>
    <mergeCell ref="Q3:S3"/>
    <mergeCell ref="T3:V3"/>
    <mergeCell ref="W3:Y3"/>
    <mergeCell ref="BP38:BP39"/>
    <mergeCell ref="BO38:BO39"/>
    <mergeCell ref="BN38:BN39"/>
    <mergeCell ref="BM38:BM39"/>
    <mergeCell ref="BJ38:BJ39"/>
    <mergeCell ref="BK38:BK39"/>
    <mergeCell ref="A1:A2"/>
    <mergeCell ref="B1:B2"/>
    <mergeCell ref="A3:A4"/>
    <mergeCell ref="B3:D3"/>
    <mergeCell ref="E3:H3"/>
    <mergeCell ref="I3:I4"/>
    <mergeCell ref="AS3:AS4"/>
    <mergeCell ref="AC3:AE3"/>
    <mergeCell ref="AF3:AH3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J3:J4"/>
    <mergeCell ref="BF3:BF4"/>
    <mergeCell ref="BO3:BO4"/>
    <mergeCell ref="BP3:BP4"/>
    <mergeCell ref="M19:N19"/>
    <mergeCell ref="BD3:BD4"/>
    <mergeCell ref="BH3:BH4"/>
    <mergeCell ref="BG3:BG4"/>
    <mergeCell ref="BN3:BN4"/>
    <mergeCell ref="BJ3:BJ4"/>
    <mergeCell ref="BK3:BK4"/>
    <mergeCell ref="BM3:BM4"/>
    <mergeCell ref="BI3:BI4"/>
    <mergeCell ref="P36:P37"/>
    <mergeCell ref="AZ3:AZ4"/>
    <mergeCell ref="BA3:BA4"/>
    <mergeCell ref="BB3:BB4"/>
    <mergeCell ref="BC3:BC4"/>
    <mergeCell ref="AY3:AY4"/>
  </mergeCells>
  <phoneticPr fontId="7"/>
  <dataValidations count="6">
    <dataValidation type="list" allowBlank="1" showErrorMessage="1" sqref="Q5:Q6 T5:T35 W5:W35 Z5:Z35 AC5:AC35 AF5:AF35" xr:uid="{DB0280C8-EA20-4627-A313-27A505E1566B}">
      <formula1>入時間</formula1>
    </dataValidation>
    <dataValidation type="list" allowBlank="1" showErrorMessage="1" sqref="R5:R35 U5:U35 X5:X35 AA5:AA35 AD5:AD35 AG5:AG35" xr:uid="{E3DB1CD8-E059-49A5-8BDB-F6C4F5283448}">
      <formula1>出時間</formula1>
    </dataValidation>
    <dataValidation type="list" allowBlank="1" showErrorMessage="1" sqref="Q3:AH3 AK3:AK4 AM3:AM4 AO3:AO4 BE3:BE4 BA3:BA4 AS3:AS4 AY3:AY4 BC3:BC4 AQ3:AQ4 AU3:AU4 AW3:AW4 BG3:BP4" xr:uid="{90F8464C-E385-444D-92D8-C6169D01E7F9}">
      <formula1>名前</formula1>
    </dataValidation>
    <dataValidation type="list" allowBlank="1" showErrorMessage="1" sqref="Q7:Q35" xr:uid="{FC296AE1-310B-4FCD-8B22-04DE60FE665C}">
      <formula1>#REF!</formula1>
    </dataValidation>
    <dataValidation type="list" allowBlank="1" showErrorMessage="1" sqref="S5:S35 V5:V35 Y5:Y35 AB5:AB35 AE5:AE35 AH5:AH35" xr:uid="{4E16C6FB-AA70-44C7-8D21-C76D02F21D3D}">
      <formula1>"　,済"</formula1>
    </dataValidation>
    <dataValidation allowBlank="1" showErrorMessage="1" sqref="AL3:AL4 BB3:BB4 AN3:AN4 AV3:AV4 AT3:AT4 AX3:AX4 AZ3:AZ4 BD3:BD4 AR3:AR4 AP3:AP4 BF3:BF4" xr:uid="{3D33F574-92A7-41A7-B00A-271AC5EA1332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6D12-DE94-D645-B34E-DC8DEA084A29}">
  <dimension ref="A1:AZ55"/>
  <sheetViews>
    <sheetView topLeftCell="N1" zoomScale="106" workbookViewId="0">
      <selection activeCell="U35" sqref="U35"/>
    </sheetView>
  </sheetViews>
  <sheetFormatPr baseColWidth="10" defaultRowHeight="20"/>
  <cols>
    <col min="1" max="1" width="14.5703125" bestFit="1" customWidth="1"/>
    <col min="2" max="2" width="10.85546875" bestFit="1" customWidth="1"/>
    <col min="4" max="4" width="10.85546875" bestFit="1" customWidth="1"/>
    <col min="7" max="7" width="12.42578125" bestFit="1" customWidth="1"/>
    <col min="13" max="13" width="12.7109375" bestFit="1" customWidth="1"/>
    <col min="14" max="14" width="12.5703125" bestFit="1" customWidth="1"/>
    <col min="16" max="16" width="11.5703125" bestFit="1" customWidth="1"/>
    <col min="18" max="18" width="13.140625" bestFit="1" customWidth="1"/>
    <col min="21" max="21" width="11.140625" bestFit="1" customWidth="1"/>
    <col min="41" max="41" width="15.140625" bestFit="1" customWidth="1"/>
  </cols>
  <sheetData>
    <row r="1" spans="1:52">
      <c r="A1" s="498">
        <v>2020</v>
      </c>
      <c r="B1" s="500">
        <v>10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52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52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514" t="s">
        <v>74</v>
      </c>
      <c r="Z3" s="514" t="s">
        <v>160</v>
      </c>
      <c r="AA3" s="492" t="s">
        <v>139</v>
      </c>
      <c r="AB3" s="494">
        <v>0.3</v>
      </c>
      <c r="AC3" s="496" t="s">
        <v>237</v>
      </c>
      <c r="AD3" s="494">
        <v>0.3</v>
      </c>
      <c r="AE3" s="527" t="s">
        <v>54</v>
      </c>
      <c r="AF3" s="494">
        <v>0.3</v>
      </c>
      <c r="AG3" s="492" t="s">
        <v>234</v>
      </c>
      <c r="AH3" s="494">
        <v>0.3</v>
      </c>
      <c r="AI3" s="496" t="s">
        <v>201</v>
      </c>
      <c r="AJ3" s="494">
        <v>0.3</v>
      </c>
      <c r="AK3" s="496" t="s">
        <v>120</v>
      </c>
      <c r="AL3" s="523">
        <v>0.3</v>
      </c>
      <c r="AM3" s="496" t="s">
        <v>188</v>
      </c>
      <c r="AN3" s="520" t="s">
        <v>199</v>
      </c>
      <c r="AO3" s="520" t="s">
        <v>114</v>
      </c>
      <c r="AP3" s="520" t="s">
        <v>207</v>
      </c>
      <c r="AQ3" s="525" t="s">
        <v>240</v>
      </c>
      <c r="AR3" s="520" t="s">
        <v>184</v>
      </c>
      <c r="AS3" s="522" t="s">
        <v>236</v>
      </c>
      <c r="AT3" s="520" t="s">
        <v>236</v>
      </c>
      <c r="AU3" s="496" t="s">
        <v>236</v>
      </c>
      <c r="AV3" s="494">
        <v>0.3</v>
      </c>
      <c r="AY3" s="586" t="s">
        <v>242</v>
      </c>
      <c r="AZ3" s="587"/>
    </row>
    <row r="4" spans="1:52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13"/>
      <c r="Z4" s="513"/>
      <c r="AA4" s="493"/>
      <c r="AB4" s="495"/>
      <c r="AC4" s="497"/>
      <c r="AD4" s="495"/>
      <c r="AE4" s="528"/>
      <c r="AF4" s="495"/>
      <c r="AG4" s="493"/>
      <c r="AH4" s="495"/>
      <c r="AI4" s="497"/>
      <c r="AJ4" s="495"/>
      <c r="AK4" s="497"/>
      <c r="AL4" s="524"/>
      <c r="AM4" s="497"/>
      <c r="AN4" s="521"/>
      <c r="AO4" s="521"/>
      <c r="AP4" s="521"/>
      <c r="AQ4" s="526"/>
      <c r="AR4" s="521"/>
      <c r="AS4" s="522"/>
      <c r="AT4" s="521"/>
      <c r="AU4" s="497"/>
      <c r="AV4" s="495"/>
      <c r="AY4" s="586"/>
      <c r="AZ4" s="588"/>
    </row>
    <row r="5" spans="1:52">
      <c r="A5" s="21">
        <v>44105</v>
      </c>
      <c r="B5" s="318">
        <v>74000</v>
      </c>
      <c r="C5" s="318">
        <v>50000</v>
      </c>
      <c r="D5" s="216">
        <f>SUM(B5:C5)</f>
        <v>124000</v>
      </c>
      <c r="E5" s="319"/>
      <c r="F5" s="318"/>
      <c r="G5" s="320"/>
      <c r="H5" s="216">
        <f>SUM(E5:G5)</f>
        <v>0</v>
      </c>
      <c r="I5" s="320"/>
      <c r="J5" s="216"/>
      <c r="K5" s="29"/>
      <c r="L5" s="1"/>
      <c r="M5" s="1"/>
      <c r="N5" s="1"/>
      <c r="O5" s="1"/>
      <c r="P5" s="55">
        <v>44105</v>
      </c>
      <c r="Q5" s="333"/>
      <c r="R5" s="334"/>
      <c r="S5" s="335"/>
      <c r="T5" s="334"/>
      <c r="U5" s="336">
        <v>62000</v>
      </c>
      <c r="V5" s="334">
        <v>40000</v>
      </c>
      <c r="W5" s="191">
        <v>10000</v>
      </c>
      <c r="X5" s="334"/>
      <c r="Y5" s="337">
        <v>12000</v>
      </c>
      <c r="Z5" s="334"/>
      <c r="AA5" s="338"/>
      <c r="AB5" s="334"/>
      <c r="AC5" s="339"/>
      <c r="AD5" s="334"/>
      <c r="AE5" s="337"/>
      <c r="AF5" s="334"/>
      <c r="AG5" s="338"/>
      <c r="AH5" s="334"/>
      <c r="AI5" s="339"/>
      <c r="AJ5" s="334"/>
      <c r="AK5" s="339"/>
      <c r="AL5" s="340"/>
      <c r="AM5" s="341"/>
      <c r="AN5" s="342"/>
      <c r="AO5" s="342"/>
      <c r="AP5" s="342"/>
      <c r="AQ5" s="342"/>
      <c r="AR5" s="342"/>
      <c r="AS5" s="342"/>
      <c r="AT5" s="342"/>
      <c r="AU5" s="343"/>
      <c r="AV5" s="334"/>
      <c r="AW5" s="2">
        <f>SUM(Q5:AV5)</f>
        <v>124000</v>
      </c>
      <c r="AY5" s="306">
        <v>44125</v>
      </c>
      <c r="AZ5" s="297">
        <v>24000</v>
      </c>
    </row>
    <row r="6" spans="1:52">
      <c r="A6" s="21">
        <v>44106</v>
      </c>
      <c r="B6" s="247">
        <v>161000</v>
      </c>
      <c r="C6" s="318">
        <v>19000</v>
      </c>
      <c r="D6" s="216">
        <f t="shared" ref="D6:D35" si="0">SUM(B6:C6)</f>
        <v>180000</v>
      </c>
      <c r="E6" s="321">
        <v>39363</v>
      </c>
      <c r="F6" s="247">
        <v>5675</v>
      </c>
      <c r="G6" s="320"/>
      <c r="H6" s="216">
        <f t="shared" ref="H6:H34" si="1">SUM(E6:G6)</f>
        <v>45038</v>
      </c>
      <c r="I6" s="247"/>
      <c r="J6" s="217"/>
      <c r="K6" s="29"/>
      <c r="L6" s="1"/>
      <c r="M6" s="1"/>
      <c r="N6" s="1"/>
      <c r="O6" s="1"/>
      <c r="P6" s="55">
        <v>44106</v>
      </c>
      <c r="Q6" s="333"/>
      <c r="R6" s="334"/>
      <c r="S6" s="335"/>
      <c r="T6" s="334"/>
      <c r="U6" s="338">
        <v>92000</v>
      </c>
      <c r="V6" s="334"/>
      <c r="W6" s="339">
        <v>57000</v>
      </c>
      <c r="X6" s="334"/>
      <c r="Y6" s="337">
        <v>4000</v>
      </c>
      <c r="Z6" s="334"/>
      <c r="AA6" s="338">
        <v>27000</v>
      </c>
      <c r="AB6" s="334"/>
      <c r="AC6" s="339"/>
      <c r="AD6" s="334"/>
      <c r="AE6" s="337"/>
      <c r="AF6" s="334"/>
      <c r="AG6" s="338"/>
      <c r="AH6" s="334"/>
      <c r="AI6" s="339"/>
      <c r="AJ6" s="334"/>
      <c r="AK6" s="339"/>
      <c r="AL6" s="340"/>
      <c r="AM6" s="344"/>
      <c r="AN6" s="344"/>
      <c r="AO6" s="341"/>
      <c r="AP6" s="342"/>
      <c r="AQ6" s="342"/>
      <c r="AR6" s="342"/>
      <c r="AS6" s="342"/>
      <c r="AT6" s="342"/>
      <c r="AU6" s="343"/>
      <c r="AV6" s="334"/>
      <c r="AW6" s="2">
        <f t="shared" ref="AW6:AW35" si="2">SUM(Q6:AV6)</f>
        <v>180000</v>
      </c>
    </row>
    <row r="7" spans="1:52">
      <c r="A7" s="21">
        <v>44107</v>
      </c>
      <c r="B7" s="247">
        <v>134000</v>
      </c>
      <c r="C7" s="318">
        <v>30000</v>
      </c>
      <c r="D7" s="216">
        <f t="shared" si="0"/>
        <v>164000</v>
      </c>
      <c r="E7" s="321">
        <v>31442</v>
      </c>
      <c r="F7" s="247">
        <v>1030</v>
      </c>
      <c r="G7" s="320"/>
      <c r="H7" s="216">
        <f t="shared" si="1"/>
        <v>32472</v>
      </c>
      <c r="I7" s="247"/>
      <c r="J7" s="217"/>
      <c r="K7" s="29"/>
      <c r="L7" s="1"/>
      <c r="M7" s="1"/>
      <c r="N7" s="1"/>
      <c r="O7" s="1"/>
      <c r="P7" s="55">
        <v>44107</v>
      </c>
      <c r="Q7" s="333"/>
      <c r="R7" s="334"/>
      <c r="S7" s="335"/>
      <c r="T7" s="334"/>
      <c r="U7" s="338">
        <v>52000</v>
      </c>
      <c r="V7" s="334"/>
      <c r="W7" s="339">
        <v>32000</v>
      </c>
      <c r="X7" s="334"/>
      <c r="Y7" s="337">
        <v>2000</v>
      </c>
      <c r="Z7" s="334"/>
      <c r="AA7" s="335"/>
      <c r="AB7" s="334"/>
      <c r="AC7" s="345"/>
      <c r="AD7" s="334"/>
      <c r="AE7" s="335"/>
      <c r="AF7" s="334"/>
      <c r="AG7" s="335">
        <v>4000</v>
      </c>
      <c r="AH7" s="334"/>
      <c r="AI7" s="346">
        <v>1000</v>
      </c>
      <c r="AJ7" s="334"/>
      <c r="AK7" s="346">
        <v>40000</v>
      </c>
      <c r="AL7" s="340"/>
      <c r="AM7" s="344">
        <v>33000</v>
      </c>
      <c r="AN7" s="344"/>
      <c r="AO7" s="341"/>
      <c r="AP7" s="342"/>
      <c r="AQ7" s="342"/>
      <c r="AR7" s="342"/>
      <c r="AS7" s="342"/>
      <c r="AT7" s="342"/>
      <c r="AU7" s="347"/>
      <c r="AV7" s="334"/>
      <c r="AW7" s="2">
        <f t="shared" si="2"/>
        <v>164000</v>
      </c>
    </row>
    <row r="8" spans="1:52">
      <c r="A8" s="21">
        <v>44108</v>
      </c>
      <c r="B8" s="247">
        <v>178000</v>
      </c>
      <c r="C8" s="318"/>
      <c r="D8" s="216">
        <f t="shared" si="0"/>
        <v>178000</v>
      </c>
      <c r="E8" s="321">
        <v>12731</v>
      </c>
      <c r="F8" s="247"/>
      <c r="G8" s="320"/>
      <c r="H8" s="216">
        <f t="shared" si="1"/>
        <v>12731</v>
      </c>
      <c r="I8" s="247"/>
      <c r="J8" s="217"/>
      <c r="K8" s="29"/>
      <c r="L8" s="1"/>
      <c r="M8" s="1"/>
      <c r="N8" s="1"/>
      <c r="O8" s="1"/>
      <c r="P8" s="55">
        <v>44108</v>
      </c>
      <c r="Q8" s="333"/>
      <c r="R8" s="334"/>
      <c r="S8" s="335"/>
      <c r="T8" s="334"/>
      <c r="U8" s="338">
        <v>94000</v>
      </c>
      <c r="V8" s="334"/>
      <c r="W8" s="339">
        <v>40000</v>
      </c>
      <c r="X8" s="334">
        <v>25000</v>
      </c>
      <c r="Y8" s="337"/>
      <c r="Z8" s="334"/>
      <c r="AA8" s="335">
        <v>7000</v>
      </c>
      <c r="AB8" s="334"/>
      <c r="AC8" s="348"/>
      <c r="AD8" s="334"/>
      <c r="AE8" s="335">
        <v>12000</v>
      </c>
      <c r="AF8" s="334"/>
      <c r="AG8" s="335"/>
      <c r="AH8" s="334"/>
      <c r="AI8" s="335"/>
      <c r="AJ8" s="334"/>
      <c r="AK8" s="335"/>
      <c r="AL8" s="334"/>
      <c r="AM8" s="349"/>
      <c r="AN8" s="341"/>
      <c r="AO8" s="350"/>
      <c r="AP8" s="341"/>
      <c r="AQ8" s="342"/>
      <c r="AR8" s="342"/>
      <c r="AS8" s="342"/>
      <c r="AT8" s="342"/>
      <c r="AU8" s="337"/>
      <c r="AV8" s="334"/>
      <c r="AW8" s="2">
        <f t="shared" si="2"/>
        <v>178000</v>
      </c>
    </row>
    <row r="9" spans="1:52">
      <c r="A9" s="21">
        <v>44109</v>
      </c>
      <c r="B9" s="247">
        <v>57500</v>
      </c>
      <c r="C9" s="318"/>
      <c r="D9" s="216">
        <f t="shared" si="0"/>
        <v>57500</v>
      </c>
      <c r="E9" s="321">
        <v>15140</v>
      </c>
      <c r="F9" s="247">
        <v>2594</v>
      </c>
      <c r="G9" s="320"/>
      <c r="H9" s="216">
        <f t="shared" si="1"/>
        <v>17734</v>
      </c>
      <c r="I9" s="247"/>
      <c r="J9" s="217"/>
      <c r="K9" s="29"/>
      <c r="L9" s="1"/>
      <c r="M9" s="1"/>
      <c r="N9" s="1"/>
      <c r="O9" s="1"/>
      <c r="P9" s="55">
        <v>44109</v>
      </c>
      <c r="Q9" s="333"/>
      <c r="R9" s="334"/>
      <c r="S9" s="335"/>
      <c r="T9" s="334"/>
      <c r="U9" s="335">
        <v>41000</v>
      </c>
      <c r="V9" s="334"/>
      <c r="W9" s="346"/>
      <c r="X9" s="334"/>
      <c r="Y9" s="335">
        <v>16500</v>
      </c>
      <c r="Z9" s="334"/>
      <c r="AA9" s="335"/>
      <c r="AB9" s="334"/>
      <c r="AC9" s="348"/>
      <c r="AD9" s="334"/>
      <c r="AE9" s="335"/>
      <c r="AF9" s="334"/>
      <c r="AG9" s="335"/>
      <c r="AH9" s="334"/>
      <c r="AI9" s="335"/>
      <c r="AJ9" s="334"/>
      <c r="AK9" s="335"/>
      <c r="AL9" s="334"/>
      <c r="AM9" s="340"/>
      <c r="AN9" s="341"/>
      <c r="AO9" s="350"/>
      <c r="AP9" s="344"/>
      <c r="AQ9" s="341"/>
      <c r="AR9" s="341"/>
      <c r="AS9" s="341"/>
      <c r="AT9" s="341"/>
      <c r="AU9" s="337"/>
      <c r="AV9" s="334"/>
      <c r="AW9" s="2">
        <f t="shared" si="2"/>
        <v>57500</v>
      </c>
    </row>
    <row r="10" spans="1:52">
      <c r="A10" s="21">
        <v>44110</v>
      </c>
      <c r="B10" s="247"/>
      <c r="C10" s="318"/>
      <c r="D10" s="216">
        <f t="shared" si="0"/>
        <v>0</v>
      </c>
      <c r="E10" s="321"/>
      <c r="F10" s="247"/>
      <c r="G10" s="320"/>
      <c r="H10" s="216">
        <f t="shared" si="1"/>
        <v>0</v>
      </c>
      <c r="I10" s="247"/>
      <c r="J10" s="217"/>
      <c r="K10" s="29"/>
      <c r="L10" s="1"/>
      <c r="M10" s="516" t="s">
        <v>26</v>
      </c>
      <c r="N10" s="517"/>
      <c r="O10" s="1"/>
      <c r="P10" s="55">
        <v>44110</v>
      </c>
      <c r="Q10" s="333"/>
      <c r="R10" s="334"/>
      <c r="S10" s="335"/>
      <c r="T10" s="334"/>
      <c r="U10" s="335"/>
      <c r="V10" s="334"/>
      <c r="W10" s="335"/>
      <c r="X10" s="334"/>
      <c r="Y10" s="335"/>
      <c r="Z10" s="334"/>
      <c r="AA10" s="335"/>
      <c r="AB10" s="334"/>
      <c r="AC10" s="348"/>
      <c r="AD10" s="334"/>
      <c r="AE10" s="335"/>
      <c r="AF10" s="334"/>
      <c r="AG10" s="335"/>
      <c r="AH10" s="334"/>
      <c r="AI10" s="335"/>
      <c r="AJ10" s="334"/>
      <c r="AK10" s="335"/>
      <c r="AL10" s="334"/>
      <c r="AM10" s="340"/>
      <c r="AN10" s="341"/>
      <c r="AO10" s="350"/>
      <c r="AP10" s="344"/>
      <c r="AQ10" s="341"/>
      <c r="AR10" s="341"/>
      <c r="AS10" s="341"/>
      <c r="AT10" s="341"/>
      <c r="AU10" s="337"/>
      <c r="AV10" s="334"/>
      <c r="AW10" s="2">
        <f t="shared" si="2"/>
        <v>0</v>
      </c>
    </row>
    <row r="11" spans="1:52">
      <c r="A11" s="21">
        <v>44111</v>
      </c>
      <c r="B11" s="247">
        <v>63000</v>
      </c>
      <c r="C11" s="318">
        <v>4700</v>
      </c>
      <c r="D11" s="216">
        <f t="shared" si="0"/>
        <v>67700</v>
      </c>
      <c r="E11" s="321">
        <v>27419</v>
      </c>
      <c r="F11" s="247"/>
      <c r="G11" s="320"/>
      <c r="H11" s="216">
        <f t="shared" si="1"/>
        <v>27419</v>
      </c>
      <c r="I11" s="247"/>
      <c r="J11" s="217"/>
      <c r="K11" s="29"/>
      <c r="L11" s="1"/>
      <c r="M11" s="47" t="s">
        <v>27</v>
      </c>
      <c r="N11" s="518">
        <v>310000</v>
      </c>
      <c r="O11" s="1"/>
      <c r="P11" s="55">
        <v>44111</v>
      </c>
      <c r="Q11" s="333"/>
      <c r="R11" s="334"/>
      <c r="S11" s="335"/>
      <c r="T11" s="334"/>
      <c r="U11" s="335">
        <v>37000</v>
      </c>
      <c r="V11" s="334"/>
      <c r="W11" s="335">
        <v>2000</v>
      </c>
      <c r="X11" s="334"/>
      <c r="Y11" s="335"/>
      <c r="Z11" s="334"/>
      <c r="AA11" s="335"/>
      <c r="AB11" s="334"/>
      <c r="AC11" s="348">
        <v>28700</v>
      </c>
      <c r="AD11" s="334"/>
      <c r="AE11" s="335"/>
      <c r="AF11" s="334"/>
      <c r="AG11" s="335"/>
      <c r="AH11" s="334"/>
      <c r="AI11" s="335"/>
      <c r="AJ11" s="334"/>
      <c r="AK11" s="335"/>
      <c r="AL11" s="334"/>
      <c r="AM11" s="340"/>
      <c r="AN11" s="341"/>
      <c r="AO11" s="350"/>
      <c r="AP11" s="344"/>
      <c r="AQ11" s="341"/>
      <c r="AR11" s="341"/>
      <c r="AS11" s="341"/>
      <c r="AT11" s="341"/>
      <c r="AU11" s="337"/>
      <c r="AV11" s="334"/>
      <c r="AW11" s="2">
        <f t="shared" si="2"/>
        <v>67700</v>
      </c>
    </row>
    <row r="12" spans="1:52">
      <c r="A12" s="21">
        <v>44112</v>
      </c>
      <c r="B12" s="247">
        <v>2000</v>
      </c>
      <c r="C12" s="318"/>
      <c r="D12" s="216">
        <f t="shared" si="0"/>
        <v>2000</v>
      </c>
      <c r="E12" s="321"/>
      <c r="F12" s="247"/>
      <c r="G12" s="320"/>
      <c r="H12" s="216">
        <f t="shared" si="1"/>
        <v>0</v>
      </c>
      <c r="I12" s="247"/>
      <c r="J12" s="217"/>
      <c r="K12" s="29"/>
      <c r="L12" s="1"/>
      <c r="M12" s="47" t="s">
        <v>28</v>
      </c>
      <c r="N12" s="519"/>
      <c r="O12" s="1"/>
      <c r="P12" s="55">
        <v>44112</v>
      </c>
      <c r="Q12" s="333"/>
      <c r="R12" s="334"/>
      <c r="S12" s="335"/>
      <c r="T12" s="334"/>
      <c r="U12" s="335"/>
      <c r="V12" s="334"/>
      <c r="W12" s="335"/>
      <c r="X12" s="334"/>
      <c r="Y12" s="335"/>
      <c r="Z12" s="334"/>
      <c r="AA12" s="335"/>
      <c r="AB12" s="334"/>
      <c r="AC12" s="348">
        <v>2000</v>
      </c>
      <c r="AD12" s="334"/>
      <c r="AE12" s="335"/>
      <c r="AF12" s="334"/>
      <c r="AG12" s="335"/>
      <c r="AH12" s="334"/>
      <c r="AI12" s="335"/>
      <c r="AJ12" s="334"/>
      <c r="AK12" s="335"/>
      <c r="AL12" s="334"/>
      <c r="AM12" s="340"/>
      <c r="AN12" s="341"/>
      <c r="AO12" s="350"/>
      <c r="AP12" s="344"/>
      <c r="AQ12" s="341"/>
      <c r="AR12" s="341"/>
      <c r="AS12" s="341"/>
      <c r="AT12" s="341"/>
      <c r="AU12" s="337"/>
      <c r="AV12" s="334"/>
      <c r="AW12" s="2">
        <f t="shared" si="2"/>
        <v>2000</v>
      </c>
    </row>
    <row r="13" spans="1:52">
      <c r="A13" s="21">
        <v>44113</v>
      </c>
      <c r="B13" s="247">
        <v>181000</v>
      </c>
      <c r="C13" s="318"/>
      <c r="D13" s="216">
        <f t="shared" si="0"/>
        <v>181000</v>
      </c>
      <c r="E13" s="321">
        <v>11019</v>
      </c>
      <c r="F13" s="247"/>
      <c r="G13" s="320"/>
      <c r="H13" s="216">
        <f t="shared" si="1"/>
        <v>11019</v>
      </c>
      <c r="I13" s="247"/>
      <c r="J13" s="217"/>
      <c r="K13" s="29"/>
      <c r="L13" s="1"/>
      <c r="M13" s="47" t="s">
        <v>29</v>
      </c>
      <c r="N13" s="35">
        <v>7000</v>
      </c>
      <c r="O13" s="1"/>
      <c r="P13" s="55">
        <v>44113</v>
      </c>
      <c r="Q13" s="333"/>
      <c r="R13" s="334"/>
      <c r="S13" s="335"/>
      <c r="T13" s="334"/>
      <c r="U13" s="335">
        <v>73000</v>
      </c>
      <c r="V13" s="334"/>
      <c r="W13" s="335">
        <v>58000</v>
      </c>
      <c r="X13" s="334"/>
      <c r="Y13" s="335">
        <v>11000</v>
      </c>
      <c r="Z13" s="334"/>
      <c r="AA13" s="335"/>
      <c r="AB13" s="334"/>
      <c r="AC13" s="348">
        <v>25000</v>
      </c>
      <c r="AD13" s="334"/>
      <c r="AE13" s="335"/>
      <c r="AF13" s="334"/>
      <c r="AG13" s="335"/>
      <c r="AH13" s="334"/>
      <c r="AI13" s="335"/>
      <c r="AJ13" s="334"/>
      <c r="AK13" s="335">
        <v>1000</v>
      </c>
      <c r="AL13" s="334"/>
      <c r="AM13" s="340"/>
      <c r="AN13" s="341">
        <v>13000</v>
      </c>
      <c r="AO13" s="350"/>
      <c r="AP13" s="344"/>
      <c r="AQ13" s="341"/>
      <c r="AR13" s="341"/>
      <c r="AS13" s="341"/>
      <c r="AT13" s="341"/>
      <c r="AU13" s="337"/>
      <c r="AV13" s="334"/>
      <c r="AW13" s="2">
        <f t="shared" si="2"/>
        <v>181000</v>
      </c>
    </row>
    <row r="14" spans="1:52">
      <c r="A14" s="21">
        <v>44114</v>
      </c>
      <c r="B14" s="247">
        <v>198000</v>
      </c>
      <c r="C14" s="318">
        <v>10000</v>
      </c>
      <c r="D14" s="216">
        <f t="shared" si="0"/>
        <v>208000</v>
      </c>
      <c r="E14" s="321">
        <v>10844</v>
      </c>
      <c r="F14" s="374">
        <v>1998</v>
      </c>
      <c r="G14" s="320"/>
      <c r="H14" s="216">
        <f t="shared" si="1"/>
        <v>12842</v>
      </c>
      <c r="I14" s="247"/>
      <c r="J14" s="217"/>
      <c r="K14" s="29"/>
      <c r="L14" s="1"/>
      <c r="M14" s="47" t="s">
        <v>30</v>
      </c>
      <c r="N14" s="35">
        <v>4800</v>
      </c>
      <c r="O14" s="1"/>
      <c r="P14" s="55">
        <v>44114</v>
      </c>
      <c r="Q14" s="333"/>
      <c r="R14" s="334"/>
      <c r="S14" s="335"/>
      <c r="T14" s="334"/>
      <c r="U14" s="335">
        <v>104000</v>
      </c>
      <c r="V14" s="334"/>
      <c r="W14" s="335">
        <v>14000</v>
      </c>
      <c r="X14" s="334"/>
      <c r="Y14" s="335">
        <v>10000</v>
      </c>
      <c r="Z14" s="334"/>
      <c r="AA14" s="335">
        <v>15000</v>
      </c>
      <c r="AB14" s="334"/>
      <c r="AC14" s="348">
        <v>31000</v>
      </c>
      <c r="AD14" s="334"/>
      <c r="AE14" s="335"/>
      <c r="AF14" s="334"/>
      <c r="AG14" s="335">
        <v>1000</v>
      </c>
      <c r="AH14" s="334"/>
      <c r="AI14" s="335"/>
      <c r="AJ14" s="334"/>
      <c r="AK14" s="335">
        <v>33000</v>
      </c>
      <c r="AL14" s="334"/>
      <c r="AM14" s="340"/>
      <c r="AN14" s="341"/>
      <c r="AO14" s="351"/>
      <c r="AP14" s="344"/>
      <c r="AQ14" s="341"/>
      <c r="AR14" s="341"/>
      <c r="AS14" s="341"/>
      <c r="AT14" s="341"/>
      <c r="AU14" s="337"/>
      <c r="AV14" s="334"/>
      <c r="AW14" s="2">
        <f t="shared" si="2"/>
        <v>208000</v>
      </c>
    </row>
    <row r="15" spans="1:52">
      <c r="A15" s="21">
        <v>44115</v>
      </c>
      <c r="B15" s="247">
        <v>28000</v>
      </c>
      <c r="C15" s="318">
        <v>88000</v>
      </c>
      <c r="D15" s="216">
        <f t="shared" si="0"/>
        <v>116000</v>
      </c>
      <c r="E15" s="321">
        <v>20846</v>
      </c>
      <c r="F15" s="247"/>
      <c r="G15" s="320"/>
      <c r="H15" s="216">
        <f t="shared" si="1"/>
        <v>20846</v>
      </c>
      <c r="I15" s="247"/>
      <c r="J15" s="217"/>
      <c r="K15" s="29"/>
      <c r="L15" s="1"/>
      <c r="M15" s="47" t="s">
        <v>31</v>
      </c>
      <c r="N15" s="35">
        <v>417000</v>
      </c>
      <c r="O15" s="1"/>
      <c r="P15" s="55">
        <v>44115</v>
      </c>
      <c r="Q15" s="333">
        <v>91000</v>
      </c>
      <c r="R15" s="334"/>
      <c r="S15" s="335"/>
      <c r="T15" s="334"/>
      <c r="U15" s="335">
        <v>18000</v>
      </c>
      <c r="V15" s="334"/>
      <c r="W15" s="335"/>
      <c r="X15" s="334"/>
      <c r="Y15" s="335">
        <v>1000</v>
      </c>
      <c r="Z15" s="334"/>
      <c r="AA15" s="335">
        <v>6000</v>
      </c>
      <c r="AB15" s="334"/>
      <c r="AC15" s="348"/>
      <c r="AD15" s="334"/>
      <c r="AE15" s="335"/>
      <c r="AF15" s="334"/>
      <c r="AG15" s="335"/>
      <c r="AH15" s="334"/>
      <c r="AI15" s="335"/>
      <c r="AJ15" s="334"/>
      <c r="AK15" s="335"/>
      <c r="AL15" s="334"/>
      <c r="AM15" s="340"/>
      <c r="AN15" s="341"/>
      <c r="AO15" s="352"/>
      <c r="AP15" s="344"/>
      <c r="AQ15" s="341"/>
      <c r="AR15" s="341"/>
      <c r="AS15" s="341"/>
      <c r="AT15" s="341"/>
      <c r="AU15" s="337"/>
      <c r="AV15" s="334"/>
      <c r="AW15" s="2">
        <f t="shared" si="2"/>
        <v>116000</v>
      </c>
    </row>
    <row r="16" spans="1:52">
      <c r="A16" s="21">
        <v>44116</v>
      </c>
      <c r="B16" s="247">
        <v>119000</v>
      </c>
      <c r="C16" s="318">
        <v>6000</v>
      </c>
      <c r="D16" s="216">
        <f t="shared" si="0"/>
        <v>125000</v>
      </c>
      <c r="E16" s="321">
        <v>6600</v>
      </c>
      <c r="F16" s="247"/>
      <c r="G16" s="320"/>
      <c r="H16" s="216">
        <f t="shared" si="1"/>
        <v>6600</v>
      </c>
      <c r="I16" s="247"/>
      <c r="J16" s="217"/>
      <c r="K16" s="29"/>
      <c r="L16" s="1"/>
      <c r="M16" s="47" t="s">
        <v>32</v>
      </c>
      <c r="N16" s="35">
        <v>44000</v>
      </c>
      <c r="O16" s="1"/>
      <c r="P16" s="55">
        <v>44116</v>
      </c>
      <c r="Q16" s="333"/>
      <c r="R16" s="334"/>
      <c r="S16" s="335"/>
      <c r="T16" s="334"/>
      <c r="U16" s="335">
        <v>91000</v>
      </c>
      <c r="V16" s="334"/>
      <c r="W16" s="335"/>
      <c r="X16" s="334"/>
      <c r="Y16" s="335"/>
      <c r="Z16" s="334"/>
      <c r="AA16" s="335">
        <v>17000</v>
      </c>
      <c r="AB16" s="334"/>
      <c r="AC16" s="348"/>
      <c r="AD16" s="334"/>
      <c r="AE16" s="335"/>
      <c r="AF16" s="334"/>
      <c r="AG16" s="335"/>
      <c r="AH16" s="334"/>
      <c r="AI16" s="335"/>
      <c r="AJ16" s="334"/>
      <c r="AK16" s="335"/>
      <c r="AL16" s="334"/>
      <c r="AM16" s="334"/>
      <c r="AN16" s="353"/>
      <c r="AO16" s="340">
        <v>17000</v>
      </c>
      <c r="AP16" s="344"/>
      <c r="AQ16" s="341"/>
      <c r="AR16" s="341"/>
      <c r="AS16" s="341"/>
      <c r="AT16" s="341"/>
      <c r="AU16" s="337"/>
      <c r="AV16" s="334"/>
      <c r="AW16" s="2">
        <f t="shared" si="2"/>
        <v>125000</v>
      </c>
    </row>
    <row r="17" spans="1:49">
      <c r="A17" s="21">
        <v>44117</v>
      </c>
      <c r="B17" s="247"/>
      <c r="C17" s="318"/>
      <c r="D17" s="216">
        <f t="shared" si="0"/>
        <v>0</v>
      </c>
      <c r="E17" s="321"/>
      <c r="F17" s="247"/>
      <c r="G17" s="320"/>
      <c r="H17" s="216">
        <f t="shared" si="1"/>
        <v>0</v>
      </c>
      <c r="I17" s="247"/>
      <c r="J17" s="217"/>
      <c r="K17" s="29"/>
      <c r="L17" s="1"/>
      <c r="M17" s="47"/>
      <c r="N17" s="35"/>
      <c r="O17" s="1"/>
      <c r="P17" s="55">
        <v>44117</v>
      </c>
      <c r="Q17" s="333"/>
      <c r="R17" s="334"/>
      <c r="S17" s="335"/>
      <c r="T17" s="334"/>
      <c r="U17" s="335"/>
      <c r="V17" s="334"/>
      <c r="W17" s="335"/>
      <c r="X17" s="334"/>
      <c r="Y17" s="335"/>
      <c r="Z17" s="334"/>
      <c r="AA17" s="335"/>
      <c r="AB17" s="334"/>
      <c r="AC17" s="348"/>
      <c r="AD17" s="334"/>
      <c r="AE17" s="335"/>
      <c r="AF17" s="334"/>
      <c r="AG17" s="335"/>
      <c r="AH17" s="334"/>
      <c r="AI17" s="335"/>
      <c r="AJ17" s="334"/>
      <c r="AK17" s="335"/>
      <c r="AL17" s="334"/>
      <c r="AM17" s="334"/>
      <c r="AN17" s="334"/>
      <c r="AO17" s="340"/>
      <c r="AP17" s="344"/>
      <c r="AQ17" s="341"/>
      <c r="AR17" s="341"/>
      <c r="AS17" s="341"/>
      <c r="AT17" s="341"/>
      <c r="AU17" s="337"/>
      <c r="AV17" s="334"/>
      <c r="AW17" s="2">
        <f t="shared" si="2"/>
        <v>0</v>
      </c>
    </row>
    <row r="18" spans="1:49">
      <c r="A18" s="21">
        <v>44118</v>
      </c>
      <c r="B18" s="247">
        <v>177420</v>
      </c>
      <c r="C18" s="318">
        <v>20000</v>
      </c>
      <c r="D18" s="216">
        <f t="shared" si="0"/>
        <v>197420</v>
      </c>
      <c r="E18" s="321">
        <v>7983</v>
      </c>
      <c r="F18" s="247"/>
      <c r="G18" s="320"/>
      <c r="H18" s="216">
        <f t="shared" si="1"/>
        <v>7983</v>
      </c>
      <c r="I18" s="247"/>
      <c r="J18" s="217"/>
      <c r="K18" s="29"/>
      <c r="L18" s="1"/>
      <c r="M18" s="47"/>
      <c r="N18" s="35"/>
      <c r="O18" s="1"/>
      <c r="P18" s="55">
        <v>44118</v>
      </c>
      <c r="Q18" s="333"/>
      <c r="R18" s="334"/>
      <c r="S18" s="335"/>
      <c r="T18" s="334"/>
      <c r="U18" s="335">
        <v>20000</v>
      </c>
      <c r="V18" s="334"/>
      <c r="W18" s="335"/>
      <c r="X18" s="334"/>
      <c r="Y18" s="335"/>
      <c r="Z18" s="334"/>
      <c r="AA18" s="335"/>
      <c r="AB18" s="334"/>
      <c r="AC18" s="348">
        <v>157420</v>
      </c>
      <c r="AD18" s="334">
        <v>20000</v>
      </c>
      <c r="AE18" s="335"/>
      <c r="AF18" s="334"/>
      <c r="AG18" s="335"/>
      <c r="AH18" s="334"/>
      <c r="AI18" s="335"/>
      <c r="AJ18" s="334"/>
      <c r="AK18" s="335"/>
      <c r="AL18" s="334"/>
      <c r="AM18" s="334"/>
      <c r="AN18" s="334"/>
      <c r="AO18" s="340"/>
      <c r="AP18" s="344"/>
      <c r="AQ18" s="341"/>
      <c r="AR18" s="341"/>
      <c r="AS18" s="341"/>
      <c r="AT18" s="341"/>
      <c r="AU18" s="337"/>
      <c r="AV18" s="334"/>
      <c r="AW18" s="2">
        <f t="shared" si="2"/>
        <v>197420</v>
      </c>
    </row>
    <row r="19" spans="1:49">
      <c r="A19" s="21">
        <v>44119</v>
      </c>
      <c r="B19" s="247">
        <v>73000</v>
      </c>
      <c r="C19" s="318">
        <v>113000</v>
      </c>
      <c r="D19" s="216">
        <f t="shared" si="0"/>
        <v>186000</v>
      </c>
      <c r="E19" s="321">
        <v>10724</v>
      </c>
      <c r="F19" s="247"/>
      <c r="G19" s="320"/>
      <c r="H19" s="216">
        <f t="shared" si="1"/>
        <v>10724</v>
      </c>
      <c r="I19" s="247"/>
      <c r="J19" s="217"/>
      <c r="K19" s="29"/>
      <c r="L19" s="1"/>
      <c r="M19" s="49" t="s">
        <v>33</v>
      </c>
      <c r="N19" s="50">
        <f>SUM(N11:N18)</f>
        <v>782800</v>
      </c>
      <c r="O19" s="1"/>
      <c r="P19" s="55">
        <v>44119</v>
      </c>
      <c r="Q19" s="333"/>
      <c r="R19" s="334"/>
      <c r="S19" s="335"/>
      <c r="T19" s="334"/>
      <c r="U19" s="335">
        <v>35000</v>
      </c>
      <c r="V19" s="334">
        <v>100000</v>
      </c>
      <c r="W19" s="335">
        <v>25000</v>
      </c>
      <c r="X19" s="334"/>
      <c r="Y19" s="335">
        <v>2000</v>
      </c>
      <c r="Z19" s="334">
        <v>5000</v>
      </c>
      <c r="AA19" s="335">
        <v>16000</v>
      </c>
      <c r="AB19" s="334"/>
      <c r="AC19" s="348"/>
      <c r="AD19" s="334"/>
      <c r="AE19" s="335"/>
      <c r="AF19" s="334"/>
      <c r="AG19" s="335"/>
      <c r="AH19" s="334"/>
      <c r="AI19" s="335"/>
      <c r="AJ19" s="334"/>
      <c r="AK19" s="335"/>
      <c r="AL19" s="334"/>
      <c r="AM19" s="334"/>
      <c r="AN19" s="334"/>
      <c r="AO19" s="340"/>
      <c r="AP19" s="344">
        <v>3000</v>
      </c>
      <c r="AQ19" s="341"/>
      <c r="AR19" s="341"/>
      <c r="AS19" s="341"/>
      <c r="AT19" s="341"/>
      <c r="AU19" s="337"/>
      <c r="AV19" s="334"/>
      <c r="AW19" s="2">
        <f t="shared" si="2"/>
        <v>186000</v>
      </c>
    </row>
    <row r="20" spans="1:49">
      <c r="A20" s="21">
        <v>44120</v>
      </c>
      <c r="B20" s="247">
        <v>121000</v>
      </c>
      <c r="C20" s="247"/>
      <c r="D20" s="216">
        <f t="shared" si="0"/>
        <v>121000</v>
      </c>
      <c r="E20" s="321">
        <v>88418</v>
      </c>
      <c r="F20" s="247"/>
      <c r="G20" s="320"/>
      <c r="H20" s="216">
        <f t="shared" si="1"/>
        <v>88418</v>
      </c>
      <c r="I20" s="247"/>
      <c r="J20" s="217"/>
      <c r="K20" s="29"/>
      <c r="L20" s="1"/>
      <c r="M20" s="51"/>
      <c r="N20" s="7"/>
      <c r="O20" s="1"/>
      <c r="P20" s="55">
        <v>44120</v>
      </c>
      <c r="Q20" s="333"/>
      <c r="R20" s="334"/>
      <c r="S20" s="335"/>
      <c r="T20" s="334"/>
      <c r="U20" s="335">
        <v>10000</v>
      </c>
      <c r="V20" s="334"/>
      <c r="W20" s="335">
        <v>60000</v>
      </c>
      <c r="X20" s="334">
        <v>25000</v>
      </c>
      <c r="Y20" s="335">
        <v>1000</v>
      </c>
      <c r="Z20" s="334"/>
      <c r="AA20" s="335"/>
      <c r="AB20" s="334"/>
      <c r="AC20" s="348"/>
      <c r="AD20" s="334"/>
      <c r="AE20" s="335"/>
      <c r="AF20" s="334"/>
      <c r="AG20" s="335"/>
      <c r="AH20" s="334"/>
      <c r="AI20" s="335"/>
      <c r="AJ20" s="334"/>
      <c r="AK20" s="335"/>
      <c r="AL20" s="334"/>
      <c r="AM20" s="334"/>
      <c r="AN20" s="334">
        <v>25000</v>
      </c>
      <c r="AO20" s="340"/>
      <c r="AP20" s="344"/>
      <c r="AQ20" s="341"/>
      <c r="AR20" s="341"/>
      <c r="AS20" s="341"/>
      <c r="AT20" s="341"/>
      <c r="AU20" s="337"/>
      <c r="AV20" s="334"/>
      <c r="AW20" s="2">
        <f t="shared" si="2"/>
        <v>121000</v>
      </c>
    </row>
    <row r="21" spans="1:49">
      <c r="A21" s="21">
        <v>44121</v>
      </c>
      <c r="B21" s="247">
        <v>143000</v>
      </c>
      <c r="C21" s="247">
        <v>26000</v>
      </c>
      <c r="D21" s="216">
        <f t="shared" si="0"/>
        <v>169000</v>
      </c>
      <c r="E21" s="321">
        <v>4964</v>
      </c>
      <c r="F21" s="247">
        <v>1998</v>
      </c>
      <c r="G21" s="320"/>
      <c r="H21" s="216">
        <f t="shared" si="1"/>
        <v>6962</v>
      </c>
      <c r="I21" s="247"/>
      <c r="J21" s="217"/>
      <c r="K21" s="29"/>
      <c r="L21" s="1"/>
      <c r="M21" s="1"/>
      <c r="N21" s="1"/>
      <c r="O21" s="1"/>
      <c r="P21" s="55">
        <v>44121</v>
      </c>
      <c r="Q21" s="333">
        <v>32000</v>
      </c>
      <c r="R21" s="334"/>
      <c r="S21" s="335"/>
      <c r="T21" s="334"/>
      <c r="U21" s="335">
        <v>36000</v>
      </c>
      <c r="V21" s="334"/>
      <c r="W21" s="335">
        <v>38000</v>
      </c>
      <c r="X21" s="334"/>
      <c r="Y21" s="335">
        <v>20000</v>
      </c>
      <c r="Z21" s="334"/>
      <c r="AA21" s="335">
        <v>20000</v>
      </c>
      <c r="AB21" s="334"/>
      <c r="AC21" s="348">
        <v>20000</v>
      </c>
      <c r="AD21" s="334"/>
      <c r="AE21" s="335"/>
      <c r="AF21" s="334"/>
      <c r="AG21" s="335"/>
      <c r="AH21" s="334"/>
      <c r="AI21" s="335"/>
      <c r="AJ21" s="334"/>
      <c r="AK21" s="335">
        <v>3000</v>
      </c>
      <c r="AL21" s="334"/>
      <c r="AM21" s="334"/>
      <c r="AN21" s="334"/>
      <c r="AO21" s="334"/>
      <c r="AP21" s="349"/>
      <c r="AQ21" s="341"/>
      <c r="AR21" s="341"/>
      <c r="AS21" s="341"/>
      <c r="AT21" s="341"/>
      <c r="AU21" s="337"/>
      <c r="AV21" s="334"/>
      <c r="AW21" s="2">
        <f t="shared" si="2"/>
        <v>169000</v>
      </c>
    </row>
    <row r="22" spans="1:49">
      <c r="A22" s="21">
        <v>44122</v>
      </c>
      <c r="B22" s="247">
        <v>126000</v>
      </c>
      <c r="C22" s="247"/>
      <c r="D22" s="216">
        <f t="shared" si="0"/>
        <v>126000</v>
      </c>
      <c r="E22" s="321">
        <v>28831</v>
      </c>
      <c r="F22" s="247"/>
      <c r="G22" s="320"/>
      <c r="H22" s="216">
        <f t="shared" si="1"/>
        <v>28831</v>
      </c>
      <c r="I22" s="247"/>
      <c r="J22" s="217"/>
      <c r="K22" s="29"/>
      <c r="L22" s="1"/>
      <c r="M22" s="1"/>
      <c r="N22" s="1"/>
      <c r="O22" s="1"/>
      <c r="P22" s="55">
        <v>44122</v>
      </c>
      <c r="Q22" s="333"/>
      <c r="R22" s="334"/>
      <c r="S22" s="335"/>
      <c r="T22" s="334"/>
      <c r="U22" s="335">
        <v>2000</v>
      </c>
      <c r="V22" s="334"/>
      <c r="W22" s="335">
        <v>63000</v>
      </c>
      <c r="X22" s="334"/>
      <c r="Y22" s="354"/>
      <c r="Z22" s="334">
        <v>5000</v>
      </c>
      <c r="AA22" s="335">
        <v>50000</v>
      </c>
      <c r="AB22" s="334"/>
      <c r="AC22" s="348">
        <v>6000</v>
      </c>
      <c r="AD22" s="334"/>
      <c r="AE22" s="335"/>
      <c r="AF22" s="334"/>
      <c r="AG22" s="335"/>
      <c r="AH22" s="334"/>
      <c r="AI22" s="335"/>
      <c r="AJ22" s="334"/>
      <c r="AK22" s="335"/>
      <c r="AL22" s="334"/>
      <c r="AM22" s="334"/>
      <c r="AN22" s="334"/>
      <c r="AO22" s="334"/>
      <c r="AP22" s="340"/>
      <c r="AQ22" s="341"/>
      <c r="AR22" s="341"/>
      <c r="AS22" s="341"/>
      <c r="AT22" s="341"/>
      <c r="AU22" s="337"/>
      <c r="AV22" s="334"/>
      <c r="AW22" s="2">
        <f t="shared" si="2"/>
        <v>126000</v>
      </c>
    </row>
    <row r="23" spans="1:49">
      <c r="A23" s="21">
        <v>44123</v>
      </c>
      <c r="B23" s="247">
        <v>194000</v>
      </c>
      <c r="C23" s="247">
        <v>5000</v>
      </c>
      <c r="D23" s="216">
        <f t="shared" si="0"/>
        <v>199000</v>
      </c>
      <c r="E23" s="321">
        <v>29448</v>
      </c>
      <c r="F23" s="247">
        <v>442</v>
      </c>
      <c r="G23" s="320"/>
      <c r="H23" s="216">
        <f t="shared" si="1"/>
        <v>29890</v>
      </c>
      <c r="I23" s="247"/>
      <c r="J23" s="217"/>
      <c r="K23" s="29"/>
      <c r="L23" s="1"/>
      <c r="M23" s="1"/>
      <c r="N23" s="1"/>
      <c r="O23" s="1"/>
      <c r="P23" s="55">
        <v>44123</v>
      </c>
      <c r="Q23" s="333"/>
      <c r="R23" s="334"/>
      <c r="S23" s="335"/>
      <c r="T23" s="334"/>
      <c r="U23" s="335">
        <v>142000</v>
      </c>
      <c r="V23" s="334"/>
      <c r="W23" s="335">
        <v>53000</v>
      </c>
      <c r="X23" s="334"/>
      <c r="Y23" s="335">
        <v>4000</v>
      </c>
      <c r="Z23" s="334"/>
      <c r="AA23" s="335"/>
      <c r="AB23" s="334"/>
      <c r="AC23" s="348"/>
      <c r="AD23" s="334"/>
      <c r="AE23" s="335"/>
      <c r="AF23" s="334"/>
      <c r="AG23" s="335"/>
      <c r="AH23" s="334"/>
      <c r="AI23" s="335"/>
      <c r="AJ23" s="334"/>
      <c r="AK23" s="335"/>
      <c r="AL23" s="334"/>
      <c r="AM23" s="334"/>
      <c r="AN23" s="334"/>
      <c r="AO23" s="334"/>
      <c r="AP23" s="340"/>
      <c r="AQ23" s="341"/>
      <c r="AR23" s="341"/>
      <c r="AS23" s="341"/>
      <c r="AT23" s="341"/>
      <c r="AU23" s="337"/>
      <c r="AV23" s="334"/>
      <c r="AW23" s="2">
        <f t="shared" si="2"/>
        <v>199000</v>
      </c>
    </row>
    <row r="24" spans="1:49">
      <c r="A24" s="21">
        <v>44124</v>
      </c>
      <c r="B24" s="247">
        <v>70000</v>
      </c>
      <c r="C24" s="247"/>
      <c r="D24" s="216">
        <f t="shared" si="0"/>
        <v>70000</v>
      </c>
      <c r="E24" s="321">
        <v>8550</v>
      </c>
      <c r="F24" s="247">
        <v>1245</v>
      </c>
      <c r="G24" s="320"/>
      <c r="H24" s="216">
        <f t="shared" si="1"/>
        <v>9795</v>
      </c>
      <c r="I24" s="247"/>
      <c r="J24" s="217"/>
      <c r="K24" s="29"/>
      <c r="L24" s="1"/>
      <c r="M24" s="53" t="s">
        <v>34</v>
      </c>
      <c r="N24" s="38">
        <f>D37</f>
        <v>3526020</v>
      </c>
      <c r="O24" s="1"/>
      <c r="P24" s="55">
        <v>44124</v>
      </c>
      <c r="Q24" s="333"/>
      <c r="R24" s="334"/>
      <c r="S24" s="335"/>
      <c r="T24" s="334"/>
      <c r="U24" s="335"/>
      <c r="V24" s="334"/>
      <c r="W24" s="335"/>
      <c r="X24" s="334"/>
      <c r="Y24" s="335"/>
      <c r="Z24" s="334"/>
      <c r="AA24" s="335"/>
      <c r="AB24" s="334"/>
      <c r="AC24" s="348">
        <v>70000</v>
      </c>
      <c r="AD24" s="334"/>
      <c r="AE24" s="335"/>
      <c r="AF24" s="334"/>
      <c r="AG24" s="335"/>
      <c r="AH24" s="334"/>
      <c r="AI24" s="335"/>
      <c r="AJ24" s="334"/>
      <c r="AK24" s="335"/>
      <c r="AL24" s="334"/>
      <c r="AM24" s="334"/>
      <c r="AN24" s="334"/>
      <c r="AO24" s="334"/>
      <c r="AP24" s="340"/>
      <c r="AQ24" s="341"/>
      <c r="AR24" s="341"/>
      <c r="AS24" s="341"/>
      <c r="AT24" s="341"/>
      <c r="AU24" s="337"/>
      <c r="AV24" s="334"/>
      <c r="AW24" s="2">
        <f t="shared" si="2"/>
        <v>70000</v>
      </c>
    </row>
    <row r="25" spans="1:49">
      <c r="A25" s="21">
        <v>44125</v>
      </c>
      <c r="B25" s="247">
        <v>70000</v>
      </c>
      <c r="C25" s="247"/>
      <c r="D25" s="216">
        <f t="shared" si="0"/>
        <v>70000</v>
      </c>
      <c r="E25" s="321"/>
      <c r="F25" s="247">
        <v>2096</v>
      </c>
      <c r="G25" s="320"/>
      <c r="H25" s="216">
        <f t="shared" si="1"/>
        <v>2096</v>
      </c>
      <c r="I25" s="247"/>
      <c r="J25" s="217"/>
      <c r="K25" s="29"/>
      <c r="L25" s="1"/>
      <c r="M25" s="53" t="s">
        <v>35</v>
      </c>
      <c r="N25" s="38">
        <f>H37</f>
        <v>472540</v>
      </c>
      <c r="O25" s="1"/>
      <c r="P25" s="55">
        <v>44125</v>
      </c>
      <c r="Q25" s="333"/>
      <c r="R25" s="334"/>
      <c r="S25" s="335"/>
      <c r="T25" s="334"/>
      <c r="U25" s="335">
        <v>23000</v>
      </c>
      <c r="V25" s="334"/>
      <c r="W25" s="335"/>
      <c r="X25" s="334"/>
      <c r="Y25" s="335"/>
      <c r="Z25" s="334"/>
      <c r="AA25" s="335">
        <v>23000</v>
      </c>
      <c r="AB25" s="334"/>
      <c r="AC25" s="348"/>
      <c r="AD25" s="334"/>
      <c r="AE25" s="335"/>
      <c r="AF25" s="334"/>
      <c r="AG25" s="335"/>
      <c r="AH25" s="334"/>
      <c r="AI25" s="335"/>
      <c r="AJ25" s="334"/>
      <c r="AK25" s="335"/>
      <c r="AL25" s="334"/>
      <c r="AM25" s="334"/>
      <c r="AN25" s="334"/>
      <c r="AO25" s="334"/>
      <c r="AP25" s="340"/>
      <c r="AQ25" s="341"/>
      <c r="AR25" s="341"/>
      <c r="AS25" s="341"/>
      <c r="AT25" s="341"/>
      <c r="AU25" s="337"/>
      <c r="AV25" s="334"/>
      <c r="AW25" s="2">
        <f t="shared" si="2"/>
        <v>46000</v>
      </c>
    </row>
    <row r="26" spans="1:49">
      <c r="A26" s="21">
        <v>44126</v>
      </c>
      <c r="B26" s="247">
        <v>73000</v>
      </c>
      <c r="C26" s="247">
        <v>14000</v>
      </c>
      <c r="D26" s="216">
        <f t="shared" si="0"/>
        <v>87000</v>
      </c>
      <c r="E26" s="321"/>
      <c r="F26" s="247"/>
      <c r="G26" s="320"/>
      <c r="H26" s="216">
        <f t="shared" si="1"/>
        <v>0</v>
      </c>
      <c r="I26" s="247"/>
      <c r="J26" s="217"/>
      <c r="K26" s="29"/>
      <c r="L26" s="1"/>
      <c r="M26" s="53" t="s">
        <v>36</v>
      </c>
      <c r="N26" s="38">
        <f>N19</f>
        <v>782800</v>
      </c>
      <c r="O26" s="1"/>
      <c r="P26" s="55">
        <v>44126</v>
      </c>
      <c r="Q26" s="333"/>
      <c r="R26" s="334"/>
      <c r="S26" s="335"/>
      <c r="T26" s="334"/>
      <c r="U26" s="335">
        <v>27000</v>
      </c>
      <c r="V26" s="334"/>
      <c r="W26" s="335">
        <v>42000</v>
      </c>
      <c r="X26" s="334"/>
      <c r="Y26" s="335"/>
      <c r="Z26" s="334"/>
      <c r="AA26" s="335">
        <v>4000</v>
      </c>
      <c r="AB26" s="334"/>
      <c r="AC26" s="348">
        <v>5000</v>
      </c>
      <c r="AD26" s="334"/>
      <c r="AE26" s="335"/>
      <c r="AF26" s="334"/>
      <c r="AG26" s="335"/>
      <c r="AH26" s="334"/>
      <c r="AI26" s="335"/>
      <c r="AJ26" s="334"/>
      <c r="AK26" s="335"/>
      <c r="AL26" s="334"/>
      <c r="AM26" s="334"/>
      <c r="AN26" s="334"/>
      <c r="AO26" s="334"/>
      <c r="AP26" s="340"/>
      <c r="AQ26" s="341">
        <v>9000</v>
      </c>
      <c r="AR26" s="341"/>
      <c r="AS26" s="341"/>
      <c r="AT26" s="341"/>
      <c r="AU26" s="337"/>
      <c r="AV26" s="334"/>
      <c r="AW26" s="2">
        <f t="shared" si="2"/>
        <v>87000</v>
      </c>
    </row>
    <row r="27" spans="1:49">
      <c r="A27" s="21">
        <v>44127</v>
      </c>
      <c r="B27" s="247">
        <v>63000</v>
      </c>
      <c r="C27" s="247"/>
      <c r="D27" s="216">
        <f t="shared" si="0"/>
        <v>63000</v>
      </c>
      <c r="E27" s="321">
        <v>17810</v>
      </c>
      <c r="F27" s="247"/>
      <c r="G27" s="320"/>
      <c r="H27" s="216">
        <f t="shared" si="1"/>
        <v>17810</v>
      </c>
      <c r="I27" s="247"/>
      <c r="J27" s="217"/>
      <c r="K27" s="29"/>
      <c r="L27" s="1"/>
      <c r="M27" s="60" t="s">
        <v>37</v>
      </c>
      <c r="N27" s="61">
        <f>N24-N25-N26</f>
        <v>2270680</v>
      </c>
      <c r="O27" s="1"/>
      <c r="P27" s="55">
        <v>44127</v>
      </c>
      <c r="Q27" s="333"/>
      <c r="R27" s="334"/>
      <c r="S27" s="335"/>
      <c r="T27" s="334"/>
      <c r="U27" s="335">
        <v>37500</v>
      </c>
      <c r="V27" s="334"/>
      <c r="W27" s="335">
        <v>10000</v>
      </c>
      <c r="X27" s="334"/>
      <c r="Y27" s="335"/>
      <c r="Z27" s="334"/>
      <c r="AA27" s="335"/>
      <c r="AB27" s="334"/>
      <c r="AC27" s="348">
        <v>5500</v>
      </c>
      <c r="AD27" s="334"/>
      <c r="AE27" s="335">
        <v>4000</v>
      </c>
      <c r="AF27" s="334"/>
      <c r="AG27" s="335"/>
      <c r="AH27" s="334"/>
      <c r="AI27" s="335"/>
      <c r="AJ27" s="334"/>
      <c r="AK27" s="335"/>
      <c r="AL27" s="334"/>
      <c r="AM27" s="334"/>
      <c r="AN27" s="334">
        <v>6000</v>
      </c>
      <c r="AO27" s="334"/>
      <c r="AP27" s="340"/>
      <c r="AQ27" s="341"/>
      <c r="AR27" s="341"/>
      <c r="AS27" s="341"/>
      <c r="AT27" s="341"/>
      <c r="AU27" s="337"/>
      <c r="AV27" s="334"/>
      <c r="AW27" s="2">
        <f t="shared" si="2"/>
        <v>63000</v>
      </c>
    </row>
    <row r="28" spans="1:49">
      <c r="A28" s="21">
        <v>44128</v>
      </c>
      <c r="B28" s="247">
        <v>192000</v>
      </c>
      <c r="C28" s="247"/>
      <c r="D28" s="216">
        <f t="shared" si="0"/>
        <v>192000</v>
      </c>
      <c r="E28" s="322">
        <v>15385</v>
      </c>
      <c r="F28" s="247"/>
      <c r="G28" s="320"/>
      <c r="H28" s="216">
        <f t="shared" si="1"/>
        <v>15385</v>
      </c>
      <c r="I28" s="247"/>
      <c r="J28" s="217"/>
      <c r="K28" s="29"/>
      <c r="L28" s="1"/>
      <c r="M28" s="1"/>
      <c r="N28" s="1"/>
      <c r="O28" s="1"/>
      <c r="P28" s="55">
        <v>44128</v>
      </c>
      <c r="Q28" s="333"/>
      <c r="R28" s="334"/>
      <c r="S28" s="335"/>
      <c r="T28" s="334"/>
      <c r="U28" s="335">
        <v>57000</v>
      </c>
      <c r="V28" s="334"/>
      <c r="W28" s="335">
        <v>69000</v>
      </c>
      <c r="X28" s="334"/>
      <c r="Y28" s="335"/>
      <c r="Z28" s="334"/>
      <c r="AA28" s="335"/>
      <c r="AB28" s="334"/>
      <c r="AC28" s="348"/>
      <c r="AD28" s="334"/>
      <c r="AE28" s="335"/>
      <c r="AF28" s="334"/>
      <c r="AG28" s="335"/>
      <c r="AH28" s="334"/>
      <c r="AI28" s="335"/>
      <c r="AJ28" s="334"/>
      <c r="AK28" s="335">
        <v>45000</v>
      </c>
      <c r="AL28" s="334"/>
      <c r="AM28" s="334"/>
      <c r="AN28" s="334">
        <v>21000</v>
      </c>
      <c r="AO28" s="334"/>
      <c r="AP28" s="334"/>
      <c r="AQ28" s="353"/>
      <c r="AR28" s="353"/>
      <c r="AS28" s="353"/>
      <c r="AT28" s="353"/>
      <c r="AU28" s="335"/>
      <c r="AV28" s="334"/>
      <c r="AW28" s="2">
        <f t="shared" si="2"/>
        <v>192000</v>
      </c>
    </row>
    <row r="29" spans="1:49">
      <c r="A29" s="21">
        <v>44129</v>
      </c>
      <c r="B29" s="247">
        <v>108000</v>
      </c>
      <c r="C29" s="247">
        <v>14000</v>
      </c>
      <c r="D29" s="216">
        <f t="shared" si="0"/>
        <v>122000</v>
      </c>
      <c r="E29" s="321">
        <v>16663</v>
      </c>
      <c r="F29" s="247"/>
      <c r="G29" s="320"/>
      <c r="H29" s="216">
        <f t="shared" si="1"/>
        <v>16663</v>
      </c>
      <c r="I29" s="247"/>
      <c r="J29" s="217"/>
      <c r="K29" s="29"/>
      <c r="L29" s="1"/>
      <c r="M29" s="1"/>
      <c r="N29" s="1"/>
      <c r="O29" s="1"/>
      <c r="P29" s="55">
        <v>44129</v>
      </c>
      <c r="Q29" s="333"/>
      <c r="R29" s="334"/>
      <c r="S29" s="335"/>
      <c r="T29" s="334"/>
      <c r="U29" s="335">
        <v>58000</v>
      </c>
      <c r="V29" s="334"/>
      <c r="W29" s="335">
        <v>54000</v>
      </c>
      <c r="X29" s="334"/>
      <c r="Y29" s="335">
        <v>10000</v>
      </c>
      <c r="Z29" s="334"/>
      <c r="AA29" s="335"/>
      <c r="AB29" s="334"/>
      <c r="AC29" s="348"/>
      <c r="AD29" s="334"/>
      <c r="AE29" s="335"/>
      <c r="AF29" s="334"/>
      <c r="AG29" s="335"/>
      <c r="AH29" s="334"/>
      <c r="AI29" s="335"/>
      <c r="AJ29" s="334"/>
      <c r="AK29" s="335"/>
      <c r="AL29" s="334"/>
      <c r="AM29" s="334"/>
      <c r="AN29" s="334"/>
      <c r="AO29" s="334"/>
      <c r="AP29" s="334"/>
      <c r="AQ29" s="334"/>
      <c r="AR29" s="334"/>
      <c r="AS29" s="334"/>
      <c r="AT29" s="334"/>
      <c r="AU29" s="335"/>
      <c r="AV29" s="334"/>
      <c r="AW29" s="2">
        <f t="shared" si="2"/>
        <v>122000</v>
      </c>
    </row>
    <row r="30" spans="1:49">
      <c r="A30" s="21">
        <v>44130</v>
      </c>
      <c r="B30" s="247">
        <v>96500</v>
      </c>
      <c r="C30" s="247">
        <v>22000</v>
      </c>
      <c r="D30" s="216">
        <f t="shared" si="0"/>
        <v>118500</v>
      </c>
      <c r="E30" s="321"/>
      <c r="F30" s="247">
        <v>930</v>
      </c>
      <c r="G30" s="320"/>
      <c r="H30" s="216">
        <f t="shared" si="1"/>
        <v>930</v>
      </c>
      <c r="I30" s="247"/>
      <c r="J30" s="217"/>
      <c r="K30" s="29"/>
      <c r="L30" s="1"/>
      <c r="M30" s="1"/>
      <c r="N30" s="370"/>
      <c r="O30" s="1"/>
      <c r="P30" s="55">
        <v>44130</v>
      </c>
      <c r="Q30" s="333"/>
      <c r="R30" s="334"/>
      <c r="S30" s="335"/>
      <c r="T30" s="334"/>
      <c r="U30" s="335">
        <v>72000</v>
      </c>
      <c r="V30" s="334"/>
      <c r="W30" s="335">
        <v>8000</v>
      </c>
      <c r="X30" s="334"/>
      <c r="Y30" s="335">
        <v>2500</v>
      </c>
      <c r="Z30" s="334"/>
      <c r="AA30" s="335">
        <v>29000</v>
      </c>
      <c r="AB30" s="334"/>
      <c r="AC30" s="348"/>
      <c r="AD30" s="334"/>
      <c r="AE30" s="335"/>
      <c r="AF30" s="334"/>
      <c r="AG30" s="335"/>
      <c r="AH30" s="334"/>
      <c r="AI30" s="335"/>
      <c r="AJ30" s="334"/>
      <c r="AK30" s="335"/>
      <c r="AL30" s="334"/>
      <c r="AM30" s="334"/>
      <c r="AN30" s="334"/>
      <c r="AO30" s="334"/>
      <c r="AP30" s="334"/>
      <c r="AQ30" s="334"/>
      <c r="AR30" s="334">
        <v>7000</v>
      </c>
      <c r="AS30" s="334"/>
      <c r="AT30" s="334"/>
      <c r="AU30" s="335"/>
      <c r="AV30" s="334"/>
      <c r="AW30" s="2">
        <f t="shared" si="2"/>
        <v>118500</v>
      </c>
    </row>
    <row r="31" spans="1:49">
      <c r="A31" s="21">
        <v>44131</v>
      </c>
      <c r="B31" s="247"/>
      <c r="C31" s="247"/>
      <c r="D31" s="216">
        <f t="shared" si="0"/>
        <v>0</v>
      </c>
      <c r="E31" s="321"/>
      <c r="F31" s="247">
        <v>1533</v>
      </c>
      <c r="G31" s="320"/>
      <c r="H31" s="216">
        <f t="shared" si="1"/>
        <v>1533</v>
      </c>
      <c r="I31" s="247"/>
      <c r="J31" s="217"/>
      <c r="K31" s="29"/>
      <c r="L31" s="1"/>
      <c r="M31" s="1"/>
      <c r="N31" s="370"/>
      <c r="O31" s="1"/>
      <c r="P31" s="55">
        <v>44131</v>
      </c>
      <c r="Q31" s="333"/>
      <c r="R31" s="334"/>
      <c r="S31" s="335"/>
      <c r="T31" s="334"/>
      <c r="U31" s="335"/>
      <c r="V31" s="334"/>
      <c r="W31" s="335"/>
      <c r="X31" s="334"/>
      <c r="Y31" s="335"/>
      <c r="Z31" s="334"/>
      <c r="AA31" s="335"/>
      <c r="AB31" s="334"/>
      <c r="AC31" s="348"/>
      <c r="AD31" s="334"/>
      <c r="AE31" s="335"/>
      <c r="AF31" s="334"/>
      <c r="AG31" s="335"/>
      <c r="AH31" s="334"/>
      <c r="AI31" s="335"/>
      <c r="AJ31" s="334"/>
      <c r="AK31" s="335"/>
      <c r="AL31" s="334"/>
      <c r="AM31" s="334"/>
      <c r="AN31" s="334"/>
      <c r="AO31" s="334"/>
      <c r="AP31" s="334"/>
      <c r="AQ31" s="334"/>
      <c r="AR31" s="334"/>
      <c r="AS31" s="334"/>
      <c r="AT31" s="334"/>
      <c r="AU31" s="335"/>
      <c r="AV31" s="334"/>
      <c r="AW31" s="2">
        <f t="shared" si="2"/>
        <v>0</v>
      </c>
    </row>
    <row r="32" spans="1:49">
      <c r="A32" s="21">
        <v>44132</v>
      </c>
      <c r="B32" s="247">
        <v>10000</v>
      </c>
      <c r="C32" s="247"/>
      <c r="D32" s="216">
        <f t="shared" si="0"/>
        <v>10000</v>
      </c>
      <c r="E32" s="321">
        <v>3580</v>
      </c>
      <c r="F32" s="247">
        <v>985</v>
      </c>
      <c r="G32" s="320"/>
      <c r="H32" s="216">
        <f t="shared" si="1"/>
        <v>4565</v>
      </c>
      <c r="I32" s="247"/>
      <c r="J32" s="217"/>
      <c r="K32" s="29"/>
      <c r="L32" s="1"/>
      <c r="M32" s="1"/>
      <c r="N32" s="370"/>
      <c r="O32" s="1"/>
      <c r="P32" s="55">
        <v>44132</v>
      </c>
      <c r="Q32" s="333"/>
      <c r="R32" s="334"/>
      <c r="S32" s="335"/>
      <c r="T32" s="334"/>
      <c r="U32" s="335">
        <v>9000</v>
      </c>
      <c r="V32" s="334"/>
      <c r="W32" s="335"/>
      <c r="X32" s="334"/>
      <c r="Y32" s="335"/>
      <c r="Z32" s="334"/>
      <c r="AA32" s="335"/>
      <c r="AB32" s="334"/>
      <c r="AC32" s="348"/>
      <c r="AD32" s="334"/>
      <c r="AE32" s="335"/>
      <c r="AF32" s="334"/>
      <c r="AG32" s="335"/>
      <c r="AH32" s="334"/>
      <c r="AI32" s="335"/>
      <c r="AJ32" s="334"/>
      <c r="AK32" s="335">
        <v>1000</v>
      </c>
      <c r="AL32" s="334"/>
      <c r="AM32" s="334"/>
      <c r="AN32" s="334"/>
      <c r="AO32" s="334"/>
      <c r="AP32" s="334"/>
      <c r="AQ32" s="334"/>
      <c r="AR32" s="334"/>
      <c r="AS32" s="334"/>
      <c r="AT32" s="334"/>
      <c r="AU32" s="335"/>
      <c r="AV32" s="334"/>
      <c r="AW32" s="2">
        <f t="shared" si="2"/>
        <v>10000</v>
      </c>
    </row>
    <row r="33" spans="1:49">
      <c r="A33" s="21">
        <v>44133</v>
      </c>
      <c r="B33" s="247">
        <v>20900</v>
      </c>
      <c r="C33" s="247">
        <v>18000</v>
      </c>
      <c r="D33" s="216">
        <f t="shared" si="0"/>
        <v>38900</v>
      </c>
      <c r="E33" s="321"/>
      <c r="F33" s="247"/>
      <c r="G33" s="320"/>
      <c r="H33" s="216">
        <f t="shared" si="1"/>
        <v>0</v>
      </c>
      <c r="I33" s="247"/>
      <c r="J33" s="217"/>
      <c r="K33" s="29"/>
      <c r="L33" s="1"/>
      <c r="M33" s="1"/>
      <c r="N33" s="1"/>
      <c r="O33" s="1"/>
      <c r="P33" s="55">
        <v>44133</v>
      </c>
      <c r="Q33" s="355"/>
      <c r="R33" s="334"/>
      <c r="S33" s="335"/>
      <c r="T33" s="334"/>
      <c r="U33" s="335">
        <v>17000</v>
      </c>
      <c r="V33" s="334"/>
      <c r="W33" s="335"/>
      <c r="X33" s="334"/>
      <c r="Y33" s="335">
        <v>11000</v>
      </c>
      <c r="Z33" s="334"/>
      <c r="AA33" s="335">
        <v>2900</v>
      </c>
      <c r="AB33" s="334"/>
      <c r="AC33" s="348"/>
      <c r="AD33" s="334"/>
      <c r="AE33" s="335"/>
      <c r="AF33" s="334"/>
      <c r="AG33" s="335"/>
      <c r="AH33" s="334"/>
      <c r="AI33" s="335"/>
      <c r="AJ33" s="334"/>
      <c r="AK33" s="335"/>
      <c r="AL33" s="334"/>
      <c r="AM33" s="334">
        <v>8000</v>
      </c>
      <c r="AN33" s="334"/>
      <c r="AO33" s="334"/>
      <c r="AP33" s="334"/>
      <c r="AQ33" s="334"/>
      <c r="AR33" s="334"/>
      <c r="AS33" s="334"/>
      <c r="AT33" s="334"/>
      <c r="AU33" s="335"/>
      <c r="AV33" s="334"/>
      <c r="AW33" s="2">
        <f t="shared" si="2"/>
        <v>38900</v>
      </c>
    </row>
    <row r="34" spans="1:49">
      <c r="A34" s="21">
        <v>44134</v>
      </c>
      <c r="B34" s="247">
        <v>71000</v>
      </c>
      <c r="C34" s="247">
        <v>55000</v>
      </c>
      <c r="D34" s="216">
        <f t="shared" si="0"/>
        <v>126000</v>
      </c>
      <c r="E34" s="321">
        <v>21260</v>
      </c>
      <c r="F34" s="247"/>
      <c r="G34" s="320"/>
      <c r="H34" s="216">
        <f t="shared" si="1"/>
        <v>21260</v>
      </c>
      <c r="I34" s="247"/>
      <c r="J34" s="217"/>
      <c r="K34" s="29"/>
      <c r="L34" s="1"/>
      <c r="M34" s="1"/>
      <c r="N34" s="1"/>
      <c r="O34" s="1"/>
      <c r="P34" s="55">
        <v>44134</v>
      </c>
      <c r="Q34" s="356"/>
      <c r="R34" s="357"/>
      <c r="S34" s="358"/>
      <c r="T34" s="357"/>
      <c r="U34" s="358">
        <v>29000</v>
      </c>
      <c r="V34" s="357"/>
      <c r="W34" s="358">
        <v>6000</v>
      </c>
      <c r="X34" s="357"/>
      <c r="Y34" s="358">
        <v>3000</v>
      </c>
      <c r="Z34" s="357"/>
      <c r="AA34" s="358">
        <v>2000</v>
      </c>
      <c r="AB34" s="357"/>
      <c r="AC34" s="359">
        <v>47000</v>
      </c>
      <c r="AD34" s="357">
        <v>15000</v>
      </c>
      <c r="AE34" s="358"/>
      <c r="AF34" s="357"/>
      <c r="AG34" s="358"/>
      <c r="AH34" s="357"/>
      <c r="AI34" s="358"/>
      <c r="AJ34" s="357"/>
      <c r="AK34" s="358"/>
      <c r="AL34" s="357"/>
      <c r="AM34" s="357"/>
      <c r="AN34" s="357">
        <v>24000</v>
      </c>
      <c r="AO34" s="357"/>
      <c r="AP34" s="357"/>
      <c r="AQ34" s="357"/>
      <c r="AR34" s="357"/>
      <c r="AS34" s="357"/>
      <c r="AT34" s="357"/>
      <c r="AU34" s="358"/>
      <c r="AV34" s="357"/>
      <c r="AW34" s="2">
        <f t="shared" si="2"/>
        <v>126000</v>
      </c>
    </row>
    <row r="35" spans="1:49" ht="21" thickBot="1">
      <c r="A35" s="21">
        <v>44135</v>
      </c>
      <c r="B35" s="247">
        <v>210000</v>
      </c>
      <c r="C35" s="247">
        <v>17000</v>
      </c>
      <c r="D35" s="216">
        <f t="shared" si="0"/>
        <v>227000</v>
      </c>
      <c r="E35" s="321">
        <v>11139</v>
      </c>
      <c r="F35" s="380">
        <v>11855</v>
      </c>
      <c r="G35" s="320"/>
      <c r="H35" s="216">
        <f>SUM(E35:G35)</f>
        <v>22994</v>
      </c>
      <c r="I35" s="323"/>
      <c r="J35" s="324"/>
      <c r="K35" s="59"/>
      <c r="L35" s="1"/>
      <c r="M35" s="1"/>
      <c r="N35" s="1"/>
      <c r="O35" s="1"/>
      <c r="P35" s="55">
        <v>44135</v>
      </c>
      <c r="Q35" s="360"/>
      <c r="R35" s="341"/>
      <c r="S35" s="339"/>
      <c r="T35" s="341"/>
      <c r="U35" s="339">
        <v>64000</v>
      </c>
      <c r="V35" s="341"/>
      <c r="W35" s="339">
        <v>58000</v>
      </c>
      <c r="X35" s="341"/>
      <c r="Y35" s="339">
        <v>64000</v>
      </c>
      <c r="Z35" s="341"/>
      <c r="AA35" s="339">
        <v>16000</v>
      </c>
      <c r="AB35" s="341"/>
      <c r="AC35" s="339">
        <v>10000</v>
      </c>
      <c r="AD35" s="341"/>
      <c r="AE35" s="339"/>
      <c r="AF35" s="341"/>
      <c r="AG35" s="339">
        <v>3000</v>
      </c>
      <c r="AH35" s="341"/>
      <c r="AI35" s="339"/>
      <c r="AJ35" s="341"/>
      <c r="AK35" s="339">
        <v>4000</v>
      </c>
      <c r="AL35" s="341"/>
      <c r="AM35" s="341">
        <v>8000</v>
      </c>
      <c r="AN35" s="341"/>
      <c r="AO35" s="341"/>
      <c r="AP35" s="341"/>
      <c r="AQ35" s="341"/>
      <c r="AR35" s="341"/>
      <c r="AS35" s="341"/>
      <c r="AT35" s="341"/>
      <c r="AU35" s="339"/>
      <c r="AV35" s="341"/>
      <c r="AW35" s="2">
        <f t="shared" si="2"/>
        <v>227000</v>
      </c>
    </row>
    <row r="36" spans="1:49" ht="21" thickBot="1">
      <c r="A36" s="65"/>
      <c r="B36" s="325" t="s">
        <v>38</v>
      </c>
      <c r="C36" s="325" t="s">
        <v>39</v>
      </c>
      <c r="D36" s="326" t="s">
        <v>34</v>
      </c>
      <c r="E36" s="327" t="s">
        <v>238</v>
      </c>
      <c r="F36" s="325" t="s">
        <v>16</v>
      </c>
      <c r="G36" s="326" t="s">
        <v>5</v>
      </c>
      <c r="H36" s="328" t="s">
        <v>41</v>
      </c>
      <c r="I36" s="329" t="s">
        <v>42</v>
      </c>
      <c r="J36" s="329" t="s">
        <v>43</v>
      </c>
      <c r="K36" s="73"/>
      <c r="L36" s="1"/>
      <c r="M36" s="379"/>
      <c r="N36" s="1"/>
      <c r="O36" s="1"/>
      <c r="Q36" s="361">
        <f>SUM(Q5:Q35)</f>
        <v>123000</v>
      </c>
      <c r="R36" s="361">
        <f>SUM(R5:R35)</f>
        <v>0</v>
      </c>
      <c r="S36" s="362">
        <f t="shared" ref="S36:AV36" si="3">SUM(S5:S35)</f>
        <v>0</v>
      </c>
      <c r="T36" s="362">
        <f t="shared" si="3"/>
        <v>0</v>
      </c>
      <c r="U36" s="363">
        <f t="shared" si="3"/>
        <v>1302500</v>
      </c>
      <c r="V36" s="363">
        <f t="shared" si="3"/>
        <v>140000</v>
      </c>
      <c r="W36" s="364">
        <f t="shared" si="3"/>
        <v>699000</v>
      </c>
      <c r="X36" s="364">
        <f t="shared" si="3"/>
        <v>50000</v>
      </c>
      <c r="Y36" s="365">
        <f t="shared" si="3"/>
        <v>174000</v>
      </c>
      <c r="Z36" s="360">
        <f t="shared" si="3"/>
        <v>10000</v>
      </c>
      <c r="AA36" s="360">
        <f t="shared" si="3"/>
        <v>234900</v>
      </c>
      <c r="AB36" s="360">
        <f t="shared" si="3"/>
        <v>0</v>
      </c>
      <c r="AC36" s="360">
        <f t="shared" si="3"/>
        <v>407620</v>
      </c>
      <c r="AD36" s="360">
        <f t="shared" si="3"/>
        <v>35000</v>
      </c>
      <c r="AE36" s="360">
        <f t="shared" si="3"/>
        <v>16000</v>
      </c>
      <c r="AF36" s="360">
        <f t="shared" si="3"/>
        <v>0</v>
      </c>
      <c r="AG36" s="339">
        <f t="shared" si="3"/>
        <v>8000</v>
      </c>
      <c r="AH36" s="360">
        <f t="shared" si="3"/>
        <v>0</v>
      </c>
      <c r="AI36" s="360">
        <f t="shared" si="3"/>
        <v>1000</v>
      </c>
      <c r="AJ36" s="360">
        <f t="shared" si="3"/>
        <v>0</v>
      </c>
      <c r="AK36" s="360">
        <f t="shared" si="3"/>
        <v>127000</v>
      </c>
      <c r="AL36" s="360">
        <f t="shared" si="3"/>
        <v>0</v>
      </c>
      <c r="AM36" s="360">
        <f t="shared" si="3"/>
        <v>49000</v>
      </c>
      <c r="AN36" s="360">
        <f t="shared" si="3"/>
        <v>89000</v>
      </c>
      <c r="AO36" s="360">
        <f t="shared" si="3"/>
        <v>17000</v>
      </c>
      <c r="AP36" s="360">
        <f t="shared" si="3"/>
        <v>3000</v>
      </c>
      <c r="AQ36" s="360">
        <f t="shared" si="3"/>
        <v>9000</v>
      </c>
      <c r="AR36" s="360">
        <f t="shared" si="3"/>
        <v>7000</v>
      </c>
      <c r="AS36" s="360">
        <f t="shared" si="3"/>
        <v>0</v>
      </c>
      <c r="AT36" s="360">
        <f t="shared" si="3"/>
        <v>0</v>
      </c>
      <c r="AU36" s="360">
        <f t="shared" si="3"/>
        <v>0</v>
      </c>
      <c r="AV36" s="360">
        <f t="shared" si="3"/>
        <v>0</v>
      </c>
      <c r="AW36" s="2">
        <f>SUM(Q36:AV36)</f>
        <v>3502020</v>
      </c>
    </row>
    <row r="37" spans="1:49" ht="22" thickTop="1" thickBot="1">
      <c r="A37" s="316" t="s">
        <v>169</v>
      </c>
      <c r="B37" s="317">
        <f t="shared" ref="B37:H37" si="4">SUM(B5:B35)</f>
        <v>3014320</v>
      </c>
      <c r="C37" s="317">
        <f t="shared" si="4"/>
        <v>511700</v>
      </c>
      <c r="D37" s="317">
        <f t="shared" si="4"/>
        <v>3526020</v>
      </c>
      <c r="E37" s="317">
        <f t="shared" si="4"/>
        <v>440159</v>
      </c>
      <c r="F37" s="317">
        <f t="shared" si="4"/>
        <v>32381</v>
      </c>
      <c r="G37" s="317">
        <f t="shared" si="4"/>
        <v>0</v>
      </c>
      <c r="H37" s="317">
        <f t="shared" si="4"/>
        <v>472540</v>
      </c>
      <c r="I37" s="317"/>
      <c r="J37" s="317"/>
      <c r="K37" s="315"/>
    </row>
    <row r="38" spans="1:49">
      <c r="P38" s="520" t="s">
        <v>228</v>
      </c>
      <c r="Q38" s="592">
        <f>Q36*0.35</f>
        <v>43050</v>
      </c>
      <c r="R38" s="530">
        <f>R36*0.3</f>
        <v>0</v>
      </c>
      <c r="S38" s="589">
        <f>S36*0.35</f>
        <v>0</v>
      </c>
      <c r="T38" s="530">
        <f>T36*0.3</f>
        <v>0</v>
      </c>
      <c r="U38" s="589">
        <f>U36*0.4</f>
        <v>521000</v>
      </c>
      <c r="V38" s="530">
        <f>V36*0.3</f>
        <v>42000</v>
      </c>
      <c r="W38" s="589">
        <f>W36*0.35</f>
        <v>244649.99999999997</v>
      </c>
      <c r="X38" s="530">
        <f>X36*0.3</f>
        <v>15000</v>
      </c>
      <c r="Y38" s="589">
        <f>Y36</f>
        <v>174000</v>
      </c>
      <c r="Z38" s="530">
        <f>Z36*0.35</f>
        <v>3500</v>
      </c>
      <c r="AA38" s="589">
        <f>AA36*0.35</f>
        <v>82215</v>
      </c>
      <c r="AB38" s="530">
        <f>AB36*0.3</f>
        <v>0</v>
      </c>
      <c r="AC38" s="589">
        <f>AC36*0.35</f>
        <v>142667</v>
      </c>
      <c r="AD38" s="530">
        <f>AD36*0.3</f>
        <v>10500</v>
      </c>
      <c r="AE38" s="589">
        <f>AE36*0.35</f>
        <v>5600</v>
      </c>
      <c r="AF38" s="530">
        <f>AF37*0.3</f>
        <v>0</v>
      </c>
      <c r="AG38" s="530">
        <f>AG36*0.35</f>
        <v>2800</v>
      </c>
      <c r="AH38" s="530">
        <f>AH36*0.3</f>
        <v>0</v>
      </c>
      <c r="AI38" s="589">
        <f>AI36*0.35</f>
        <v>350</v>
      </c>
      <c r="AJ38" s="530">
        <f>AJ36*0.3</f>
        <v>0</v>
      </c>
      <c r="AK38" s="589">
        <f>AK36*0.35</f>
        <v>44450</v>
      </c>
      <c r="AL38" s="530">
        <f>AL36*0.3</f>
        <v>0</v>
      </c>
      <c r="AM38" s="589">
        <f t="shared" ref="AM38:AU38" si="5">AM36*0.35</f>
        <v>17150</v>
      </c>
      <c r="AN38" s="589">
        <f t="shared" si="5"/>
        <v>31149.999999999996</v>
      </c>
      <c r="AO38" s="589">
        <f t="shared" si="5"/>
        <v>5950</v>
      </c>
      <c r="AP38" s="589">
        <f t="shared" si="5"/>
        <v>1050</v>
      </c>
      <c r="AQ38" s="589">
        <f t="shared" si="5"/>
        <v>3150</v>
      </c>
      <c r="AR38" s="589">
        <f t="shared" si="5"/>
        <v>2450</v>
      </c>
      <c r="AS38" s="589">
        <f t="shared" si="5"/>
        <v>0</v>
      </c>
      <c r="AT38" s="589">
        <f t="shared" si="5"/>
        <v>0</v>
      </c>
      <c r="AU38" s="589">
        <f t="shared" si="5"/>
        <v>0</v>
      </c>
      <c r="AV38" s="530">
        <f>AV36*0.3</f>
        <v>0</v>
      </c>
    </row>
    <row r="39" spans="1:49">
      <c r="A39" s="296" t="s">
        <v>233</v>
      </c>
      <c r="B39" s="297"/>
      <c r="C39" s="314"/>
      <c r="F39" s="496" t="s">
        <v>239</v>
      </c>
      <c r="G39" s="496"/>
      <c r="H39" s="366">
        <v>5675</v>
      </c>
      <c r="P39" s="521"/>
      <c r="Q39" s="593"/>
      <c r="R39" s="531"/>
      <c r="S39" s="590"/>
      <c r="T39" s="531"/>
      <c r="U39" s="590"/>
      <c r="V39" s="531"/>
      <c r="W39" s="590"/>
      <c r="X39" s="531"/>
      <c r="Y39" s="590"/>
      <c r="Z39" s="531"/>
      <c r="AA39" s="590"/>
      <c r="AB39" s="531"/>
      <c r="AC39" s="590"/>
      <c r="AD39" s="531"/>
      <c r="AE39" s="590"/>
      <c r="AF39" s="531"/>
      <c r="AG39" s="591"/>
      <c r="AH39" s="531"/>
      <c r="AI39" s="590"/>
      <c r="AJ39" s="531"/>
      <c r="AK39" s="590"/>
      <c r="AL39" s="531"/>
      <c r="AM39" s="590"/>
      <c r="AN39" s="590"/>
      <c r="AO39" s="590"/>
      <c r="AP39" s="590"/>
      <c r="AQ39" s="590"/>
      <c r="AR39" s="590"/>
      <c r="AS39" s="590"/>
      <c r="AT39" s="590"/>
      <c r="AU39" s="590"/>
      <c r="AV39" s="531"/>
    </row>
    <row r="40" spans="1:49">
      <c r="A40" s="306">
        <v>44105</v>
      </c>
      <c r="B40" s="135">
        <v>50000</v>
      </c>
      <c r="C40" s="314"/>
      <c r="S40" s="330"/>
      <c r="AG40" s="331"/>
    </row>
    <row r="41" spans="1:49">
      <c r="A41" s="306">
        <v>44106</v>
      </c>
      <c r="B41" s="135">
        <v>100000</v>
      </c>
      <c r="C41" s="314"/>
      <c r="G41" s="296" t="s">
        <v>243</v>
      </c>
      <c r="H41" s="135">
        <f>B46-H37</f>
        <v>27460</v>
      </c>
      <c r="P41" s="370"/>
    </row>
    <row r="42" spans="1:49">
      <c r="A42" s="306">
        <v>44112</v>
      </c>
      <c r="B42" s="135">
        <v>100000</v>
      </c>
      <c r="C42" s="314"/>
      <c r="P42" s="370"/>
      <c r="R42" s="370"/>
      <c r="T42" s="370"/>
      <c r="U42" s="370"/>
      <c r="V42" s="2"/>
    </row>
    <row r="43" spans="1:49">
      <c r="A43" s="306">
        <v>44119</v>
      </c>
      <c r="B43" s="135">
        <v>100000</v>
      </c>
      <c r="C43" s="314"/>
      <c r="G43" s="296" t="s">
        <v>250</v>
      </c>
      <c r="H43" s="373">
        <f>SUM(B34:B35)</f>
        <v>281000</v>
      </c>
      <c r="V43" s="2"/>
    </row>
    <row r="44" spans="1:49">
      <c r="A44" s="306">
        <v>44123</v>
      </c>
      <c r="B44" s="135">
        <v>100000</v>
      </c>
      <c r="C44" s="314"/>
      <c r="H44" s="181"/>
    </row>
    <row r="45" spans="1:49">
      <c r="A45" s="306">
        <v>44132</v>
      </c>
      <c r="B45" s="135">
        <v>50000</v>
      </c>
      <c r="C45" s="314"/>
    </row>
    <row r="46" spans="1:49">
      <c r="A46" s="296" t="s">
        <v>169</v>
      </c>
      <c r="B46" s="135">
        <f>SUM(B40:B45)</f>
        <v>500000</v>
      </c>
      <c r="C46" s="314"/>
    </row>
    <row r="47" spans="1:49">
      <c r="A47" s="331"/>
      <c r="B47" s="371"/>
      <c r="C47" s="182"/>
    </row>
    <row r="48" spans="1:49">
      <c r="A48" s="182"/>
      <c r="B48" s="372"/>
      <c r="C48" s="182"/>
    </row>
    <row r="49" spans="1:3">
      <c r="A49" s="182"/>
      <c r="B49" s="372"/>
      <c r="C49" s="182"/>
    </row>
    <row r="50" spans="1:3">
      <c r="A50" s="182"/>
      <c r="B50" s="372"/>
      <c r="C50" s="182"/>
    </row>
    <row r="51" spans="1:3">
      <c r="A51" s="182"/>
      <c r="B51" s="372"/>
      <c r="C51" s="182"/>
    </row>
    <row r="52" spans="1:3">
      <c r="A52" s="182"/>
      <c r="B52" s="372"/>
      <c r="C52" s="182"/>
    </row>
    <row r="53" spans="1:3">
      <c r="A53" s="182"/>
      <c r="B53" s="372"/>
      <c r="C53" s="182"/>
    </row>
    <row r="54" spans="1:3">
      <c r="A54" s="182"/>
      <c r="B54" s="372"/>
      <c r="C54" s="182"/>
    </row>
    <row r="55" spans="1:3">
      <c r="A55" s="182"/>
      <c r="B55" s="182"/>
      <c r="C55" s="182"/>
    </row>
  </sheetData>
  <mergeCells count="78">
    <mergeCell ref="F39:G39"/>
    <mergeCell ref="AS3:AS4"/>
    <mergeCell ref="AT3:AT4"/>
    <mergeCell ref="AU3:AU4"/>
    <mergeCell ref="AV3:AV4"/>
    <mergeCell ref="M10:N10"/>
    <mergeCell ref="AQ3:AQ4"/>
    <mergeCell ref="AR3:AR4"/>
    <mergeCell ref="AF3:AF4"/>
    <mergeCell ref="U3:U4"/>
    <mergeCell ref="V3:V4"/>
    <mergeCell ref="W3:W4"/>
    <mergeCell ref="X3:X4"/>
    <mergeCell ref="Y3:Y4"/>
    <mergeCell ref="Z3:Z4"/>
    <mergeCell ref="T3:T4"/>
    <mergeCell ref="AA3:AA4"/>
    <mergeCell ref="AB3:AB4"/>
    <mergeCell ref="AC3:AC4"/>
    <mergeCell ref="AD3:AD4"/>
    <mergeCell ref="AE3:AE4"/>
    <mergeCell ref="AP3:AP4"/>
    <mergeCell ref="AG3:AG4"/>
    <mergeCell ref="AH3:AH4"/>
    <mergeCell ref="AI3:AI4"/>
    <mergeCell ref="AJ3:AJ4"/>
    <mergeCell ref="AK3:AK4"/>
    <mergeCell ref="AL3:AL4"/>
    <mergeCell ref="AV38:AV39"/>
    <mergeCell ref="AU38:AU39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N11:N12"/>
    <mergeCell ref="AM3:AM4"/>
    <mergeCell ref="AN3:AN4"/>
    <mergeCell ref="AO3:AO4"/>
    <mergeCell ref="U38:U39"/>
    <mergeCell ref="T38:T39"/>
    <mergeCell ref="W38:W39"/>
    <mergeCell ref="V38:V39"/>
    <mergeCell ref="AA38:AA39"/>
    <mergeCell ref="Z38:Z39"/>
    <mergeCell ref="Y38:Y39"/>
    <mergeCell ref="X38:X39"/>
    <mergeCell ref="I3:I4"/>
    <mergeCell ref="Q38:Q39"/>
    <mergeCell ref="P38:P39"/>
    <mergeCell ref="R38:R39"/>
    <mergeCell ref="S38:S39"/>
    <mergeCell ref="AS38:AS39"/>
    <mergeCell ref="AT38:AT39"/>
    <mergeCell ref="AR38:AR39"/>
    <mergeCell ref="AP38:AP39"/>
    <mergeCell ref="AQ38:AQ39"/>
    <mergeCell ref="AY3:AY4"/>
    <mergeCell ref="AZ3:AZ4"/>
    <mergeCell ref="AD38:AD39"/>
    <mergeCell ref="AC38:AC39"/>
    <mergeCell ref="AB38:AB39"/>
    <mergeCell ref="AG38:AG39"/>
    <mergeCell ref="AJ38:AJ39"/>
    <mergeCell ref="AI38:AI39"/>
    <mergeCell ref="AH38:AH39"/>
    <mergeCell ref="AF38:AF39"/>
    <mergeCell ref="AE38:AE39"/>
    <mergeCell ref="AO38:AO39"/>
    <mergeCell ref="AN38:AN39"/>
    <mergeCell ref="AM38:AM39"/>
    <mergeCell ref="AL38:AL39"/>
    <mergeCell ref="AK38:AK39"/>
  </mergeCells>
  <phoneticPr fontId="7"/>
  <dataValidations count="2">
    <dataValidation type="list" allowBlank="1" showErrorMessage="1" sqref="Q3:Q4 AC3:AC4 S3:S4 U3:U4 AK3:AK4 AG3:AG4 AE3:AE4 AI3:AI4 W3:W4 AN3:AT3 AU3:AU4 AM3:AM4 Y3:AA4" xr:uid="{E56309B4-2138-7144-A893-076897E75A8B}">
      <formula1>名前</formula1>
    </dataValidation>
    <dataValidation allowBlank="1" showErrorMessage="1" sqref="R3:R4 AH3:AH4 T3:T4 AB3:AB4 AL3:AL4 AD3:AD4 AF3:AF4 AJ3:AJ4 AV3:AV4 V3:V4 X3:X4" xr:uid="{228A77C9-A20B-5944-A798-4BF146527E6D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8DA5-79C6-A845-B4FD-AB72AEACE4D1}">
  <dimension ref="A1:AZ57"/>
  <sheetViews>
    <sheetView zoomScale="75" workbookViewId="0">
      <selection activeCell="Q38" sqref="Q38:Q39"/>
    </sheetView>
  </sheetViews>
  <sheetFormatPr baseColWidth="10" defaultRowHeight="20"/>
  <cols>
    <col min="1" max="1" width="14.5703125" bestFit="1" customWidth="1"/>
    <col min="7" max="7" width="14" bestFit="1" customWidth="1"/>
    <col min="26" max="26" width="12.85546875" customWidth="1"/>
    <col min="32" max="32" width="13.7109375" bestFit="1" customWidth="1"/>
  </cols>
  <sheetData>
    <row r="1" spans="1:52">
      <c r="A1" s="498">
        <v>2020</v>
      </c>
      <c r="B1" s="500">
        <v>11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2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2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137</v>
      </c>
      <c r="AA3" s="494">
        <v>0.3</v>
      </c>
      <c r="AB3" s="492" t="s">
        <v>139</v>
      </c>
      <c r="AC3" s="494">
        <v>0.3</v>
      </c>
      <c r="AD3" s="496" t="s">
        <v>199</v>
      </c>
      <c r="AE3" s="494">
        <v>0.3</v>
      </c>
      <c r="AF3" s="527" t="s">
        <v>240</v>
      </c>
      <c r="AG3" s="494">
        <v>0.3</v>
      </c>
      <c r="AH3" s="492" t="s">
        <v>120</v>
      </c>
      <c r="AI3" s="494">
        <v>0.3</v>
      </c>
      <c r="AJ3" s="496" t="s">
        <v>207</v>
      </c>
      <c r="AK3" s="494">
        <v>0.3</v>
      </c>
      <c r="AL3" s="496" t="s">
        <v>252</v>
      </c>
      <c r="AM3" s="523">
        <v>0.3</v>
      </c>
      <c r="AN3" s="496" t="s">
        <v>102</v>
      </c>
      <c r="AO3" s="520" t="s">
        <v>184</v>
      </c>
      <c r="AP3" s="520" t="s">
        <v>166</v>
      </c>
      <c r="AQ3" s="520" t="s">
        <v>253</v>
      </c>
      <c r="AR3" s="525" t="s">
        <v>193</v>
      </c>
      <c r="AS3" s="520" t="s">
        <v>254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</row>
    <row r="4" spans="1:52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2">
      <c r="A5" s="21">
        <f t="shared" ref="A5:A35" si="0">IF(DAY(DATE($A$1,$B$1,ROW()-4))=ROW()-4,DATE($A$1,$B$1,ROW()-4),"")</f>
        <v>44136</v>
      </c>
      <c r="B5" s="23">
        <v>56000</v>
      </c>
      <c r="C5" s="23">
        <v>22000</v>
      </c>
      <c r="D5" s="24">
        <f>SUM(B5:C5)</f>
        <v>78000</v>
      </c>
      <c r="E5" s="25">
        <v>20181</v>
      </c>
      <c r="F5" s="26">
        <v>999</v>
      </c>
      <c r="G5" s="27"/>
      <c r="H5" s="216">
        <f>SUM(E5:G5)</f>
        <v>21180</v>
      </c>
      <c r="I5" s="27"/>
      <c r="J5" s="28"/>
      <c r="K5" s="29"/>
      <c r="L5" s="1"/>
      <c r="M5" s="1"/>
      <c r="N5" s="1"/>
      <c r="O5" s="1"/>
      <c r="P5" s="55">
        <v>44136</v>
      </c>
      <c r="Q5" s="333"/>
      <c r="R5" s="334"/>
      <c r="S5" s="335"/>
      <c r="T5" s="334"/>
      <c r="U5" s="336">
        <v>34000</v>
      </c>
      <c r="V5" s="334"/>
      <c r="W5" s="191">
        <v>40000</v>
      </c>
      <c r="X5" s="334"/>
      <c r="Y5" s="385"/>
      <c r="Z5" s="337">
        <v>4000</v>
      </c>
      <c r="AA5" s="334"/>
      <c r="AB5" s="338"/>
      <c r="AC5" s="334"/>
      <c r="AD5" s="339"/>
      <c r="AE5" s="334"/>
      <c r="AF5" s="337"/>
      <c r="AG5" s="334"/>
      <c r="AH5" s="338"/>
      <c r="AI5" s="334"/>
      <c r="AJ5" s="339"/>
      <c r="AK5" s="334"/>
      <c r="AL5" s="339"/>
      <c r="AM5" s="340"/>
      <c r="AN5" s="341"/>
      <c r="AO5" s="342"/>
      <c r="AP5" s="342"/>
      <c r="AQ5" s="342"/>
      <c r="AR5" s="342"/>
      <c r="AS5" s="342"/>
      <c r="AT5" s="342"/>
      <c r="AU5" s="342"/>
      <c r="AV5" s="343"/>
      <c r="AW5" s="334"/>
      <c r="AX5" s="2">
        <f t="shared" ref="AX5:AX35" si="1">SUM(Q5:AW5)</f>
        <v>78000</v>
      </c>
      <c r="AY5" s="182"/>
      <c r="AZ5" s="383"/>
    </row>
    <row r="6" spans="1:52">
      <c r="A6" s="21">
        <f t="shared" si="0"/>
        <v>44137</v>
      </c>
      <c r="B6" s="38">
        <v>67000</v>
      </c>
      <c r="C6" s="23">
        <v>26000</v>
      </c>
      <c r="D6" s="24">
        <f t="shared" ref="D6:D35" si="2">SUM(B6:C6)</f>
        <v>93000</v>
      </c>
      <c r="E6" s="40"/>
      <c r="F6" s="35">
        <v>206</v>
      </c>
      <c r="G6" s="27"/>
      <c r="H6" s="216">
        <f t="shared" ref="H6:H35" si="3">SUM(E6:G6)</f>
        <v>206</v>
      </c>
      <c r="I6" s="35"/>
      <c r="J6" s="41"/>
      <c r="K6" s="29"/>
      <c r="L6" s="1"/>
      <c r="M6" s="1"/>
      <c r="N6" s="1"/>
      <c r="O6" s="1"/>
      <c r="P6" s="55">
        <v>44137</v>
      </c>
      <c r="Q6" s="333"/>
      <c r="R6" s="334"/>
      <c r="S6" s="335"/>
      <c r="T6" s="334"/>
      <c r="U6" s="338">
        <v>26000</v>
      </c>
      <c r="V6" s="334"/>
      <c r="W6" s="339">
        <v>21000</v>
      </c>
      <c r="X6" s="334"/>
      <c r="Y6" s="385">
        <v>15000</v>
      </c>
      <c r="Z6" s="337"/>
      <c r="AA6" s="334"/>
      <c r="AB6" s="338">
        <v>20000</v>
      </c>
      <c r="AC6" s="334"/>
      <c r="AD6" s="339">
        <v>11000</v>
      </c>
      <c r="AE6" s="334"/>
      <c r="AF6" s="337"/>
      <c r="AG6" s="334"/>
      <c r="AH6" s="338"/>
      <c r="AI6" s="334"/>
      <c r="AJ6" s="339"/>
      <c r="AK6" s="334"/>
      <c r="AL6" s="339"/>
      <c r="AM6" s="340"/>
      <c r="AN6" s="344"/>
      <c r="AO6" s="344"/>
      <c r="AP6" s="341"/>
      <c r="AQ6" s="342"/>
      <c r="AR6" s="342"/>
      <c r="AS6" s="342"/>
      <c r="AT6" s="342"/>
      <c r="AU6" s="342"/>
      <c r="AV6" s="343"/>
      <c r="AW6" s="334"/>
      <c r="AX6" s="2">
        <f t="shared" si="1"/>
        <v>93000</v>
      </c>
      <c r="AY6" s="384"/>
      <c r="AZ6" s="383"/>
    </row>
    <row r="7" spans="1:52">
      <c r="A7" s="21">
        <f t="shared" si="0"/>
        <v>44138</v>
      </c>
      <c r="B7" s="38"/>
      <c r="C7" s="23"/>
      <c r="D7" s="24">
        <f t="shared" si="2"/>
        <v>0</v>
      </c>
      <c r="E7" s="40"/>
      <c r="F7" s="35"/>
      <c r="G7" s="27"/>
      <c r="H7" s="216">
        <f t="shared" si="3"/>
        <v>0</v>
      </c>
      <c r="I7" s="35"/>
      <c r="J7" s="41"/>
      <c r="K7" s="29"/>
      <c r="L7" s="1"/>
      <c r="M7" s="1"/>
      <c r="N7" s="1"/>
      <c r="O7" s="1"/>
      <c r="P7" s="55">
        <v>44138</v>
      </c>
      <c r="Q7" s="333"/>
      <c r="R7" s="334"/>
      <c r="S7" s="335"/>
      <c r="T7" s="334"/>
      <c r="U7" s="338"/>
      <c r="V7" s="334"/>
      <c r="W7" s="339"/>
      <c r="X7" s="334"/>
      <c r="Y7" s="385"/>
      <c r="Z7" s="337"/>
      <c r="AA7" s="334"/>
      <c r="AB7" s="335"/>
      <c r="AC7" s="334"/>
      <c r="AD7" s="345"/>
      <c r="AE7" s="334"/>
      <c r="AF7" s="335"/>
      <c r="AG7" s="334"/>
      <c r="AH7" s="335"/>
      <c r="AI7" s="334"/>
      <c r="AJ7" s="346"/>
      <c r="AK7" s="334"/>
      <c r="AL7" s="346"/>
      <c r="AM7" s="340"/>
      <c r="AN7" s="344"/>
      <c r="AO7" s="344"/>
      <c r="AP7" s="341"/>
      <c r="AQ7" s="342"/>
      <c r="AR7" s="342"/>
      <c r="AS7" s="342"/>
      <c r="AT7" s="342"/>
      <c r="AU7" s="342"/>
      <c r="AV7" s="347"/>
      <c r="AW7" s="334"/>
      <c r="AX7" s="2">
        <f t="shared" si="1"/>
        <v>0</v>
      </c>
      <c r="AY7" s="384"/>
      <c r="AZ7" s="383"/>
    </row>
    <row r="8" spans="1:52">
      <c r="A8" s="21">
        <f t="shared" si="0"/>
        <v>44139</v>
      </c>
      <c r="B8" s="38">
        <v>71000</v>
      </c>
      <c r="C8" s="23"/>
      <c r="D8" s="24">
        <f>SUM(B8:C8)</f>
        <v>71000</v>
      </c>
      <c r="E8" s="40"/>
      <c r="F8" s="35">
        <v>1057</v>
      </c>
      <c r="G8" s="27"/>
      <c r="H8" s="216">
        <f t="shared" si="3"/>
        <v>1057</v>
      </c>
      <c r="I8" s="35"/>
      <c r="J8" s="41"/>
      <c r="K8" s="29"/>
      <c r="L8" s="1"/>
      <c r="M8" s="1"/>
      <c r="N8" s="1"/>
      <c r="O8" s="1"/>
      <c r="P8" s="55">
        <v>44139</v>
      </c>
      <c r="Q8" s="333">
        <v>55000</v>
      </c>
      <c r="R8" s="334"/>
      <c r="S8" s="335"/>
      <c r="T8" s="334"/>
      <c r="U8" s="338">
        <v>16000</v>
      </c>
      <c r="V8" s="334"/>
      <c r="W8" s="339"/>
      <c r="X8" s="334"/>
      <c r="Y8" s="385"/>
      <c r="Z8" s="337"/>
      <c r="AA8" s="334"/>
      <c r="AB8" s="335"/>
      <c r="AC8" s="334"/>
      <c r="AD8" s="348"/>
      <c r="AE8" s="334"/>
      <c r="AF8" s="335"/>
      <c r="AG8" s="334"/>
      <c r="AH8" s="335"/>
      <c r="AI8" s="334"/>
      <c r="AJ8" s="335"/>
      <c r="AK8" s="334"/>
      <c r="AL8" s="335"/>
      <c r="AM8" s="334"/>
      <c r="AN8" s="349"/>
      <c r="AO8" s="341"/>
      <c r="AP8" s="350"/>
      <c r="AQ8" s="341"/>
      <c r="AR8" s="342"/>
      <c r="AS8" s="342"/>
      <c r="AT8" s="342"/>
      <c r="AU8" s="342"/>
      <c r="AV8" s="337"/>
      <c r="AW8" s="334"/>
      <c r="AX8" s="2">
        <f t="shared" si="1"/>
        <v>71000</v>
      </c>
      <c r="AY8" s="384"/>
      <c r="AZ8" s="383"/>
    </row>
    <row r="9" spans="1:52">
      <c r="A9" s="21">
        <f t="shared" si="0"/>
        <v>44140</v>
      </c>
      <c r="B9" s="381">
        <v>35000</v>
      </c>
      <c r="C9" s="23"/>
      <c r="D9" s="24">
        <f t="shared" si="2"/>
        <v>35000</v>
      </c>
      <c r="E9" s="40">
        <v>27082</v>
      </c>
      <c r="F9" s="35">
        <v>1400</v>
      </c>
      <c r="G9" s="27"/>
      <c r="H9" s="216">
        <f t="shared" si="3"/>
        <v>28482</v>
      </c>
      <c r="I9" s="35"/>
      <c r="J9" s="41"/>
      <c r="K9" s="29"/>
      <c r="L9" s="1"/>
      <c r="M9" s="1"/>
      <c r="N9" s="1"/>
      <c r="O9" s="1"/>
      <c r="P9" s="55">
        <v>44140</v>
      </c>
      <c r="Q9" s="333"/>
      <c r="R9" s="334"/>
      <c r="S9" s="335"/>
      <c r="T9" s="334"/>
      <c r="U9" s="335">
        <v>5000</v>
      </c>
      <c r="V9" s="334">
        <v>20000</v>
      </c>
      <c r="W9" s="346">
        <v>6000</v>
      </c>
      <c r="X9" s="334"/>
      <c r="Y9" s="334">
        <v>4000</v>
      </c>
      <c r="Z9" s="335"/>
      <c r="AA9" s="334"/>
      <c r="AB9" s="335"/>
      <c r="AC9" s="334"/>
      <c r="AD9" s="348"/>
      <c r="AE9" s="334"/>
      <c r="AF9" s="335"/>
      <c r="AG9" s="334"/>
      <c r="AH9" s="335"/>
      <c r="AI9" s="334"/>
      <c r="AJ9" s="335"/>
      <c r="AK9" s="334"/>
      <c r="AL9" s="335"/>
      <c r="AM9" s="334"/>
      <c r="AN9" s="340"/>
      <c r="AO9" s="341"/>
      <c r="AP9" s="350"/>
      <c r="AQ9" s="344"/>
      <c r="AR9" s="341"/>
      <c r="AS9" s="341"/>
      <c r="AT9" s="341"/>
      <c r="AU9" s="341"/>
      <c r="AV9" s="337"/>
      <c r="AW9" s="334"/>
      <c r="AX9" s="2">
        <f t="shared" si="1"/>
        <v>35000</v>
      </c>
      <c r="AY9" s="384"/>
      <c r="AZ9" s="383"/>
    </row>
    <row r="10" spans="1:52">
      <c r="A10" s="21">
        <f t="shared" si="0"/>
        <v>44141</v>
      </c>
      <c r="B10" s="38">
        <v>131000</v>
      </c>
      <c r="C10" s="23">
        <v>20000</v>
      </c>
      <c r="D10" s="24">
        <f t="shared" si="2"/>
        <v>151000</v>
      </c>
      <c r="E10" s="40"/>
      <c r="F10" s="35">
        <v>332</v>
      </c>
      <c r="G10" s="27"/>
      <c r="H10" s="216">
        <f t="shared" si="3"/>
        <v>332</v>
      </c>
      <c r="I10" s="35"/>
      <c r="J10" s="41"/>
      <c r="K10" s="29"/>
      <c r="L10" s="1"/>
      <c r="M10" s="516" t="s">
        <v>26</v>
      </c>
      <c r="N10" s="517"/>
      <c r="O10" s="1"/>
      <c r="P10" s="55">
        <v>44141</v>
      </c>
      <c r="Q10" s="333"/>
      <c r="R10" s="334"/>
      <c r="S10" s="335"/>
      <c r="T10" s="334"/>
      <c r="U10" s="335">
        <v>81000</v>
      </c>
      <c r="V10" s="334"/>
      <c r="W10" s="335">
        <v>32000</v>
      </c>
      <c r="X10" s="334"/>
      <c r="Y10" s="334"/>
      <c r="Z10" s="335"/>
      <c r="AA10" s="334"/>
      <c r="AB10" s="335">
        <v>30000</v>
      </c>
      <c r="AC10" s="334"/>
      <c r="AD10" s="348"/>
      <c r="AE10" s="334"/>
      <c r="AF10" s="335">
        <v>8000</v>
      </c>
      <c r="AG10" s="334"/>
      <c r="AH10" s="335"/>
      <c r="AI10" s="334"/>
      <c r="AJ10" s="335"/>
      <c r="AK10" s="334"/>
      <c r="AL10" s="335"/>
      <c r="AM10" s="334"/>
      <c r="AN10" s="340"/>
      <c r="AO10" s="341"/>
      <c r="AP10" s="350"/>
      <c r="AQ10" s="344"/>
      <c r="AR10" s="341"/>
      <c r="AS10" s="341"/>
      <c r="AT10" s="341"/>
      <c r="AU10" s="341"/>
      <c r="AV10" s="337"/>
      <c r="AW10" s="334"/>
      <c r="AX10" s="2">
        <f t="shared" si="1"/>
        <v>151000</v>
      </c>
      <c r="AY10" s="384"/>
      <c r="AZ10" s="383"/>
    </row>
    <row r="11" spans="1:52">
      <c r="A11" s="21">
        <f t="shared" si="0"/>
        <v>44142</v>
      </c>
      <c r="B11" s="38">
        <v>51000</v>
      </c>
      <c r="C11" s="23"/>
      <c r="D11" s="24">
        <f t="shared" si="2"/>
        <v>51000</v>
      </c>
      <c r="E11" s="40">
        <v>5115</v>
      </c>
      <c r="F11" s="35"/>
      <c r="G11" s="27"/>
      <c r="H11" s="216">
        <f t="shared" si="3"/>
        <v>5115</v>
      </c>
      <c r="I11" s="35"/>
      <c r="J11" s="41"/>
      <c r="K11" s="29"/>
      <c r="L11" s="1"/>
      <c r="M11" s="47" t="s">
        <v>27</v>
      </c>
      <c r="N11" s="518">
        <v>29120</v>
      </c>
      <c r="O11" s="1"/>
      <c r="P11" s="55">
        <v>44142</v>
      </c>
      <c r="Q11" s="333"/>
      <c r="R11" s="334"/>
      <c r="S11" s="335"/>
      <c r="T11" s="334"/>
      <c r="U11" s="335">
        <v>45000</v>
      </c>
      <c r="V11" s="334"/>
      <c r="W11" s="335">
        <v>6000</v>
      </c>
      <c r="X11" s="334"/>
      <c r="Y11" s="334"/>
      <c r="Z11" s="335"/>
      <c r="AA11" s="334"/>
      <c r="AB11" s="335"/>
      <c r="AC11" s="334"/>
      <c r="AD11" s="348"/>
      <c r="AE11" s="334"/>
      <c r="AF11" s="335"/>
      <c r="AG11" s="334"/>
      <c r="AH11" s="335"/>
      <c r="AI11" s="334"/>
      <c r="AJ11" s="335"/>
      <c r="AK11" s="334"/>
      <c r="AL11" s="335"/>
      <c r="AM11" s="334"/>
      <c r="AN11" s="340"/>
      <c r="AO11" s="341"/>
      <c r="AP11" s="350"/>
      <c r="AQ11" s="344"/>
      <c r="AR11" s="341"/>
      <c r="AS11" s="341"/>
      <c r="AT11" s="341"/>
      <c r="AU11" s="341"/>
      <c r="AV11" s="337"/>
      <c r="AW11" s="334"/>
      <c r="AX11" s="2">
        <f t="shared" si="1"/>
        <v>51000</v>
      </c>
      <c r="AY11" s="384"/>
      <c r="AZ11" s="383"/>
    </row>
    <row r="12" spans="1:52">
      <c r="A12" s="21">
        <f t="shared" si="0"/>
        <v>44143</v>
      </c>
      <c r="B12" s="38">
        <v>52000</v>
      </c>
      <c r="C12" s="23"/>
      <c r="D12" s="24">
        <f t="shared" si="2"/>
        <v>52000</v>
      </c>
      <c r="E12" s="40">
        <v>20608</v>
      </c>
      <c r="F12" s="35"/>
      <c r="G12" s="27"/>
      <c r="H12" s="216">
        <f t="shared" si="3"/>
        <v>20608</v>
      </c>
      <c r="I12" s="35"/>
      <c r="J12" s="41"/>
      <c r="K12" s="29"/>
      <c r="L12" s="1"/>
      <c r="M12" s="47" t="s">
        <v>28</v>
      </c>
      <c r="N12" s="519"/>
      <c r="O12" s="1"/>
      <c r="P12" s="55">
        <v>44143</v>
      </c>
      <c r="Q12" s="333"/>
      <c r="R12" s="334"/>
      <c r="S12" s="335"/>
      <c r="T12" s="334"/>
      <c r="U12" s="335">
        <v>38000</v>
      </c>
      <c r="V12" s="334"/>
      <c r="W12" s="335">
        <v>10000</v>
      </c>
      <c r="X12" s="334"/>
      <c r="Y12" s="334">
        <v>4000</v>
      </c>
      <c r="Z12" s="335"/>
      <c r="AA12" s="334"/>
      <c r="AB12" s="335"/>
      <c r="AC12" s="334"/>
      <c r="AD12" s="348"/>
      <c r="AE12" s="334"/>
      <c r="AF12" s="335"/>
      <c r="AG12" s="334"/>
      <c r="AH12" s="335"/>
      <c r="AI12" s="334"/>
      <c r="AJ12" s="335"/>
      <c r="AK12" s="334"/>
      <c r="AL12" s="335"/>
      <c r="AM12" s="334"/>
      <c r="AN12" s="340"/>
      <c r="AO12" s="341"/>
      <c r="AP12" s="350"/>
      <c r="AQ12" s="344"/>
      <c r="AR12" s="341"/>
      <c r="AS12" s="341"/>
      <c r="AT12" s="341"/>
      <c r="AU12" s="341"/>
      <c r="AV12" s="337"/>
      <c r="AW12" s="334"/>
      <c r="AX12" s="2">
        <f t="shared" si="1"/>
        <v>52000</v>
      </c>
      <c r="AY12" s="384"/>
      <c r="AZ12" s="383"/>
    </row>
    <row r="13" spans="1:52">
      <c r="A13" s="21">
        <f t="shared" si="0"/>
        <v>44144</v>
      </c>
      <c r="B13" s="38"/>
      <c r="C13" s="23"/>
      <c r="D13" s="24">
        <f t="shared" si="2"/>
        <v>0</v>
      </c>
      <c r="E13" s="40"/>
      <c r="F13" s="35"/>
      <c r="G13" s="27"/>
      <c r="H13" s="216">
        <f t="shared" si="3"/>
        <v>0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44144</v>
      </c>
      <c r="Q13" s="333"/>
      <c r="R13" s="334"/>
      <c r="S13" s="335"/>
      <c r="T13" s="334"/>
      <c r="U13" s="335"/>
      <c r="V13" s="334"/>
      <c r="W13" s="335"/>
      <c r="X13" s="334"/>
      <c r="Y13" s="334"/>
      <c r="Z13" s="335"/>
      <c r="AA13" s="334"/>
      <c r="AB13" s="335"/>
      <c r="AC13" s="334"/>
      <c r="AD13" s="348"/>
      <c r="AE13" s="334"/>
      <c r="AF13" s="335"/>
      <c r="AG13" s="334"/>
      <c r="AH13" s="335"/>
      <c r="AI13" s="334"/>
      <c r="AJ13" s="335"/>
      <c r="AK13" s="334"/>
      <c r="AL13" s="335"/>
      <c r="AM13" s="334"/>
      <c r="AN13" s="340"/>
      <c r="AO13" s="341"/>
      <c r="AP13" s="350"/>
      <c r="AQ13" s="344"/>
      <c r="AR13" s="341"/>
      <c r="AS13" s="341"/>
      <c r="AT13" s="341"/>
      <c r="AU13" s="341"/>
      <c r="AV13" s="337"/>
      <c r="AW13" s="334"/>
      <c r="AX13" s="2">
        <f t="shared" si="1"/>
        <v>0</v>
      </c>
      <c r="AY13" s="384"/>
      <c r="AZ13" s="383"/>
    </row>
    <row r="14" spans="1:52">
      <c r="A14" s="21">
        <f t="shared" si="0"/>
        <v>44145</v>
      </c>
      <c r="B14" s="38"/>
      <c r="C14" s="23"/>
      <c r="D14" s="24">
        <f t="shared" si="2"/>
        <v>0</v>
      </c>
      <c r="E14" s="40"/>
      <c r="F14" s="44"/>
      <c r="G14" s="27"/>
      <c r="H14" s="216">
        <f t="shared" si="3"/>
        <v>0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44145</v>
      </c>
      <c r="Q14" s="333"/>
      <c r="R14" s="334"/>
      <c r="S14" s="335"/>
      <c r="T14" s="334"/>
      <c r="U14" s="335"/>
      <c r="V14" s="334"/>
      <c r="W14" s="335"/>
      <c r="X14" s="334"/>
      <c r="Y14" s="334"/>
      <c r="Z14" s="335"/>
      <c r="AA14" s="334"/>
      <c r="AB14" s="335"/>
      <c r="AC14" s="334"/>
      <c r="AD14" s="348"/>
      <c r="AE14" s="334"/>
      <c r="AF14" s="335"/>
      <c r="AG14" s="334"/>
      <c r="AH14" s="335"/>
      <c r="AI14" s="334"/>
      <c r="AJ14" s="335"/>
      <c r="AK14" s="334"/>
      <c r="AL14" s="335"/>
      <c r="AM14" s="334"/>
      <c r="AN14" s="340"/>
      <c r="AO14" s="341"/>
      <c r="AP14" s="351"/>
      <c r="AQ14" s="344"/>
      <c r="AR14" s="341"/>
      <c r="AS14" s="341"/>
      <c r="AT14" s="341"/>
      <c r="AU14" s="341"/>
      <c r="AV14" s="337"/>
      <c r="AW14" s="334"/>
      <c r="AX14" s="2">
        <f t="shared" si="1"/>
        <v>0</v>
      </c>
      <c r="AY14" s="384"/>
      <c r="AZ14" s="383"/>
    </row>
    <row r="15" spans="1:52">
      <c r="A15" s="21">
        <f t="shared" si="0"/>
        <v>44146</v>
      </c>
      <c r="B15" s="38">
        <v>10000</v>
      </c>
      <c r="C15" s="23"/>
      <c r="D15" s="24">
        <f t="shared" si="2"/>
        <v>10000</v>
      </c>
      <c r="E15" s="40"/>
      <c r="F15" s="35"/>
      <c r="G15" s="27"/>
      <c r="H15" s="216">
        <f t="shared" si="3"/>
        <v>0</v>
      </c>
      <c r="I15" s="35"/>
      <c r="J15" s="41"/>
      <c r="K15" s="29"/>
      <c r="L15" s="1"/>
      <c r="M15" s="47" t="s">
        <v>31</v>
      </c>
      <c r="N15" s="35">
        <v>330000</v>
      </c>
      <c r="O15" s="1"/>
      <c r="P15" s="55">
        <v>44146</v>
      </c>
      <c r="Q15" s="333"/>
      <c r="R15" s="334"/>
      <c r="S15" s="335"/>
      <c r="T15" s="334"/>
      <c r="U15" s="335">
        <v>10000</v>
      </c>
      <c r="V15" s="334"/>
      <c r="W15" s="335"/>
      <c r="X15" s="334"/>
      <c r="Y15" s="334"/>
      <c r="Z15" s="335"/>
      <c r="AA15" s="334"/>
      <c r="AB15" s="335"/>
      <c r="AC15" s="334"/>
      <c r="AD15" s="348"/>
      <c r="AE15" s="334"/>
      <c r="AF15" s="335"/>
      <c r="AG15" s="334"/>
      <c r="AH15" s="335"/>
      <c r="AI15" s="334"/>
      <c r="AJ15" s="335"/>
      <c r="AK15" s="334"/>
      <c r="AL15" s="335"/>
      <c r="AM15" s="334"/>
      <c r="AN15" s="340"/>
      <c r="AO15" s="341"/>
      <c r="AP15" s="352"/>
      <c r="AQ15" s="344"/>
      <c r="AR15" s="341"/>
      <c r="AS15" s="341"/>
      <c r="AT15" s="341"/>
      <c r="AU15" s="341"/>
      <c r="AV15" s="337"/>
      <c r="AW15" s="334"/>
      <c r="AX15" s="2">
        <f t="shared" si="1"/>
        <v>10000</v>
      </c>
      <c r="AY15" s="384"/>
      <c r="AZ15" s="383"/>
    </row>
    <row r="16" spans="1:52">
      <c r="A16" s="21">
        <f t="shared" si="0"/>
        <v>44147</v>
      </c>
      <c r="B16" s="38">
        <v>37000</v>
      </c>
      <c r="C16" s="23"/>
      <c r="D16" s="24">
        <f t="shared" si="2"/>
        <v>37000</v>
      </c>
      <c r="E16" s="40"/>
      <c r="F16" s="35"/>
      <c r="G16" s="27"/>
      <c r="H16" s="216">
        <f t="shared" si="3"/>
        <v>0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44147</v>
      </c>
      <c r="Q16" s="333"/>
      <c r="R16" s="334"/>
      <c r="S16" s="335"/>
      <c r="T16" s="334"/>
      <c r="U16" s="335">
        <v>32000</v>
      </c>
      <c r="V16" s="334"/>
      <c r="W16" s="335"/>
      <c r="X16" s="334"/>
      <c r="Y16" s="334"/>
      <c r="Z16" s="335"/>
      <c r="AA16" s="334"/>
      <c r="AB16" s="335"/>
      <c r="AC16" s="334"/>
      <c r="AD16" s="348"/>
      <c r="AE16" s="334"/>
      <c r="AF16" s="335">
        <v>5000</v>
      </c>
      <c r="AG16" s="334"/>
      <c r="AH16" s="335"/>
      <c r="AI16" s="334"/>
      <c r="AJ16" s="335"/>
      <c r="AK16" s="334"/>
      <c r="AL16" s="335"/>
      <c r="AM16" s="334"/>
      <c r="AN16" s="334"/>
      <c r="AO16" s="353"/>
      <c r="AP16" s="340"/>
      <c r="AQ16" s="344"/>
      <c r="AR16" s="341"/>
      <c r="AS16" s="341"/>
      <c r="AT16" s="341"/>
      <c r="AU16" s="341"/>
      <c r="AV16" s="337"/>
      <c r="AW16" s="334"/>
      <c r="AX16" s="2">
        <f t="shared" si="1"/>
        <v>37000</v>
      </c>
      <c r="AY16" s="384"/>
      <c r="AZ16" s="383"/>
    </row>
    <row r="17" spans="1:52">
      <c r="A17" s="21">
        <f t="shared" si="0"/>
        <v>44148</v>
      </c>
      <c r="B17" s="38">
        <v>63000</v>
      </c>
      <c r="C17" s="23"/>
      <c r="D17" s="24">
        <f t="shared" si="2"/>
        <v>63000</v>
      </c>
      <c r="E17" s="40">
        <v>25778</v>
      </c>
      <c r="F17" s="35"/>
      <c r="G17" s="27"/>
      <c r="H17" s="216">
        <f t="shared" si="3"/>
        <v>25778</v>
      </c>
      <c r="I17" s="35"/>
      <c r="J17" s="41"/>
      <c r="K17" s="29"/>
      <c r="L17" s="1"/>
      <c r="M17" s="47"/>
      <c r="N17" s="35"/>
      <c r="O17" s="1"/>
      <c r="P17" s="55">
        <v>44148</v>
      </c>
      <c r="Q17" s="333"/>
      <c r="R17" s="334"/>
      <c r="S17" s="335"/>
      <c r="T17" s="334"/>
      <c r="U17" s="335">
        <v>18000</v>
      </c>
      <c r="V17" s="334"/>
      <c r="W17" s="335">
        <v>10000</v>
      </c>
      <c r="X17" s="334"/>
      <c r="Y17" s="334"/>
      <c r="Z17" s="335"/>
      <c r="AA17" s="334"/>
      <c r="AB17" s="335"/>
      <c r="AC17" s="334"/>
      <c r="AD17" s="348">
        <v>10000</v>
      </c>
      <c r="AE17" s="334"/>
      <c r="AF17" s="335"/>
      <c r="AG17" s="334"/>
      <c r="AH17" s="335">
        <v>25000</v>
      </c>
      <c r="AI17" s="334"/>
      <c r="AJ17" s="335"/>
      <c r="AK17" s="334"/>
      <c r="AL17" s="335"/>
      <c r="AM17" s="334"/>
      <c r="AN17" s="334"/>
      <c r="AO17" s="334"/>
      <c r="AP17" s="340"/>
      <c r="AQ17" s="344"/>
      <c r="AR17" s="341"/>
      <c r="AS17" s="341"/>
      <c r="AT17" s="341"/>
      <c r="AU17" s="341"/>
      <c r="AV17" s="337"/>
      <c r="AW17" s="334"/>
      <c r="AX17" s="2">
        <f t="shared" si="1"/>
        <v>63000</v>
      </c>
      <c r="AY17" s="384"/>
      <c r="AZ17" s="383"/>
    </row>
    <row r="18" spans="1:52">
      <c r="A18" s="21">
        <f t="shared" si="0"/>
        <v>44149</v>
      </c>
      <c r="B18" s="38">
        <v>72000</v>
      </c>
      <c r="C18" s="23">
        <v>22000</v>
      </c>
      <c r="D18" s="24">
        <f t="shared" si="2"/>
        <v>94000</v>
      </c>
      <c r="E18" s="40">
        <v>10010</v>
      </c>
      <c r="F18" s="35"/>
      <c r="G18" s="27"/>
      <c r="H18" s="216">
        <f t="shared" si="3"/>
        <v>10010</v>
      </c>
      <c r="I18" s="35"/>
      <c r="J18" s="41"/>
      <c r="K18" s="29"/>
      <c r="L18" s="1"/>
      <c r="M18" s="47"/>
      <c r="N18" s="35"/>
      <c r="O18" s="1"/>
      <c r="P18" s="55">
        <v>44149</v>
      </c>
      <c r="Q18" s="333"/>
      <c r="R18" s="334"/>
      <c r="S18" s="335">
        <v>6000</v>
      </c>
      <c r="T18" s="334"/>
      <c r="U18" s="335">
        <v>19000</v>
      </c>
      <c r="V18" s="334"/>
      <c r="W18" s="335">
        <v>13000</v>
      </c>
      <c r="X18" s="334"/>
      <c r="Y18" s="334">
        <v>10000</v>
      </c>
      <c r="Z18" s="335"/>
      <c r="AA18" s="334"/>
      <c r="AB18" s="335"/>
      <c r="AC18" s="334"/>
      <c r="AD18" s="348"/>
      <c r="AE18" s="334"/>
      <c r="AF18" s="335"/>
      <c r="AG18" s="334"/>
      <c r="AH18" s="335"/>
      <c r="AI18" s="334"/>
      <c r="AJ18" s="335">
        <v>35000</v>
      </c>
      <c r="AK18" s="334"/>
      <c r="AL18" s="335">
        <v>11000</v>
      </c>
      <c r="AM18" s="334"/>
      <c r="AN18" s="334"/>
      <c r="AO18" s="334"/>
      <c r="AP18" s="340"/>
      <c r="AQ18" s="344"/>
      <c r="AR18" s="341"/>
      <c r="AS18" s="341"/>
      <c r="AT18" s="341"/>
      <c r="AU18" s="341"/>
      <c r="AV18" s="337"/>
      <c r="AW18" s="334"/>
      <c r="AX18" s="2">
        <f t="shared" si="1"/>
        <v>94000</v>
      </c>
      <c r="AY18" s="384"/>
      <c r="AZ18" s="383"/>
    </row>
    <row r="19" spans="1:52">
      <c r="A19" s="21">
        <f t="shared" si="0"/>
        <v>44150</v>
      </c>
      <c r="B19" s="38">
        <v>24000</v>
      </c>
      <c r="C19" s="23"/>
      <c r="D19" s="24">
        <f t="shared" si="2"/>
        <v>24000</v>
      </c>
      <c r="E19" s="40"/>
      <c r="F19" s="35"/>
      <c r="G19" s="27"/>
      <c r="H19" s="216">
        <f t="shared" si="3"/>
        <v>0</v>
      </c>
      <c r="I19" s="35"/>
      <c r="J19" s="41"/>
      <c r="K19" s="29"/>
      <c r="L19" s="1"/>
      <c r="M19" s="49" t="s">
        <v>33</v>
      </c>
      <c r="N19" s="50">
        <f>SUM(N11:N18)</f>
        <v>415120</v>
      </c>
      <c r="O19" s="1"/>
      <c r="P19" s="55">
        <v>44150</v>
      </c>
      <c r="Q19" s="333"/>
      <c r="R19" s="334"/>
      <c r="S19" s="335"/>
      <c r="T19" s="334"/>
      <c r="U19" s="335">
        <v>2000</v>
      </c>
      <c r="V19" s="334"/>
      <c r="W19" s="335">
        <v>8000</v>
      </c>
      <c r="X19" s="334"/>
      <c r="Y19" s="334"/>
      <c r="Z19" s="335"/>
      <c r="AA19" s="334"/>
      <c r="AB19" s="335">
        <v>14000</v>
      </c>
      <c r="AC19" s="334"/>
      <c r="AD19" s="348"/>
      <c r="AE19" s="334"/>
      <c r="AF19" s="335"/>
      <c r="AG19" s="334"/>
      <c r="AH19" s="335"/>
      <c r="AI19" s="334"/>
      <c r="AJ19" s="335"/>
      <c r="AK19" s="334"/>
      <c r="AL19" s="335"/>
      <c r="AM19" s="334"/>
      <c r="AN19" s="334"/>
      <c r="AO19" s="334"/>
      <c r="AP19" s="340"/>
      <c r="AQ19" s="344"/>
      <c r="AR19" s="341"/>
      <c r="AS19" s="341"/>
      <c r="AT19" s="341"/>
      <c r="AU19" s="341"/>
      <c r="AV19" s="337"/>
      <c r="AW19" s="334"/>
      <c r="AX19" s="2">
        <f t="shared" si="1"/>
        <v>24000</v>
      </c>
      <c r="AY19" s="384"/>
      <c r="AZ19" s="383"/>
    </row>
    <row r="20" spans="1:52">
      <c r="A20" s="21">
        <f t="shared" si="0"/>
        <v>44151</v>
      </c>
      <c r="B20" s="38">
        <v>64000</v>
      </c>
      <c r="C20" s="38"/>
      <c r="D20" s="24">
        <f t="shared" si="2"/>
        <v>64000</v>
      </c>
      <c r="E20" s="40"/>
      <c r="F20" s="35"/>
      <c r="G20" s="27"/>
      <c r="H20" s="216">
        <f t="shared" si="3"/>
        <v>0</v>
      </c>
      <c r="I20" s="35"/>
      <c r="J20" s="41"/>
      <c r="K20" s="29"/>
      <c r="L20" s="1"/>
      <c r="M20" s="51"/>
      <c r="N20" s="7"/>
      <c r="O20" s="1"/>
      <c r="P20" s="55">
        <v>44151</v>
      </c>
      <c r="Q20" s="333"/>
      <c r="R20" s="334"/>
      <c r="S20" s="335"/>
      <c r="T20" s="334"/>
      <c r="U20" s="335">
        <v>27000</v>
      </c>
      <c r="V20" s="334"/>
      <c r="W20" s="335">
        <v>12000</v>
      </c>
      <c r="X20" s="334"/>
      <c r="Y20" s="334">
        <v>25000</v>
      </c>
      <c r="Z20" s="335"/>
      <c r="AA20" s="334"/>
      <c r="AB20" s="335"/>
      <c r="AC20" s="334"/>
      <c r="AD20" s="348"/>
      <c r="AE20" s="334"/>
      <c r="AF20" s="335"/>
      <c r="AG20" s="334"/>
      <c r="AH20" s="335"/>
      <c r="AI20" s="334"/>
      <c r="AJ20" s="335"/>
      <c r="AK20" s="334"/>
      <c r="AL20" s="335"/>
      <c r="AM20" s="334"/>
      <c r="AN20" s="334"/>
      <c r="AO20" s="334"/>
      <c r="AP20" s="340"/>
      <c r="AQ20" s="344"/>
      <c r="AR20" s="341"/>
      <c r="AS20" s="341"/>
      <c r="AT20" s="341"/>
      <c r="AU20" s="341"/>
      <c r="AV20" s="337"/>
      <c r="AW20" s="334"/>
      <c r="AX20" s="2">
        <f t="shared" si="1"/>
        <v>64000</v>
      </c>
      <c r="AY20" s="384"/>
      <c r="AZ20" s="383"/>
    </row>
    <row r="21" spans="1:52">
      <c r="A21" s="21">
        <f t="shared" si="0"/>
        <v>44152</v>
      </c>
      <c r="B21" s="38"/>
      <c r="C21" s="38"/>
      <c r="D21" s="24">
        <f t="shared" si="2"/>
        <v>0</v>
      </c>
      <c r="E21" s="40"/>
      <c r="F21" s="35"/>
      <c r="G21" s="27"/>
      <c r="H21" s="216">
        <f t="shared" si="3"/>
        <v>0</v>
      </c>
      <c r="I21" s="35"/>
      <c r="J21" s="41"/>
      <c r="K21" s="29"/>
      <c r="L21" s="1"/>
      <c r="M21" s="1"/>
      <c r="N21" s="1"/>
      <c r="O21" s="1"/>
      <c r="P21" s="55">
        <v>44152</v>
      </c>
      <c r="Q21" s="333"/>
      <c r="R21" s="334"/>
      <c r="S21" s="335"/>
      <c r="T21" s="334"/>
      <c r="U21" s="335"/>
      <c r="V21" s="334"/>
      <c r="W21" s="335"/>
      <c r="X21" s="334"/>
      <c r="Y21" s="334"/>
      <c r="Z21" s="335"/>
      <c r="AA21" s="334"/>
      <c r="AB21" s="335"/>
      <c r="AC21" s="334"/>
      <c r="AD21" s="348"/>
      <c r="AE21" s="334"/>
      <c r="AF21" s="335"/>
      <c r="AG21" s="334"/>
      <c r="AH21" s="335"/>
      <c r="AI21" s="334"/>
      <c r="AJ21" s="335"/>
      <c r="AK21" s="334"/>
      <c r="AL21" s="335"/>
      <c r="AM21" s="334"/>
      <c r="AN21" s="334"/>
      <c r="AO21" s="334"/>
      <c r="AP21" s="334"/>
      <c r="AQ21" s="349"/>
      <c r="AR21" s="341"/>
      <c r="AS21" s="341"/>
      <c r="AT21" s="341"/>
      <c r="AU21" s="341"/>
      <c r="AV21" s="337"/>
      <c r="AW21" s="334"/>
      <c r="AX21" s="2">
        <f t="shared" si="1"/>
        <v>0</v>
      </c>
      <c r="AY21" s="384"/>
      <c r="AZ21" s="383"/>
    </row>
    <row r="22" spans="1:52">
      <c r="A22" s="21">
        <f t="shared" si="0"/>
        <v>44153</v>
      </c>
      <c r="B22" s="38">
        <v>24000</v>
      </c>
      <c r="C22" s="38"/>
      <c r="D22" s="24">
        <f t="shared" si="2"/>
        <v>24000</v>
      </c>
      <c r="E22" s="40"/>
      <c r="F22" s="35"/>
      <c r="G22" s="27"/>
      <c r="H22" s="216">
        <f t="shared" si="3"/>
        <v>0</v>
      </c>
      <c r="I22" s="35"/>
      <c r="J22" s="41"/>
      <c r="K22" s="29"/>
      <c r="L22" s="1"/>
      <c r="M22" s="1"/>
      <c r="N22" s="1"/>
      <c r="O22" s="1"/>
      <c r="P22" s="55">
        <v>44153</v>
      </c>
      <c r="Q22" s="333"/>
      <c r="R22" s="334"/>
      <c r="S22" s="335"/>
      <c r="T22" s="334"/>
      <c r="U22" s="335">
        <v>24000</v>
      </c>
      <c r="V22" s="334"/>
      <c r="W22" s="335"/>
      <c r="X22" s="334"/>
      <c r="Y22" s="386"/>
      <c r="Z22" s="354"/>
      <c r="AA22" s="334"/>
      <c r="AB22" s="335"/>
      <c r="AC22" s="334"/>
      <c r="AD22" s="348"/>
      <c r="AE22" s="334"/>
      <c r="AF22" s="335"/>
      <c r="AG22" s="334"/>
      <c r="AH22" s="335"/>
      <c r="AI22" s="334"/>
      <c r="AJ22" s="335"/>
      <c r="AK22" s="334"/>
      <c r="AL22" s="335"/>
      <c r="AM22" s="334"/>
      <c r="AN22" s="334"/>
      <c r="AO22" s="334"/>
      <c r="AP22" s="334"/>
      <c r="AQ22" s="340"/>
      <c r="AR22" s="341"/>
      <c r="AS22" s="341"/>
      <c r="AT22" s="341"/>
      <c r="AU22" s="341"/>
      <c r="AV22" s="337"/>
      <c r="AW22" s="334"/>
      <c r="AX22" s="2">
        <f t="shared" si="1"/>
        <v>24000</v>
      </c>
      <c r="AY22" s="384"/>
      <c r="AZ22" s="383"/>
    </row>
    <row r="23" spans="1:52">
      <c r="A23" s="21">
        <f t="shared" si="0"/>
        <v>44154</v>
      </c>
      <c r="B23" s="38">
        <v>22000</v>
      </c>
      <c r="C23" s="38"/>
      <c r="D23" s="24">
        <f t="shared" si="2"/>
        <v>22000</v>
      </c>
      <c r="E23" s="40">
        <v>5438</v>
      </c>
      <c r="F23" s="35">
        <v>3278</v>
      </c>
      <c r="G23" s="27"/>
      <c r="H23" s="216">
        <f t="shared" si="3"/>
        <v>8716</v>
      </c>
      <c r="I23" s="35"/>
      <c r="J23" s="41"/>
      <c r="K23" s="29"/>
      <c r="L23" s="1"/>
      <c r="M23" s="1"/>
      <c r="N23" s="1"/>
      <c r="O23" s="1"/>
      <c r="P23" s="55">
        <v>44154</v>
      </c>
      <c r="Q23" s="333"/>
      <c r="R23" s="334"/>
      <c r="S23" s="335"/>
      <c r="T23" s="334"/>
      <c r="U23" s="335">
        <v>4000</v>
      </c>
      <c r="V23" s="334"/>
      <c r="W23" s="335">
        <v>1000</v>
      </c>
      <c r="X23" s="334"/>
      <c r="Y23" s="334"/>
      <c r="Z23" s="335"/>
      <c r="AA23" s="334"/>
      <c r="AB23" s="335"/>
      <c r="AC23" s="334"/>
      <c r="AD23" s="348"/>
      <c r="AE23" s="334"/>
      <c r="AF23" s="335"/>
      <c r="AG23" s="334"/>
      <c r="AH23" s="335"/>
      <c r="AI23" s="334"/>
      <c r="AJ23" s="335"/>
      <c r="AK23" s="334"/>
      <c r="AL23" s="335">
        <v>17000</v>
      </c>
      <c r="AM23" s="334"/>
      <c r="AN23" s="334"/>
      <c r="AO23" s="334"/>
      <c r="AP23" s="334"/>
      <c r="AQ23" s="340"/>
      <c r="AR23" s="341"/>
      <c r="AS23" s="341"/>
      <c r="AT23" s="341"/>
      <c r="AU23" s="341"/>
      <c r="AV23" s="337"/>
      <c r="AW23" s="334"/>
      <c r="AX23" s="2">
        <f t="shared" si="1"/>
        <v>22000</v>
      </c>
      <c r="AY23" s="384"/>
      <c r="AZ23" s="383"/>
    </row>
    <row r="24" spans="1:52">
      <c r="A24" s="21">
        <f t="shared" si="0"/>
        <v>44155</v>
      </c>
      <c r="B24" s="38">
        <v>56000</v>
      </c>
      <c r="C24" s="38">
        <v>15000</v>
      </c>
      <c r="D24" s="24">
        <f t="shared" si="2"/>
        <v>71000</v>
      </c>
      <c r="E24" s="40"/>
      <c r="F24" s="35">
        <v>1056</v>
      </c>
      <c r="G24" s="27"/>
      <c r="H24" s="216">
        <f t="shared" si="3"/>
        <v>1056</v>
      </c>
      <c r="I24" s="35"/>
      <c r="J24" s="41"/>
      <c r="K24" s="29"/>
      <c r="L24" s="1"/>
      <c r="M24" s="53" t="s">
        <v>34</v>
      </c>
      <c r="N24" s="38">
        <f>D37</f>
        <v>1611000</v>
      </c>
      <c r="O24" s="1"/>
      <c r="P24" s="55">
        <v>44155</v>
      </c>
      <c r="Q24" s="333"/>
      <c r="R24" s="334"/>
      <c r="S24" s="335"/>
      <c r="T24" s="334"/>
      <c r="U24" s="335">
        <v>25000</v>
      </c>
      <c r="V24" s="334"/>
      <c r="W24" s="335">
        <v>17000</v>
      </c>
      <c r="X24" s="334"/>
      <c r="Y24" s="334">
        <v>8000</v>
      </c>
      <c r="Z24" s="335"/>
      <c r="AA24" s="334"/>
      <c r="AB24" s="335"/>
      <c r="AC24" s="334"/>
      <c r="AD24" s="348"/>
      <c r="AE24" s="334"/>
      <c r="AF24" s="335"/>
      <c r="AG24" s="334"/>
      <c r="AH24" s="335"/>
      <c r="AI24" s="334"/>
      <c r="AJ24" s="335"/>
      <c r="AK24" s="334"/>
      <c r="AL24" s="335">
        <v>21000</v>
      </c>
      <c r="AM24" s="334"/>
      <c r="AN24" s="334"/>
      <c r="AO24" s="334"/>
      <c r="AP24" s="334"/>
      <c r="AQ24" s="340"/>
      <c r="AR24" s="341"/>
      <c r="AS24" s="341"/>
      <c r="AT24" s="341"/>
      <c r="AU24" s="341"/>
      <c r="AV24" s="337"/>
      <c r="AW24" s="334"/>
      <c r="AX24" s="2">
        <f t="shared" si="1"/>
        <v>71000</v>
      </c>
      <c r="AY24" s="384"/>
      <c r="AZ24" s="383"/>
    </row>
    <row r="25" spans="1:52">
      <c r="A25" s="21">
        <f t="shared" si="0"/>
        <v>44156</v>
      </c>
      <c r="B25" s="38">
        <v>62000</v>
      </c>
      <c r="C25" s="38">
        <v>85000</v>
      </c>
      <c r="D25" s="24">
        <f t="shared" si="2"/>
        <v>147000</v>
      </c>
      <c r="E25" s="40">
        <v>6721</v>
      </c>
      <c r="F25" s="35"/>
      <c r="G25" s="27"/>
      <c r="H25" s="216">
        <f t="shared" si="3"/>
        <v>6721</v>
      </c>
      <c r="I25" s="35"/>
      <c r="J25" s="41"/>
      <c r="K25" s="29"/>
      <c r="L25" s="1"/>
      <c r="M25" s="53" t="s">
        <v>35</v>
      </c>
      <c r="N25" s="38">
        <f>H37</f>
        <v>173765</v>
      </c>
      <c r="O25" s="1"/>
      <c r="P25" s="55">
        <v>44156</v>
      </c>
      <c r="Q25" s="333"/>
      <c r="R25" s="334"/>
      <c r="S25" s="335"/>
      <c r="T25" s="334"/>
      <c r="U25" s="335"/>
      <c r="V25" s="334"/>
      <c r="W25" s="335">
        <v>96000</v>
      </c>
      <c r="X25" s="334"/>
      <c r="Y25" s="334"/>
      <c r="Z25" s="335"/>
      <c r="AA25" s="334"/>
      <c r="AB25" s="335"/>
      <c r="AC25" s="334"/>
      <c r="AD25" s="348"/>
      <c r="AE25" s="334"/>
      <c r="AF25" s="335"/>
      <c r="AG25" s="334"/>
      <c r="AH25" s="335">
        <v>28000</v>
      </c>
      <c r="AI25" s="334"/>
      <c r="AJ25" s="335"/>
      <c r="AK25" s="334"/>
      <c r="AL25" s="335">
        <v>3000</v>
      </c>
      <c r="AM25" s="334"/>
      <c r="AN25" s="334"/>
      <c r="AO25" s="334"/>
      <c r="AP25" s="334"/>
      <c r="AQ25" s="340"/>
      <c r="AR25" s="341"/>
      <c r="AS25" s="341">
        <v>20000</v>
      </c>
      <c r="AT25" s="341"/>
      <c r="AU25" s="341"/>
      <c r="AV25" s="337"/>
      <c r="AW25" s="334"/>
      <c r="AX25" s="2">
        <f t="shared" si="1"/>
        <v>147000</v>
      </c>
      <c r="AY25" s="384"/>
      <c r="AZ25" s="383"/>
    </row>
    <row r="26" spans="1:52">
      <c r="A26" s="21">
        <f t="shared" si="0"/>
        <v>44157</v>
      </c>
      <c r="B26" s="38">
        <v>54000</v>
      </c>
      <c r="C26" s="38">
        <v>15000</v>
      </c>
      <c r="D26" s="24">
        <f t="shared" si="2"/>
        <v>69000</v>
      </c>
      <c r="E26" s="40">
        <v>20125</v>
      </c>
      <c r="F26" s="35"/>
      <c r="G26" s="27"/>
      <c r="H26" s="216">
        <f t="shared" si="3"/>
        <v>20125</v>
      </c>
      <c r="I26" s="35"/>
      <c r="J26" s="41"/>
      <c r="K26" s="29"/>
      <c r="L26" s="1"/>
      <c r="M26" s="53" t="s">
        <v>36</v>
      </c>
      <c r="N26" s="38">
        <f>N19</f>
        <v>415120</v>
      </c>
      <c r="O26" s="1"/>
      <c r="P26" s="55">
        <v>44157</v>
      </c>
      <c r="Q26" s="333"/>
      <c r="R26" s="334"/>
      <c r="S26" s="335"/>
      <c r="T26" s="334"/>
      <c r="U26" s="335">
        <v>19000</v>
      </c>
      <c r="V26" s="334"/>
      <c r="W26" s="335">
        <v>22000</v>
      </c>
      <c r="X26" s="334"/>
      <c r="Y26" s="334"/>
      <c r="Z26" s="335"/>
      <c r="AA26" s="334"/>
      <c r="AB26" s="335"/>
      <c r="AC26" s="334"/>
      <c r="AD26" s="348">
        <v>15000</v>
      </c>
      <c r="AE26" s="334"/>
      <c r="AF26" s="335"/>
      <c r="AG26" s="334"/>
      <c r="AH26" s="335"/>
      <c r="AI26" s="334"/>
      <c r="AJ26" s="335"/>
      <c r="AK26" s="334"/>
      <c r="AL26" s="335">
        <v>10000</v>
      </c>
      <c r="AM26" s="334"/>
      <c r="AN26" s="334">
        <v>3000</v>
      </c>
      <c r="AO26" s="334"/>
      <c r="AP26" s="334"/>
      <c r="AQ26" s="340"/>
      <c r="AR26" s="341"/>
      <c r="AS26" s="341"/>
      <c r="AT26" s="341"/>
      <c r="AU26" s="341"/>
      <c r="AV26" s="337"/>
      <c r="AW26" s="334"/>
      <c r="AX26" s="2">
        <f t="shared" si="1"/>
        <v>69000</v>
      </c>
      <c r="AY26" s="384"/>
      <c r="AZ26" s="383"/>
    </row>
    <row r="27" spans="1:52">
      <c r="A27" s="21">
        <f t="shared" si="0"/>
        <v>44158</v>
      </c>
      <c r="B27" s="38">
        <v>49000</v>
      </c>
      <c r="C27" s="38"/>
      <c r="D27" s="24">
        <f t="shared" si="2"/>
        <v>49000</v>
      </c>
      <c r="E27" s="40"/>
      <c r="F27" s="35"/>
      <c r="G27" s="27"/>
      <c r="H27" s="216">
        <f t="shared" si="3"/>
        <v>0</v>
      </c>
      <c r="I27" s="35"/>
      <c r="J27" s="41"/>
      <c r="K27" s="29"/>
      <c r="L27" s="1"/>
      <c r="M27" s="60" t="s">
        <v>37</v>
      </c>
      <c r="N27" s="61">
        <f>IFERROR(N24-N25-N26, "")</f>
        <v>1022115</v>
      </c>
      <c r="O27" s="1"/>
      <c r="P27" s="55">
        <v>44158</v>
      </c>
      <c r="Q27" s="333"/>
      <c r="R27" s="334"/>
      <c r="S27" s="335"/>
      <c r="T27" s="334"/>
      <c r="U27" s="335"/>
      <c r="V27" s="334"/>
      <c r="W27" s="335">
        <v>7000</v>
      </c>
      <c r="X27" s="334"/>
      <c r="Y27" s="334"/>
      <c r="Z27" s="335"/>
      <c r="AA27" s="334"/>
      <c r="AB27" s="335"/>
      <c r="AC27" s="334"/>
      <c r="AD27" s="348"/>
      <c r="AE27" s="334"/>
      <c r="AF27" s="335"/>
      <c r="AG27" s="334"/>
      <c r="AH27" s="335"/>
      <c r="AI27" s="334"/>
      <c r="AJ27" s="335"/>
      <c r="AK27" s="334"/>
      <c r="AL27" s="387"/>
      <c r="AM27" s="334"/>
      <c r="AN27" s="334"/>
      <c r="AO27" s="334"/>
      <c r="AP27" s="334">
        <v>15000</v>
      </c>
      <c r="AQ27" s="340">
        <v>27000</v>
      </c>
      <c r="AR27" s="341"/>
      <c r="AS27" s="341"/>
      <c r="AT27" s="341"/>
      <c r="AU27" s="341"/>
      <c r="AV27" s="337"/>
      <c r="AW27" s="334"/>
      <c r="AX27" s="2">
        <f t="shared" si="1"/>
        <v>49000</v>
      </c>
      <c r="AY27" s="384"/>
      <c r="AZ27" s="383"/>
    </row>
    <row r="28" spans="1:52">
      <c r="A28" s="21">
        <f t="shared" si="0"/>
        <v>44159</v>
      </c>
      <c r="B28" s="38"/>
      <c r="C28" s="38"/>
      <c r="D28" s="24">
        <f t="shared" si="2"/>
        <v>0</v>
      </c>
      <c r="E28" s="299"/>
      <c r="F28" s="35"/>
      <c r="G28" s="27"/>
      <c r="H28" s="216">
        <f t="shared" si="3"/>
        <v>0</v>
      </c>
      <c r="I28" s="35"/>
      <c r="J28" s="41"/>
      <c r="K28" s="29"/>
      <c r="L28" s="1"/>
      <c r="M28" s="1"/>
      <c r="N28" s="1"/>
      <c r="O28" s="1"/>
      <c r="P28" s="55">
        <v>44159</v>
      </c>
      <c r="Q28" s="333"/>
      <c r="R28" s="334"/>
      <c r="S28" s="335"/>
      <c r="T28" s="334"/>
      <c r="U28" s="335"/>
      <c r="V28" s="334"/>
      <c r="W28" s="335"/>
      <c r="X28" s="334"/>
      <c r="Y28" s="334"/>
      <c r="Z28" s="335"/>
      <c r="AA28" s="334"/>
      <c r="AB28" s="335"/>
      <c r="AC28" s="334"/>
      <c r="AD28" s="348"/>
      <c r="AE28" s="334"/>
      <c r="AF28" s="335"/>
      <c r="AG28" s="334"/>
      <c r="AH28" s="335"/>
      <c r="AI28" s="334"/>
      <c r="AJ28" s="335"/>
      <c r="AK28" s="334"/>
      <c r="AL28" s="335"/>
      <c r="AM28" s="334"/>
      <c r="AN28" s="334"/>
      <c r="AO28" s="334"/>
      <c r="AP28" s="334"/>
      <c r="AQ28" s="334"/>
      <c r="AR28" s="353"/>
      <c r="AS28" s="353"/>
      <c r="AT28" s="353"/>
      <c r="AU28" s="353"/>
      <c r="AV28" s="335"/>
      <c r="AW28" s="334"/>
      <c r="AX28" s="2">
        <f t="shared" si="1"/>
        <v>0</v>
      </c>
      <c r="AY28" s="384"/>
      <c r="AZ28" s="383"/>
    </row>
    <row r="29" spans="1:52">
      <c r="A29" s="21">
        <f t="shared" si="0"/>
        <v>44160</v>
      </c>
      <c r="B29" s="38">
        <v>32000</v>
      </c>
      <c r="C29" s="38">
        <v>21000</v>
      </c>
      <c r="D29" s="24">
        <f t="shared" si="2"/>
        <v>53000</v>
      </c>
      <c r="E29" s="40"/>
      <c r="F29" s="35"/>
      <c r="G29" s="27"/>
      <c r="H29" s="216">
        <f t="shared" si="3"/>
        <v>0</v>
      </c>
      <c r="I29" s="35"/>
      <c r="J29" s="41"/>
      <c r="K29" s="29"/>
      <c r="L29" s="1"/>
      <c r="M29" s="1"/>
      <c r="N29" s="1"/>
      <c r="O29" s="1"/>
      <c r="P29" s="55">
        <v>44160</v>
      </c>
      <c r="Q29" s="333"/>
      <c r="R29" s="334"/>
      <c r="S29" s="335"/>
      <c r="T29" s="334"/>
      <c r="U29" s="335">
        <v>36000</v>
      </c>
      <c r="V29" s="334"/>
      <c r="W29" s="335">
        <v>4000</v>
      </c>
      <c r="X29" s="334"/>
      <c r="Y29" s="334"/>
      <c r="Z29" s="335"/>
      <c r="AA29" s="334"/>
      <c r="AB29" s="335"/>
      <c r="AC29" s="334"/>
      <c r="AD29" s="348"/>
      <c r="AE29" s="334"/>
      <c r="AF29" s="335"/>
      <c r="AG29" s="334"/>
      <c r="AH29" s="335"/>
      <c r="AI29" s="334"/>
      <c r="AJ29" s="335"/>
      <c r="AK29" s="334"/>
      <c r="AL29" s="335">
        <v>13000</v>
      </c>
      <c r="AM29" s="334"/>
      <c r="AN29" s="334"/>
      <c r="AO29" s="334"/>
      <c r="AP29" s="334"/>
      <c r="AQ29" s="334"/>
      <c r="AR29" s="334"/>
      <c r="AS29" s="334"/>
      <c r="AT29" s="334"/>
      <c r="AU29" s="334"/>
      <c r="AV29" s="335"/>
      <c r="AW29" s="334"/>
      <c r="AX29" s="2">
        <f t="shared" si="1"/>
        <v>53000</v>
      </c>
      <c r="AY29" s="384"/>
      <c r="AZ29" s="383"/>
    </row>
    <row r="30" spans="1:52">
      <c r="A30" s="21">
        <f t="shared" si="0"/>
        <v>44161</v>
      </c>
      <c r="B30" s="38">
        <v>45000</v>
      </c>
      <c r="C30" s="38"/>
      <c r="D30" s="24">
        <f t="shared" si="2"/>
        <v>45000</v>
      </c>
      <c r="E30" s="40">
        <v>14606</v>
      </c>
      <c r="F30" s="35"/>
      <c r="G30" s="27"/>
      <c r="H30" s="216">
        <f t="shared" si="3"/>
        <v>14606</v>
      </c>
      <c r="I30" s="35"/>
      <c r="J30" s="41"/>
      <c r="K30" s="29"/>
      <c r="L30" s="1"/>
      <c r="M30" s="1"/>
      <c r="N30" s="1"/>
      <c r="O30" s="1"/>
      <c r="P30" s="55">
        <v>44161</v>
      </c>
      <c r="Q30" s="333"/>
      <c r="R30" s="334"/>
      <c r="S30" s="335"/>
      <c r="T30" s="334"/>
      <c r="U30" s="335"/>
      <c r="V30" s="334"/>
      <c r="W30" s="335">
        <v>42000</v>
      </c>
      <c r="X30" s="334"/>
      <c r="Y30" s="334"/>
      <c r="Z30" s="335"/>
      <c r="AA30" s="334"/>
      <c r="AB30" s="335"/>
      <c r="AC30" s="334"/>
      <c r="AD30" s="348"/>
      <c r="AE30" s="334"/>
      <c r="AF30" s="335"/>
      <c r="AG30" s="334"/>
      <c r="AH30" s="335"/>
      <c r="AI30" s="334"/>
      <c r="AJ30" s="335"/>
      <c r="AK30" s="334"/>
      <c r="AL30" s="335"/>
      <c r="AM30" s="334"/>
      <c r="AN30" s="334"/>
      <c r="AO30" s="334">
        <v>3000</v>
      </c>
      <c r="AP30" s="334"/>
      <c r="AQ30" s="334"/>
      <c r="AR30" s="334"/>
      <c r="AS30" s="334"/>
      <c r="AT30" s="334"/>
      <c r="AU30" s="334"/>
      <c r="AV30" s="335"/>
      <c r="AW30" s="334"/>
      <c r="AX30" s="2">
        <f t="shared" si="1"/>
        <v>45000</v>
      </c>
      <c r="AY30" s="384"/>
      <c r="AZ30" s="383"/>
    </row>
    <row r="31" spans="1:52">
      <c r="A31" s="21">
        <f t="shared" si="0"/>
        <v>44162</v>
      </c>
      <c r="B31" s="38">
        <v>53000</v>
      </c>
      <c r="C31" s="38">
        <v>30000</v>
      </c>
      <c r="D31" s="24">
        <f t="shared" si="2"/>
        <v>83000</v>
      </c>
      <c r="E31" s="40"/>
      <c r="F31" s="35"/>
      <c r="G31" s="27"/>
      <c r="H31" s="216">
        <f t="shared" si="3"/>
        <v>0</v>
      </c>
      <c r="I31" s="35"/>
      <c r="J31" s="41"/>
      <c r="K31" s="29"/>
      <c r="L31" s="1"/>
      <c r="M31" s="1"/>
      <c r="N31" s="1"/>
      <c r="O31" s="1"/>
      <c r="P31" s="55">
        <v>44162</v>
      </c>
      <c r="Q31" s="333"/>
      <c r="R31" s="334"/>
      <c r="S31" s="335"/>
      <c r="T31" s="334"/>
      <c r="U31" s="335">
        <v>32000</v>
      </c>
      <c r="V31" s="334"/>
      <c r="W31" s="335">
        <v>20000</v>
      </c>
      <c r="X31" s="334"/>
      <c r="Y31" s="334"/>
      <c r="Z31" s="335"/>
      <c r="AA31" s="334"/>
      <c r="AB31" s="335"/>
      <c r="AC31" s="334"/>
      <c r="AD31" s="348"/>
      <c r="AE31" s="334"/>
      <c r="AF31" s="335">
        <v>12000</v>
      </c>
      <c r="AG31" s="334"/>
      <c r="AH31" s="335">
        <v>11000</v>
      </c>
      <c r="AI31" s="334"/>
      <c r="AJ31" s="335"/>
      <c r="AK31" s="334"/>
      <c r="AL31" s="335">
        <v>8000</v>
      </c>
      <c r="AM31" s="334"/>
      <c r="AN31" s="334"/>
      <c r="AO31" s="334"/>
      <c r="AP31" s="334"/>
      <c r="AQ31" s="334"/>
      <c r="AR31" s="334"/>
      <c r="AS31" s="334"/>
      <c r="AT31" s="334"/>
      <c r="AU31" s="334"/>
      <c r="AV31" s="335"/>
      <c r="AW31" s="334"/>
      <c r="AX31" s="2">
        <f t="shared" si="1"/>
        <v>83000</v>
      </c>
      <c r="AY31" s="384"/>
      <c r="AZ31" s="383"/>
    </row>
    <row r="32" spans="1:52">
      <c r="A32" s="21">
        <f t="shared" si="0"/>
        <v>44163</v>
      </c>
      <c r="B32" s="38">
        <v>126000</v>
      </c>
      <c r="C32" s="38">
        <v>3000</v>
      </c>
      <c r="D32" s="24">
        <f t="shared" si="2"/>
        <v>129000</v>
      </c>
      <c r="E32" s="40">
        <v>4332</v>
      </c>
      <c r="F32" s="35"/>
      <c r="G32" s="27"/>
      <c r="H32" s="216">
        <f t="shared" si="3"/>
        <v>4332</v>
      </c>
      <c r="I32" s="35"/>
      <c r="J32" s="41"/>
      <c r="K32" s="29"/>
      <c r="L32" s="1"/>
      <c r="M32" s="1"/>
      <c r="N32" s="1"/>
      <c r="O32" s="1"/>
      <c r="P32" s="55">
        <v>44163</v>
      </c>
      <c r="Q32" s="333"/>
      <c r="R32" s="334"/>
      <c r="S32" s="335"/>
      <c r="T32" s="334"/>
      <c r="U32" s="335">
        <v>76000</v>
      </c>
      <c r="V32" s="334"/>
      <c r="W32" s="335">
        <v>32000</v>
      </c>
      <c r="X32" s="334"/>
      <c r="Y32" s="334"/>
      <c r="Z32" s="335"/>
      <c r="AA32" s="334"/>
      <c r="AB32" s="335">
        <v>21000</v>
      </c>
      <c r="AC32" s="334"/>
      <c r="AD32" s="348"/>
      <c r="AE32" s="334"/>
      <c r="AF32" s="335"/>
      <c r="AG32" s="334"/>
      <c r="AH32" s="335"/>
      <c r="AI32" s="334"/>
      <c r="AJ32" s="335"/>
      <c r="AK32" s="334"/>
      <c r="AL32" s="335"/>
      <c r="AM32" s="334"/>
      <c r="AN32" s="334"/>
      <c r="AO32" s="334"/>
      <c r="AP32" s="334"/>
      <c r="AQ32" s="334"/>
      <c r="AR32" s="334"/>
      <c r="AS32" s="334"/>
      <c r="AT32" s="334"/>
      <c r="AU32" s="334"/>
      <c r="AV32" s="335"/>
      <c r="AW32" s="334"/>
      <c r="AX32" s="2">
        <f t="shared" si="1"/>
        <v>129000</v>
      </c>
      <c r="AY32" s="384"/>
      <c r="AZ32" s="383"/>
    </row>
    <row r="33" spans="1:52">
      <c r="A33" s="21">
        <f t="shared" si="0"/>
        <v>44164</v>
      </c>
      <c r="B33" s="38">
        <v>41000</v>
      </c>
      <c r="C33" s="38"/>
      <c r="D33" s="24">
        <f t="shared" si="2"/>
        <v>41000</v>
      </c>
      <c r="E33" s="40">
        <v>4457</v>
      </c>
      <c r="F33" s="35">
        <v>324</v>
      </c>
      <c r="G33" s="27"/>
      <c r="H33" s="216">
        <f t="shared" si="3"/>
        <v>4781</v>
      </c>
      <c r="I33" s="35"/>
      <c r="J33" s="41"/>
      <c r="K33" s="29"/>
      <c r="L33" s="1"/>
      <c r="M33" s="1"/>
      <c r="N33" s="1"/>
      <c r="O33" s="1"/>
      <c r="P33" s="55">
        <v>44164</v>
      </c>
      <c r="Q33" s="355"/>
      <c r="R33" s="334"/>
      <c r="S33" s="335"/>
      <c r="T33" s="334"/>
      <c r="U33" s="335">
        <v>28000</v>
      </c>
      <c r="V33" s="334"/>
      <c r="W33" s="335"/>
      <c r="X33" s="334"/>
      <c r="Y33" s="334">
        <v>4000</v>
      </c>
      <c r="Z33" s="335"/>
      <c r="AA33" s="334"/>
      <c r="AB33" s="335">
        <v>4000</v>
      </c>
      <c r="AC33" s="334"/>
      <c r="AD33" s="348"/>
      <c r="AE33" s="334"/>
      <c r="AF33" s="335">
        <v>3000</v>
      </c>
      <c r="AG33" s="334"/>
      <c r="AH33" s="335"/>
      <c r="AI33" s="334"/>
      <c r="AJ33" s="335"/>
      <c r="AK33" s="334"/>
      <c r="AL33" s="335"/>
      <c r="AM33" s="334"/>
      <c r="AN33" s="334"/>
      <c r="AO33" s="334"/>
      <c r="AP33" s="334"/>
      <c r="AQ33" s="334"/>
      <c r="AR33" s="334">
        <v>2000</v>
      </c>
      <c r="AS33" s="334"/>
      <c r="AT33" s="334"/>
      <c r="AU33" s="334"/>
      <c r="AV33" s="335"/>
      <c r="AW33" s="334"/>
      <c r="AX33" s="2">
        <f t="shared" si="1"/>
        <v>41000</v>
      </c>
      <c r="AY33" s="384"/>
      <c r="AZ33" s="383"/>
    </row>
    <row r="34" spans="1:52">
      <c r="A34" s="21">
        <f t="shared" si="0"/>
        <v>44165</v>
      </c>
      <c r="B34" s="38">
        <v>30000</v>
      </c>
      <c r="C34" s="38">
        <v>25000</v>
      </c>
      <c r="D34" s="24">
        <f t="shared" si="2"/>
        <v>55000</v>
      </c>
      <c r="E34" s="40"/>
      <c r="F34" s="35">
        <v>660</v>
      </c>
      <c r="G34" s="27"/>
      <c r="H34" s="216">
        <f t="shared" si="3"/>
        <v>660</v>
      </c>
      <c r="I34" s="35"/>
      <c r="J34" s="41"/>
      <c r="K34" s="29"/>
      <c r="L34" s="1"/>
      <c r="M34" s="1"/>
      <c r="N34" s="1"/>
      <c r="O34" s="1"/>
      <c r="P34" s="55">
        <v>44165</v>
      </c>
      <c r="Q34" s="356"/>
      <c r="R34" s="357"/>
      <c r="S34" s="358"/>
      <c r="T34" s="357"/>
      <c r="U34" s="358">
        <v>22000</v>
      </c>
      <c r="V34" s="357"/>
      <c r="W34" s="358">
        <v>4000</v>
      </c>
      <c r="X34" s="357"/>
      <c r="Y34" s="357">
        <v>12000</v>
      </c>
      <c r="Z34" s="358"/>
      <c r="AA34" s="357"/>
      <c r="AB34" s="358"/>
      <c r="AC34" s="357"/>
      <c r="AD34" s="359"/>
      <c r="AE34" s="357"/>
      <c r="AF34" s="358"/>
      <c r="AG34" s="357"/>
      <c r="AH34" s="358"/>
      <c r="AI34" s="357"/>
      <c r="AJ34" s="358"/>
      <c r="AK34" s="357"/>
      <c r="AL34" s="358">
        <v>17000</v>
      </c>
      <c r="AM34" s="357"/>
      <c r="AN34" s="357"/>
      <c r="AO34" s="357"/>
      <c r="AP34" s="357"/>
      <c r="AQ34" s="357"/>
      <c r="AR34" s="357"/>
      <c r="AS34" s="357"/>
      <c r="AT34" s="357"/>
      <c r="AU34" s="357"/>
      <c r="AV34" s="358"/>
      <c r="AW34" s="357"/>
      <c r="AX34" s="2">
        <f t="shared" si="1"/>
        <v>55000</v>
      </c>
      <c r="AY34" s="384"/>
      <c r="AZ34" s="383"/>
    </row>
    <row r="35" spans="1:52" ht="21" thickBot="1">
      <c r="A35" s="21" t="str">
        <f t="shared" si="0"/>
        <v/>
      </c>
      <c r="B35" s="38"/>
      <c r="C35" s="38"/>
      <c r="D35" s="24">
        <f t="shared" si="2"/>
        <v>0</v>
      </c>
      <c r="E35" s="40"/>
      <c r="F35" s="35"/>
      <c r="G35" s="27"/>
      <c r="H35" s="216">
        <f t="shared" si="3"/>
        <v>0</v>
      </c>
      <c r="I35" s="57"/>
      <c r="J35" s="58"/>
      <c r="K35" s="59"/>
      <c r="L35" s="1"/>
      <c r="M35" s="1"/>
      <c r="N35" s="1"/>
      <c r="O35" s="1"/>
      <c r="P35" s="55"/>
      <c r="Q35" s="360"/>
      <c r="R35" s="341"/>
      <c r="S35" s="339"/>
      <c r="T35" s="341"/>
      <c r="U35" s="339"/>
      <c r="V35" s="341"/>
      <c r="W35" s="339"/>
      <c r="X35" s="341"/>
      <c r="Y35" s="341"/>
      <c r="Z35" s="339"/>
      <c r="AA35" s="341"/>
      <c r="AB35" s="339"/>
      <c r="AC35" s="341"/>
      <c r="AD35" s="339"/>
      <c r="AE35" s="341"/>
      <c r="AF35" s="339"/>
      <c r="AG35" s="341"/>
      <c r="AH35" s="339"/>
      <c r="AI35" s="341"/>
      <c r="AJ35" s="339"/>
      <c r="AK35" s="341"/>
      <c r="AL35" s="339"/>
      <c r="AM35" s="341"/>
      <c r="AN35" s="341"/>
      <c r="AO35" s="341"/>
      <c r="AP35" s="341"/>
      <c r="AQ35" s="341"/>
      <c r="AR35" s="341"/>
      <c r="AS35" s="341"/>
      <c r="AT35" s="341"/>
      <c r="AU35" s="341"/>
      <c r="AV35" s="339"/>
      <c r="AW35" s="341"/>
      <c r="AX35" s="2">
        <f t="shared" si="1"/>
        <v>0</v>
      </c>
      <c r="AY35" s="384"/>
      <c r="AZ35" s="383"/>
    </row>
    <row r="36" spans="1:52" ht="2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360">
        <f>SUM(Q5:Q35)</f>
        <v>55000</v>
      </c>
      <c r="R36" s="360">
        <f>SUM(R5:R35)</f>
        <v>0</v>
      </c>
      <c r="S36" s="360">
        <f t="shared" ref="S36:AW36" si="4">SUM(S5:S35)</f>
        <v>6000</v>
      </c>
      <c r="T36" s="360">
        <f t="shared" si="4"/>
        <v>0</v>
      </c>
      <c r="U36" s="360">
        <f t="shared" si="4"/>
        <v>619000</v>
      </c>
      <c r="V36" s="360">
        <f t="shared" si="4"/>
        <v>20000</v>
      </c>
      <c r="W36" s="360">
        <f t="shared" si="4"/>
        <v>403000</v>
      </c>
      <c r="X36" s="360">
        <f t="shared" si="4"/>
        <v>0</v>
      </c>
      <c r="Y36" s="360">
        <f>SUM(Y5:Y35)</f>
        <v>82000</v>
      </c>
      <c r="Z36" s="360">
        <f t="shared" si="4"/>
        <v>4000</v>
      </c>
      <c r="AA36" s="360">
        <f t="shared" si="4"/>
        <v>0</v>
      </c>
      <c r="AB36" s="360">
        <f t="shared" si="4"/>
        <v>89000</v>
      </c>
      <c r="AC36" s="360">
        <f t="shared" si="4"/>
        <v>0</v>
      </c>
      <c r="AD36" s="360">
        <f t="shared" si="4"/>
        <v>36000</v>
      </c>
      <c r="AE36" s="360">
        <f t="shared" si="4"/>
        <v>0</v>
      </c>
      <c r="AF36" s="360">
        <f t="shared" si="4"/>
        <v>28000</v>
      </c>
      <c r="AG36" s="360">
        <f t="shared" si="4"/>
        <v>0</v>
      </c>
      <c r="AH36" s="360">
        <f t="shared" si="4"/>
        <v>64000</v>
      </c>
      <c r="AI36" s="360">
        <f t="shared" si="4"/>
        <v>0</v>
      </c>
      <c r="AJ36" s="360">
        <f t="shared" si="4"/>
        <v>35000</v>
      </c>
      <c r="AK36" s="360">
        <f t="shared" si="4"/>
        <v>0</v>
      </c>
      <c r="AL36" s="360">
        <f t="shared" si="4"/>
        <v>100000</v>
      </c>
      <c r="AM36" s="360">
        <f t="shared" si="4"/>
        <v>0</v>
      </c>
      <c r="AN36" s="360">
        <f t="shared" si="4"/>
        <v>3000</v>
      </c>
      <c r="AO36" s="360">
        <f t="shared" si="4"/>
        <v>3000</v>
      </c>
      <c r="AP36" s="360">
        <f t="shared" si="4"/>
        <v>15000</v>
      </c>
      <c r="AQ36" s="360">
        <f t="shared" si="4"/>
        <v>27000</v>
      </c>
      <c r="AR36" s="360">
        <f t="shared" si="4"/>
        <v>2000</v>
      </c>
      <c r="AS36" s="360">
        <f t="shared" si="4"/>
        <v>20000</v>
      </c>
      <c r="AT36" s="360">
        <f t="shared" si="4"/>
        <v>0</v>
      </c>
      <c r="AU36" s="360">
        <f t="shared" si="4"/>
        <v>0</v>
      </c>
      <c r="AV36" s="360">
        <f t="shared" si="4"/>
        <v>0</v>
      </c>
      <c r="AW36" s="360">
        <f t="shared" si="4"/>
        <v>0</v>
      </c>
      <c r="AX36" s="2">
        <f>SUM(Q36:AW36)</f>
        <v>1611000</v>
      </c>
      <c r="AY36" s="91"/>
    </row>
    <row r="37" spans="1:52" ht="22" thickTop="1" thickBot="1">
      <c r="A37" s="81" t="s">
        <v>33</v>
      </c>
      <c r="B37" s="82">
        <f t="shared" ref="B37:I37" si="5">SUM(B5:B35)</f>
        <v>1327000</v>
      </c>
      <c r="C37" s="82">
        <f t="shared" si="5"/>
        <v>284000</v>
      </c>
      <c r="D37" s="82">
        <f t="shared" si="5"/>
        <v>1611000</v>
      </c>
      <c r="E37" s="83">
        <f t="shared" si="5"/>
        <v>164453</v>
      </c>
      <c r="F37" s="84">
        <f t="shared" si="5"/>
        <v>9312</v>
      </c>
      <c r="G37" s="84">
        <f t="shared" si="5"/>
        <v>0</v>
      </c>
      <c r="H37" s="132">
        <f t="shared" si="5"/>
        <v>173765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2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19250</v>
      </c>
      <c r="R38" s="542">
        <f>R36*0.3</f>
        <v>0</v>
      </c>
      <c r="S38" s="544">
        <f>S36*0.35</f>
        <v>2100</v>
      </c>
      <c r="T38" s="544">
        <f>T36*0.3</f>
        <v>0</v>
      </c>
      <c r="U38" s="532">
        <f>U36*0.35</f>
        <v>216650</v>
      </c>
      <c r="V38" s="532">
        <f>V36*0.3</f>
        <v>6000</v>
      </c>
      <c r="W38" s="534">
        <f>W36*0.35</f>
        <v>141050</v>
      </c>
      <c r="X38" s="534">
        <f>X36*0.3</f>
        <v>0</v>
      </c>
      <c r="Y38" s="538">
        <f>Y36</f>
        <v>82000</v>
      </c>
      <c r="Z38" s="536">
        <f>Z36*0.35</f>
        <v>1400</v>
      </c>
      <c r="AA38" s="530">
        <f>AA36*0.3</f>
        <v>0</v>
      </c>
      <c r="AB38" s="530">
        <f>AB36*0.35</f>
        <v>31149.999999999996</v>
      </c>
      <c r="AC38" s="530">
        <f>AC36*0.3</f>
        <v>0</v>
      </c>
      <c r="AD38" s="530">
        <f>AD36*0.35</f>
        <v>12600</v>
      </c>
      <c r="AE38" s="530">
        <f>AE36*0.3</f>
        <v>0</v>
      </c>
      <c r="AF38" s="530">
        <f>AF36*0.35</f>
        <v>9800</v>
      </c>
      <c r="AG38" s="530">
        <f>AG36*0.3</f>
        <v>0</v>
      </c>
      <c r="AH38" s="530">
        <f>AH36*0.35</f>
        <v>22400</v>
      </c>
      <c r="AI38" s="530">
        <f>AI36*0.3</f>
        <v>0</v>
      </c>
      <c r="AJ38" s="530">
        <f>AJ36*0.35</f>
        <v>12250</v>
      </c>
      <c r="AK38" s="530">
        <f>AK36*0.3</f>
        <v>0</v>
      </c>
      <c r="AL38" s="530">
        <f>AL36*0.35</f>
        <v>35000</v>
      </c>
      <c r="AM38" s="530">
        <f>AM36*0.3</f>
        <v>0</v>
      </c>
      <c r="AN38" s="536">
        <f t="shared" ref="AN38:AV38" si="6">AN36*0.35</f>
        <v>1050</v>
      </c>
      <c r="AO38" s="530">
        <f t="shared" si="6"/>
        <v>1050</v>
      </c>
      <c r="AP38" s="530">
        <f t="shared" si="6"/>
        <v>5250</v>
      </c>
      <c r="AQ38" s="530">
        <f t="shared" si="6"/>
        <v>9450</v>
      </c>
      <c r="AR38" s="530">
        <f t="shared" si="6"/>
        <v>700</v>
      </c>
      <c r="AS38" s="530">
        <f t="shared" si="6"/>
        <v>7000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2">
      <c r="A39" s="367" t="s">
        <v>244</v>
      </c>
      <c r="B39" s="367" t="s">
        <v>245</v>
      </c>
      <c r="C39" s="1"/>
      <c r="D39" s="1"/>
      <c r="E39" s="2"/>
      <c r="F39" s="2"/>
      <c r="G39" s="378" t="s">
        <v>249</v>
      </c>
      <c r="H39" s="135">
        <f>B46-H37</f>
        <v>26235</v>
      </c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2">
      <c r="A40" s="306">
        <v>44137</v>
      </c>
      <c r="B40" s="135">
        <v>100000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2">
      <c r="A41" s="306">
        <v>44143</v>
      </c>
      <c r="B41" s="135">
        <v>100000</v>
      </c>
      <c r="C41" s="1"/>
      <c r="D41" s="1"/>
      <c r="E41" s="1"/>
      <c r="F41" s="1"/>
      <c r="G41" s="296" t="s">
        <v>251</v>
      </c>
      <c r="H41" s="382">
        <f>SUM(B18:B34)-85500</f>
        <v>668500</v>
      </c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2">
      <c r="A42" s="297"/>
      <c r="B42" s="13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2">
      <c r="A43" s="297"/>
      <c r="B43" s="135"/>
      <c r="C43" s="1"/>
      <c r="D43" s="1"/>
      <c r="E43" s="1"/>
      <c r="F43" s="1"/>
      <c r="G43" s="388" t="s">
        <v>256</v>
      </c>
      <c r="H43" s="135">
        <v>85525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2">
      <c r="A44" s="297"/>
      <c r="B44" s="13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2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2">
      <c r="A46" s="296" t="s">
        <v>246</v>
      </c>
      <c r="B46" s="135">
        <f>SUM(B40:B45)</f>
        <v>200000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</sheetData>
  <mergeCells count="77">
    <mergeCell ref="I3:I4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N11:N12"/>
    <mergeCell ref="P38:P39"/>
    <mergeCell ref="Q38:Q39"/>
    <mergeCell ref="R38:R39"/>
    <mergeCell ref="S38:S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</mergeCells>
  <phoneticPr fontId="7"/>
  <dataValidations count="2">
    <dataValidation type="list" allowBlank="1" showErrorMessage="1" sqref="Q3:Q4 AD3:AD4 S3:S4 U3:U4 AL3:AL4 AH3:AH4 Z3:Z4 AF3:AF4 AJ3:AJ4 W3:W4 AB3:AB4 AV3:AV4 AN3:AN4 AO3:AU3" xr:uid="{7962A659-B842-A240-8276-42EFBB63F613}">
      <formula1>名前</formula1>
    </dataValidation>
    <dataValidation allowBlank="1" showErrorMessage="1" sqref="R3:R4 AI3:AI4 T3:T4 AC3:AC4 AA3:AA4 AE3:AE4 AG3:AG4 AK3:AK4 AW3:AW4 V3:V4 AM3:AM4 X3:X4 Y3" xr:uid="{BFAE288E-1776-594F-B3A0-9EE2FA2162E6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B65E-71F5-8C48-B1F3-77B33817B37A}">
  <dimension ref="A1:BA49"/>
  <sheetViews>
    <sheetView topLeftCell="K3" zoomScale="84" workbookViewId="0">
      <selection activeCell="G40" sqref="G40"/>
    </sheetView>
  </sheetViews>
  <sheetFormatPr baseColWidth="10" defaultRowHeight="20"/>
  <cols>
    <col min="1" max="1" width="13.7109375" bestFit="1" customWidth="1"/>
    <col min="6" max="6" width="10.7109375" style="1"/>
    <col min="35" max="35" width="11.140625" bestFit="1" customWidth="1"/>
    <col min="39" max="39" width="13.7109375" bestFit="1" customWidth="1"/>
    <col min="42" max="42" width="14.42578125" bestFit="1" customWidth="1"/>
    <col min="43" max="43" width="10.7109375" customWidth="1"/>
  </cols>
  <sheetData>
    <row r="1" spans="1:53">
      <c r="A1" s="498">
        <v>2021</v>
      </c>
      <c r="B1" s="500">
        <v>1</v>
      </c>
      <c r="C1" s="1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thickBot="1">
      <c r="A3" s="501" t="s">
        <v>0</v>
      </c>
      <c r="B3" s="503"/>
      <c r="C3" s="504"/>
      <c r="D3" s="505"/>
      <c r="E3" s="506" t="s">
        <v>2</v>
      </c>
      <c r="F3" s="599"/>
      <c r="G3" s="504"/>
      <c r="H3" s="504"/>
      <c r="I3" s="507"/>
      <c r="J3" s="508" t="s">
        <v>3</v>
      </c>
      <c r="K3" s="510" t="s">
        <v>4</v>
      </c>
      <c r="L3" s="4"/>
      <c r="M3" s="1"/>
      <c r="N3" s="1"/>
      <c r="O3" s="1"/>
      <c r="P3" s="1"/>
      <c r="Q3" s="512" t="s">
        <v>8</v>
      </c>
      <c r="R3" s="514" t="s">
        <v>7</v>
      </c>
      <c r="S3" s="494">
        <v>0.3</v>
      </c>
      <c r="T3" s="514" t="s">
        <v>49</v>
      </c>
      <c r="U3" s="494">
        <v>0.3</v>
      </c>
      <c r="V3" s="514" t="s">
        <v>10</v>
      </c>
      <c r="W3" s="494">
        <v>0.3</v>
      </c>
      <c r="X3" s="514" t="s">
        <v>50</v>
      </c>
      <c r="Y3" s="494">
        <v>0.3</v>
      </c>
      <c r="Z3" s="494" t="s">
        <v>247</v>
      </c>
      <c r="AA3" s="514" t="s">
        <v>252</v>
      </c>
      <c r="AB3" s="494">
        <v>0.3</v>
      </c>
      <c r="AC3" s="492" t="s">
        <v>262</v>
      </c>
      <c r="AD3" s="494">
        <v>0.3</v>
      </c>
      <c r="AE3" s="496" t="s">
        <v>139</v>
      </c>
      <c r="AF3" s="494">
        <v>0.3</v>
      </c>
      <c r="AG3" s="527" t="s">
        <v>120</v>
      </c>
      <c r="AH3" s="494">
        <v>0.3</v>
      </c>
      <c r="AI3" s="492" t="s">
        <v>199</v>
      </c>
      <c r="AJ3" s="494">
        <v>0.3</v>
      </c>
      <c r="AK3" s="496" t="s">
        <v>207</v>
      </c>
      <c r="AL3" s="494">
        <v>0.3</v>
      </c>
      <c r="AM3" s="496" t="s">
        <v>240</v>
      </c>
      <c r="AN3" s="523">
        <v>0.3</v>
      </c>
      <c r="AO3" s="496" t="s">
        <v>123</v>
      </c>
      <c r="AP3" s="520" t="s">
        <v>271</v>
      </c>
      <c r="AQ3" s="520" t="s">
        <v>273</v>
      </c>
      <c r="AR3" s="520" t="s">
        <v>248</v>
      </c>
      <c r="AS3" s="525" t="s">
        <v>248</v>
      </c>
      <c r="AT3" s="520" t="s">
        <v>248</v>
      </c>
      <c r="AU3" s="522" t="s">
        <v>248</v>
      </c>
      <c r="AV3" s="520" t="s">
        <v>248</v>
      </c>
      <c r="AW3" s="496" t="s">
        <v>248</v>
      </c>
      <c r="AX3" s="494">
        <v>0.3</v>
      </c>
      <c r="AY3" s="1"/>
      <c r="AZ3" s="1"/>
      <c r="BA3" s="1"/>
    </row>
    <row r="4" spans="1:53" ht="21" thickBot="1">
      <c r="A4" s="502"/>
      <c r="B4" s="9" t="s">
        <v>176</v>
      </c>
      <c r="C4" s="9" t="s">
        <v>13</v>
      </c>
      <c r="D4" s="10" t="s">
        <v>14</v>
      </c>
      <c r="E4" s="11" t="s">
        <v>269</v>
      </c>
      <c r="F4" s="393" t="s">
        <v>270</v>
      </c>
      <c r="G4" s="12" t="s">
        <v>264</v>
      </c>
      <c r="H4" s="13" t="s">
        <v>5</v>
      </c>
      <c r="I4" s="14" t="s">
        <v>17</v>
      </c>
      <c r="J4" s="509"/>
      <c r="K4" s="511"/>
      <c r="L4" s="15" t="s">
        <v>18</v>
      </c>
      <c r="M4" s="1"/>
      <c r="N4" s="1"/>
      <c r="O4" s="1"/>
      <c r="P4" s="1"/>
      <c r="Q4" s="513"/>
      <c r="R4" s="513"/>
      <c r="S4" s="495"/>
      <c r="T4" s="513"/>
      <c r="U4" s="495"/>
      <c r="V4" s="515"/>
      <c r="W4" s="495"/>
      <c r="X4" s="515"/>
      <c r="Y4" s="495"/>
      <c r="Z4" s="529"/>
      <c r="AA4" s="513"/>
      <c r="AB4" s="495"/>
      <c r="AC4" s="493"/>
      <c r="AD4" s="495"/>
      <c r="AE4" s="497"/>
      <c r="AF4" s="495"/>
      <c r="AG4" s="528"/>
      <c r="AH4" s="495"/>
      <c r="AI4" s="493"/>
      <c r="AJ4" s="495"/>
      <c r="AK4" s="497"/>
      <c r="AL4" s="495"/>
      <c r="AM4" s="497"/>
      <c r="AN4" s="524"/>
      <c r="AO4" s="497"/>
      <c r="AP4" s="521"/>
      <c r="AQ4" s="521"/>
      <c r="AR4" s="521"/>
      <c r="AS4" s="526"/>
      <c r="AT4" s="521"/>
      <c r="AU4" s="522"/>
      <c r="AV4" s="521"/>
      <c r="AW4" s="497"/>
      <c r="AX4" s="495"/>
      <c r="AY4" s="1"/>
      <c r="AZ4" s="1"/>
      <c r="BA4" s="1"/>
    </row>
    <row r="5" spans="1:53">
      <c r="A5" s="21">
        <f t="shared" ref="A5:A35" si="0">IF(DAY(DATE($A$1,$B$1,ROW()-4))=ROW()-4,DATE($A$1,$B$1,ROW()-4),"")</f>
        <v>44197</v>
      </c>
      <c r="B5" s="23"/>
      <c r="C5" s="23"/>
      <c r="D5" s="24">
        <f t="shared" ref="D5:D35" si="1">SUM(B5:C5)</f>
        <v>0</v>
      </c>
      <c r="E5" s="25"/>
      <c r="F5" s="394"/>
      <c r="G5" s="26"/>
      <c r="H5" s="27"/>
      <c r="I5" s="216">
        <f t="shared" ref="I5:I35" si="2">SUM(E5:H5)</f>
        <v>0</v>
      </c>
      <c r="J5" s="27"/>
      <c r="K5" s="28"/>
      <c r="L5" s="29"/>
      <c r="M5" s="1"/>
      <c r="N5" s="1"/>
      <c r="O5" s="1"/>
      <c r="P5" s="1"/>
      <c r="Q5" s="55">
        <v>44197</v>
      </c>
      <c r="R5" s="35"/>
      <c r="S5" s="138"/>
      <c r="T5" s="139"/>
      <c r="U5" s="138"/>
      <c r="V5" s="190"/>
      <c r="W5" s="138"/>
      <c r="X5" s="141"/>
      <c r="Y5" s="138"/>
      <c r="Z5" s="166"/>
      <c r="AA5" s="142"/>
      <c r="AB5" s="138"/>
      <c r="AC5" s="143"/>
      <c r="AD5" s="138"/>
      <c r="AE5" s="144"/>
      <c r="AF5" s="138"/>
      <c r="AG5" s="145"/>
      <c r="AH5" s="138"/>
      <c r="AI5" s="146"/>
      <c r="AJ5" s="138"/>
      <c r="AK5" s="144"/>
      <c r="AL5" s="138"/>
      <c r="AM5" s="144"/>
      <c r="AN5" s="160"/>
      <c r="AO5" s="158"/>
      <c r="AP5" s="172"/>
      <c r="AQ5" s="172"/>
      <c r="AR5" s="172"/>
      <c r="AS5" s="172"/>
      <c r="AT5" s="172"/>
      <c r="AU5" s="172"/>
      <c r="AV5" s="172"/>
      <c r="AW5" s="161"/>
      <c r="AX5" s="138"/>
      <c r="AY5" s="2">
        <f>SUM(R5:AX5)</f>
        <v>0</v>
      </c>
      <c r="AZ5" s="1"/>
      <c r="BA5" s="1"/>
    </row>
    <row r="6" spans="1:53">
      <c r="A6" s="21">
        <f t="shared" si="0"/>
        <v>44198</v>
      </c>
      <c r="B6" s="38"/>
      <c r="C6" s="23"/>
      <c r="D6" s="24">
        <f t="shared" si="1"/>
        <v>0</v>
      </c>
      <c r="E6" s="40"/>
      <c r="F6" s="395"/>
      <c r="G6" s="35"/>
      <c r="H6" s="27"/>
      <c r="I6" s="216">
        <f t="shared" si="2"/>
        <v>0</v>
      </c>
      <c r="J6" s="35"/>
      <c r="K6" s="41"/>
      <c r="L6" s="29"/>
      <c r="M6" s="1"/>
      <c r="N6" s="1"/>
      <c r="O6" s="1"/>
      <c r="P6" s="1"/>
      <c r="Q6" s="55">
        <v>44198</v>
      </c>
      <c r="R6" s="35"/>
      <c r="S6" s="138"/>
      <c r="T6" s="139"/>
      <c r="U6" s="138"/>
      <c r="V6" s="143"/>
      <c r="W6" s="138"/>
      <c r="X6" s="147"/>
      <c r="Y6" s="138"/>
      <c r="Z6" s="166"/>
      <c r="AA6" s="142"/>
      <c r="AB6" s="138"/>
      <c r="AC6" s="143"/>
      <c r="AD6" s="138"/>
      <c r="AE6" s="147"/>
      <c r="AF6" s="138"/>
      <c r="AG6" s="145"/>
      <c r="AH6" s="138"/>
      <c r="AI6" s="146"/>
      <c r="AJ6" s="138"/>
      <c r="AK6" s="144"/>
      <c r="AL6" s="138"/>
      <c r="AM6" s="144"/>
      <c r="AN6" s="160"/>
      <c r="AO6" s="168"/>
      <c r="AP6" s="168"/>
      <c r="AQ6" s="158"/>
      <c r="AR6" s="172"/>
      <c r="AS6" s="172"/>
      <c r="AT6" s="172"/>
      <c r="AU6" s="172"/>
      <c r="AV6" s="172"/>
      <c r="AW6" s="161"/>
      <c r="AX6" s="138"/>
      <c r="AY6" s="2">
        <f t="shared" ref="AY6:AY36" si="3">SUM(R6:AX6)</f>
        <v>0</v>
      </c>
      <c r="AZ6" s="1"/>
      <c r="BA6" s="1"/>
    </row>
    <row r="7" spans="1:53">
      <c r="A7" s="21">
        <f t="shared" si="0"/>
        <v>44199</v>
      </c>
      <c r="B7" s="38">
        <v>177800</v>
      </c>
      <c r="C7" s="23">
        <v>65000</v>
      </c>
      <c r="D7" s="24">
        <f t="shared" si="1"/>
        <v>242800</v>
      </c>
      <c r="E7" s="40"/>
      <c r="F7" s="395"/>
      <c r="G7" s="35">
        <f>824+796</f>
        <v>1620</v>
      </c>
      <c r="H7" s="27"/>
      <c r="I7" s="216">
        <f t="shared" si="2"/>
        <v>1620</v>
      </c>
      <c r="J7" s="35"/>
      <c r="K7" s="41"/>
      <c r="L7" s="29"/>
      <c r="M7" s="1"/>
      <c r="N7" s="1"/>
      <c r="O7" s="1"/>
      <c r="P7" s="1"/>
      <c r="Q7" s="55">
        <v>44199</v>
      </c>
      <c r="R7" s="35"/>
      <c r="S7" s="138"/>
      <c r="T7" s="139">
        <v>11000</v>
      </c>
      <c r="U7" s="138"/>
      <c r="V7" s="143">
        <v>50000</v>
      </c>
      <c r="W7" s="138"/>
      <c r="X7" s="147">
        <v>90000</v>
      </c>
      <c r="Y7" s="138"/>
      <c r="Z7" s="166"/>
      <c r="AA7" s="142">
        <v>42800</v>
      </c>
      <c r="AB7" s="138"/>
      <c r="AC7" s="139">
        <v>45000</v>
      </c>
      <c r="AD7" s="138"/>
      <c r="AE7" s="148"/>
      <c r="AF7" s="138"/>
      <c r="AG7" s="149"/>
      <c r="AH7" s="138"/>
      <c r="AI7" s="149"/>
      <c r="AJ7" s="138"/>
      <c r="AK7" s="150"/>
      <c r="AL7" s="138"/>
      <c r="AM7" s="150"/>
      <c r="AN7" s="160"/>
      <c r="AO7" s="168">
        <v>4000</v>
      </c>
      <c r="AP7" s="168"/>
      <c r="AQ7" s="158"/>
      <c r="AR7" s="172"/>
      <c r="AS7" s="172"/>
      <c r="AT7" s="172"/>
      <c r="AU7" s="172"/>
      <c r="AV7" s="172"/>
      <c r="AW7" s="162"/>
      <c r="AX7" s="138"/>
      <c r="AY7" s="2">
        <f t="shared" si="3"/>
        <v>242800</v>
      </c>
      <c r="AZ7" s="1"/>
      <c r="BA7" s="1"/>
    </row>
    <row r="8" spans="1:53">
      <c r="A8" s="21">
        <f t="shared" si="0"/>
        <v>44200</v>
      </c>
      <c r="B8" s="38">
        <v>49000</v>
      </c>
      <c r="C8" s="23"/>
      <c r="D8" s="24">
        <f t="shared" si="1"/>
        <v>49000</v>
      </c>
      <c r="E8" s="40">
        <f>29960+15272+15990</f>
        <v>61222</v>
      </c>
      <c r="F8" s="395">
        <v>15222</v>
      </c>
      <c r="G8" s="35"/>
      <c r="H8" s="27"/>
      <c r="I8" s="216">
        <f t="shared" si="2"/>
        <v>76444</v>
      </c>
      <c r="J8" s="35"/>
      <c r="K8" s="41"/>
      <c r="L8" s="29"/>
      <c r="M8" s="1"/>
      <c r="N8" s="1"/>
      <c r="O8" s="1"/>
      <c r="P8" s="1"/>
      <c r="Q8" s="55">
        <v>44200</v>
      </c>
      <c r="R8" s="35"/>
      <c r="S8" s="138"/>
      <c r="T8" s="139"/>
      <c r="U8" s="138"/>
      <c r="V8" s="143"/>
      <c r="W8" s="138"/>
      <c r="X8" s="147"/>
      <c r="Y8" s="138"/>
      <c r="Z8" s="166">
        <v>10000</v>
      </c>
      <c r="AA8" s="142"/>
      <c r="AB8" s="138"/>
      <c r="AC8" s="139">
        <v>39000</v>
      </c>
      <c r="AD8" s="138"/>
      <c r="AE8" s="151"/>
      <c r="AF8" s="138"/>
      <c r="AG8" s="149"/>
      <c r="AH8" s="138"/>
      <c r="AI8" s="149"/>
      <c r="AJ8" s="138"/>
      <c r="AK8" s="149"/>
      <c r="AL8" s="138"/>
      <c r="AM8" s="149"/>
      <c r="AN8" s="138"/>
      <c r="AO8" s="169"/>
      <c r="AP8" s="158"/>
      <c r="AQ8" s="167"/>
      <c r="AR8" s="158"/>
      <c r="AS8" s="172"/>
      <c r="AT8" s="172"/>
      <c r="AU8" s="172"/>
      <c r="AV8" s="172"/>
      <c r="AW8" s="145"/>
      <c r="AX8" s="138"/>
      <c r="AY8" s="2">
        <f t="shared" si="3"/>
        <v>49000</v>
      </c>
      <c r="AZ8" s="1"/>
      <c r="BA8" s="1"/>
    </row>
    <row r="9" spans="1:53">
      <c r="A9" s="21">
        <f t="shared" si="0"/>
        <v>44201</v>
      </c>
      <c r="B9" s="38">
        <v>8000</v>
      </c>
      <c r="C9" s="23"/>
      <c r="D9" s="24">
        <f t="shared" si="1"/>
        <v>8000</v>
      </c>
      <c r="E9" s="40"/>
      <c r="F9" s="395"/>
      <c r="G9" s="35"/>
      <c r="H9" s="27"/>
      <c r="I9" s="216">
        <f t="shared" si="2"/>
        <v>0</v>
      </c>
      <c r="J9" s="35"/>
      <c r="K9" s="41"/>
      <c r="L9" s="29"/>
      <c r="M9" s="1"/>
      <c r="N9" s="1"/>
      <c r="O9" s="1"/>
      <c r="P9" s="1"/>
      <c r="Q9" s="55">
        <v>44201</v>
      </c>
      <c r="R9" s="35"/>
      <c r="S9" s="138"/>
      <c r="T9" s="139"/>
      <c r="U9" s="138"/>
      <c r="V9" s="139"/>
      <c r="W9" s="138"/>
      <c r="X9" s="152">
        <v>8000</v>
      </c>
      <c r="Y9" s="138"/>
      <c r="Z9" s="138"/>
      <c r="AA9" s="139"/>
      <c r="AB9" s="138"/>
      <c r="AC9" s="139"/>
      <c r="AD9" s="138"/>
      <c r="AE9" s="151"/>
      <c r="AF9" s="138"/>
      <c r="AG9" s="149"/>
      <c r="AH9" s="138"/>
      <c r="AI9" s="149"/>
      <c r="AJ9" s="138"/>
      <c r="AK9" s="149"/>
      <c r="AL9" s="138"/>
      <c r="AM9" s="149"/>
      <c r="AN9" s="138"/>
      <c r="AO9" s="160"/>
      <c r="AP9" s="158"/>
      <c r="AQ9" s="167"/>
      <c r="AR9" s="168"/>
      <c r="AS9" s="158"/>
      <c r="AT9" s="158"/>
      <c r="AU9" s="158"/>
      <c r="AV9" s="158"/>
      <c r="AW9" s="145"/>
      <c r="AX9" s="138"/>
      <c r="AY9" s="2">
        <f t="shared" si="3"/>
        <v>8000</v>
      </c>
      <c r="AZ9" s="1"/>
      <c r="BA9" s="1"/>
    </row>
    <row r="10" spans="1:53">
      <c r="A10" s="21">
        <f t="shared" si="0"/>
        <v>44202</v>
      </c>
      <c r="B10" s="38">
        <v>100000</v>
      </c>
      <c r="C10" s="23"/>
      <c r="D10" s="24">
        <f t="shared" si="1"/>
        <v>100000</v>
      </c>
      <c r="E10" s="40">
        <v>2360</v>
      </c>
      <c r="F10" s="395"/>
      <c r="G10" s="35"/>
      <c r="H10" s="27"/>
      <c r="I10" s="216">
        <f t="shared" si="2"/>
        <v>2360</v>
      </c>
      <c r="J10" s="35"/>
      <c r="K10" s="41"/>
      <c r="L10" s="29"/>
      <c r="M10" s="1"/>
      <c r="N10" s="516" t="s">
        <v>26</v>
      </c>
      <c r="O10" s="517"/>
      <c r="P10" s="1"/>
      <c r="Q10" s="55">
        <v>44202</v>
      </c>
      <c r="R10" s="35"/>
      <c r="S10" s="138"/>
      <c r="T10" s="139"/>
      <c r="U10" s="138"/>
      <c r="V10" s="139">
        <v>65000</v>
      </c>
      <c r="W10" s="138"/>
      <c r="X10" s="139">
        <v>4000</v>
      </c>
      <c r="Y10" s="138"/>
      <c r="Z10" s="138">
        <v>5000</v>
      </c>
      <c r="AA10" s="139"/>
      <c r="AB10" s="138"/>
      <c r="AC10" s="139">
        <v>26000</v>
      </c>
      <c r="AD10" s="138"/>
      <c r="AE10" s="151"/>
      <c r="AF10" s="138"/>
      <c r="AG10" s="149"/>
      <c r="AH10" s="138"/>
      <c r="AI10" s="149"/>
      <c r="AJ10" s="138"/>
      <c r="AK10" s="149"/>
      <c r="AL10" s="138"/>
      <c r="AM10" s="149"/>
      <c r="AN10" s="138"/>
      <c r="AO10" s="160"/>
      <c r="AP10" s="158"/>
      <c r="AQ10" s="167"/>
      <c r="AR10" s="168"/>
      <c r="AS10" s="158"/>
      <c r="AT10" s="158"/>
      <c r="AU10" s="158"/>
      <c r="AV10" s="158"/>
      <c r="AW10" s="145"/>
      <c r="AX10" s="138"/>
      <c r="AY10" s="2">
        <f t="shared" si="3"/>
        <v>100000</v>
      </c>
      <c r="AZ10" s="1"/>
      <c r="BA10" s="1"/>
    </row>
    <row r="11" spans="1:53">
      <c r="A11" s="21">
        <f t="shared" si="0"/>
        <v>44203</v>
      </c>
      <c r="B11" s="38">
        <v>139000</v>
      </c>
      <c r="C11" s="23"/>
      <c r="D11" s="24">
        <f t="shared" si="1"/>
        <v>139000</v>
      </c>
      <c r="E11" s="40">
        <f>6790</f>
        <v>6790</v>
      </c>
      <c r="F11" s="395">
        <f>8646+98900</f>
        <v>107546</v>
      </c>
      <c r="G11" s="35"/>
      <c r="H11" s="27"/>
      <c r="I11" s="216">
        <f t="shared" si="2"/>
        <v>114336</v>
      </c>
      <c r="J11" s="35"/>
      <c r="K11" s="41"/>
      <c r="L11" s="29"/>
      <c r="M11" s="1"/>
      <c r="N11" s="47" t="s">
        <v>27</v>
      </c>
      <c r="O11" s="518">
        <v>310000</v>
      </c>
      <c r="P11" s="1"/>
      <c r="Q11" s="55">
        <v>44203</v>
      </c>
      <c r="R11" s="35"/>
      <c r="S11" s="138"/>
      <c r="T11" s="139"/>
      <c r="U11" s="138"/>
      <c r="V11" s="139">
        <v>57000</v>
      </c>
      <c r="W11" s="138"/>
      <c r="X11" s="139">
        <v>82000</v>
      </c>
      <c r="Y11" s="138"/>
      <c r="Z11" s="138"/>
      <c r="AA11" s="139"/>
      <c r="AB11" s="138"/>
      <c r="AC11" s="139"/>
      <c r="AD11" s="138"/>
      <c r="AE11" s="151"/>
      <c r="AF11" s="138"/>
      <c r="AG11" s="149"/>
      <c r="AH11" s="138"/>
      <c r="AI11" s="149"/>
      <c r="AJ11" s="138"/>
      <c r="AK11" s="149"/>
      <c r="AL11" s="138"/>
      <c r="AM11" s="149"/>
      <c r="AN11" s="138"/>
      <c r="AO11" s="160"/>
      <c r="AP11" s="158"/>
      <c r="AQ11" s="167"/>
      <c r="AR11" s="168"/>
      <c r="AS11" s="158"/>
      <c r="AT11" s="158"/>
      <c r="AU11" s="158"/>
      <c r="AV11" s="158"/>
      <c r="AW11" s="145"/>
      <c r="AX11" s="138"/>
      <c r="AY11" s="2">
        <f t="shared" si="3"/>
        <v>139000</v>
      </c>
      <c r="AZ11" s="1"/>
      <c r="BA11" s="1"/>
    </row>
    <row r="12" spans="1:53">
      <c r="A12" s="21">
        <f t="shared" si="0"/>
        <v>44204</v>
      </c>
      <c r="B12" s="38">
        <v>28000</v>
      </c>
      <c r="C12" s="23"/>
      <c r="D12" s="24">
        <f t="shared" si="1"/>
        <v>28000</v>
      </c>
      <c r="E12" s="40"/>
      <c r="F12" s="395"/>
      <c r="G12" s="35"/>
      <c r="H12" s="27"/>
      <c r="I12" s="216">
        <f t="shared" si="2"/>
        <v>0</v>
      </c>
      <c r="J12" s="35"/>
      <c r="K12" s="41"/>
      <c r="L12" s="29"/>
      <c r="M12" s="1"/>
      <c r="N12" s="47" t="s">
        <v>28</v>
      </c>
      <c r="O12" s="519"/>
      <c r="P12" s="1"/>
      <c r="Q12" s="55">
        <v>44204</v>
      </c>
      <c r="R12" s="35"/>
      <c r="S12" s="138"/>
      <c r="T12" s="139"/>
      <c r="U12" s="138"/>
      <c r="V12" s="139">
        <v>28000</v>
      </c>
      <c r="W12" s="138"/>
      <c r="X12" s="139"/>
      <c r="Y12" s="138"/>
      <c r="Z12" s="138"/>
      <c r="AA12" s="139"/>
      <c r="AB12" s="138"/>
      <c r="AC12" s="139"/>
      <c r="AD12" s="138"/>
      <c r="AE12" s="151"/>
      <c r="AF12" s="138"/>
      <c r="AG12" s="149"/>
      <c r="AH12" s="138"/>
      <c r="AI12" s="149"/>
      <c r="AJ12" s="138"/>
      <c r="AK12" s="149"/>
      <c r="AL12" s="138"/>
      <c r="AM12" s="149"/>
      <c r="AN12" s="138"/>
      <c r="AO12" s="160"/>
      <c r="AP12" s="158"/>
      <c r="AQ12" s="167"/>
      <c r="AR12" s="168"/>
      <c r="AS12" s="158"/>
      <c r="AT12" s="158"/>
      <c r="AU12" s="158"/>
      <c r="AV12" s="158"/>
      <c r="AW12" s="145"/>
      <c r="AX12" s="138"/>
      <c r="AY12" s="2">
        <f t="shared" si="3"/>
        <v>28000</v>
      </c>
      <c r="AZ12" s="1"/>
      <c r="BA12" s="1"/>
    </row>
    <row r="13" spans="1:53">
      <c r="A13" s="21">
        <f t="shared" si="0"/>
        <v>44205</v>
      </c>
      <c r="B13" s="38">
        <v>84000</v>
      </c>
      <c r="C13" s="23">
        <v>11500</v>
      </c>
      <c r="D13" s="24">
        <f t="shared" si="1"/>
        <v>95500</v>
      </c>
      <c r="E13" s="40">
        <v>4056</v>
      </c>
      <c r="F13" s="395"/>
      <c r="G13" s="35"/>
      <c r="H13" s="27"/>
      <c r="I13" s="216">
        <f t="shared" si="2"/>
        <v>4056</v>
      </c>
      <c r="J13" s="35"/>
      <c r="K13" s="41"/>
      <c r="L13" s="29"/>
      <c r="M13" s="1"/>
      <c r="N13" s="47" t="s">
        <v>29</v>
      </c>
      <c r="O13" s="35">
        <v>7000</v>
      </c>
      <c r="P13" s="1"/>
      <c r="Q13" s="55">
        <v>44205</v>
      </c>
      <c r="R13" s="35"/>
      <c r="S13" s="138"/>
      <c r="T13" s="139"/>
      <c r="U13" s="138"/>
      <c r="V13" s="139">
        <v>15500</v>
      </c>
      <c r="W13" s="138"/>
      <c r="X13" s="139">
        <v>25000</v>
      </c>
      <c r="Y13" s="138"/>
      <c r="Z13" s="138"/>
      <c r="AA13" s="139"/>
      <c r="AB13" s="138"/>
      <c r="AC13" s="139">
        <v>3000</v>
      </c>
      <c r="AD13" s="138"/>
      <c r="AE13" s="151">
        <v>14000</v>
      </c>
      <c r="AF13" s="138"/>
      <c r="AG13" s="149">
        <v>30000</v>
      </c>
      <c r="AH13" s="138"/>
      <c r="AI13" s="149">
        <v>3000</v>
      </c>
      <c r="AJ13" s="138"/>
      <c r="AK13" s="149">
        <v>5000</v>
      </c>
      <c r="AL13" s="138"/>
      <c r="AM13" s="149"/>
      <c r="AN13" s="138"/>
      <c r="AO13" s="160"/>
      <c r="AP13" s="158"/>
      <c r="AQ13" s="167"/>
      <c r="AR13" s="168"/>
      <c r="AS13" s="158"/>
      <c r="AT13" s="158"/>
      <c r="AU13" s="158"/>
      <c r="AV13" s="158"/>
      <c r="AW13" s="145"/>
      <c r="AX13" s="138"/>
      <c r="AY13" s="2">
        <f t="shared" si="3"/>
        <v>95500</v>
      </c>
      <c r="AZ13" s="1"/>
      <c r="BA13" s="1"/>
    </row>
    <row r="14" spans="1:53">
      <c r="A14" s="21">
        <f t="shared" si="0"/>
        <v>44206</v>
      </c>
      <c r="B14" s="38">
        <v>153000</v>
      </c>
      <c r="C14" s="23"/>
      <c r="D14" s="24">
        <f t="shared" si="1"/>
        <v>153000</v>
      </c>
      <c r="E14" s="40"/>
      <c r="F14" s="395">
        <v>14910</v>
      </c>
      <c r="G14" s="44"/>
      <c r="H14" s="27"/>
      <c r="I14" s="216">
        <f t="shared" si="2"/>
        <v>14910</v>
      </c>
      <c r="J14" s="35"/>
      <c r="K14" s="41"/>
      <c r="L14" s="29"/>
      <c r="M14" s="1"/>
      <c r="N14" s="47" t="s">
        <v>30</v>
      </c>
      <c r="O14" s="35">
        <v>4000</v>
      </c>
      <c r="P14" s="1"/>
      <c r="Q14" s="55">
        <v>44206</v>
      </c>
      <c r="R14" s="35"/>
      <c r="S14" s="138"/>
      <c r="T14" s="139"/>
      <c r="U14" s="138"/>
      <c r="V14" s="139">
        <v>74000</v>
      </c>
      <c r="W14" s="138"/>
      <c r="X14" s="139">
        <v>4000</v>
      </c>
      <c r="Y14" s="138"/>
      <c r="Z14" s="138">
        <v>10000</v>
      </c>
      <c r="AA14" s="139"/>
      <c r="AB14" s="138"/>
      <c r="AC14" s="139">
        <v>65000</v>
      </c>
      <c r="AD14" s="138"/>
      <c r="AE14" s="151"/>
      <c r="AF14" s="138"/>
      <c r="AG14" s="149"/>
      <c r="AH14" s="138"/>
      <c r="AI14" s="149"/>
      <c r="AJ14" s="138"/>
      <c r="AK14" s="149"/>
      <c r="AL14" s="138"/>
      <c r="AM14" s="149"/>
      <c r="AN14" s="138"/>
      <c r="AO14" s="160"/>
      <c r="AP14" s="158"/>
      <c r="AQ14" s="249"/>
      <c r="AR14" s="168"/>
      <c r="AS14" s="158"/>
      <c r="AT14" s="158"/>
      <c r="AU14" s="158"/>
      <c r="AV14" s="158"/>
      <c r="AW14" s="145"/>
      <c r="AX14" s="138"/>
      <c r="AY14" s="2">
        <f t="shared" si="3"/>
        <v>153000</v>
      </c>
      <c r="AZ14" s="1"/>
      <c r="BA14" s="1"/>
    </row>
    <row r="15" spans="1:53">
      <c r="A15" s="21">
        <f t="shared" si="0"/>
        <v>44207</v>
      </c>
      <c r="B15" s="38">
        <v>136000</v>
      </c>
      <c r="C15" s="23">
        <v>33000</v>
      </c>
      <c r="D15" s="24">
        <f t="shared" si="1"/>
        <v>169000</v>
      </c>
      <c r="E15" s="40">
        <f>8908+11260+3500</f>
        <v>23668</v>
      </c>
      <c r="F15" s="395"/>
      <c r="G15" s="35">
        <f>382+783+884</f>
        <v>2049</v>
      </c>
      <c r="H15" s="27"/>
      <c r="I15" s="216">
        <f t="shared" si="2"/>
        <v>25717</v>
      </c>
      <c r="J15" s="35"/>
      <c r="K15" s="41"/>
      <c r="L15" s="29"/>
      <c r="M15" s="1"/>
      <c r="N15" s="47" t="s">
        <v>31</v>
      </c>
      <c r="O15" s="35">
        <v>300000</v>
      </c>
      <c r="P15" s="1"/>
      <c r="Q15" s="55">
        <v>44207</v>
      </c>
      <c r="R15" s="35"/>
      <c r="S15" s="138"/>
      <c r="T15" s="139"/>
      <c r="U15" s="138"/>
      <c r="V15" s="139">
        <v>97000</v>
      </c>
      <c r="W15" s="138"/>
      <c r="X15" s="139">
        <v>25000</v>
      </c>
      <c r="Y15" s="138"/>
      <c r="Z15" s="138">
        <v>4000</v>
      </c>
      <c r="AA15" s="139">
        <v>7000</v>
      </c>
      <c r="AB15" s="138"/>
      <c r="AC15" s="139"/>
      <c r="AD15" s="138"/>
      <c r="AE15" s="151">
        <v>30000</v>
      </c>
      <c r="AF15" s="138"/>
      <c r="AG15" s="149"/>
      <c r="AH15" s="138"/>
      <c r="AI15" s="149"/>
      <c r="AJ15" s="138"/>
      <c r="AK15" s="149"/>
      <c r="AL15" s="138"/>
      <c r="AM15" s="149">
        <v>6000</v>
      </c>
      <c r="AN15" s="138"/>
      <c r="AO15" s="160"/>
      <c r="AP15" s="158"/>
      <c r="AQ15" s="250"/>
      <c r="AR15" s="168"/>
      <c r="AS15" s="158"/>
      <c r="AT15" s="158"/>
      <c r="AU15" s="158"/>
      <c r="AV15" s="158"/>
      <c r="AW15" s="145"/>
      <c r="AX15" s="138"/>
      <c r="AY15" s="2">
        <f t="shared" si="3"/>
        <v>169000</v>
      </c>
      <c r="AZ15" s="1"/>
      <c r="BA15" s="1"/>
    </row>
    <row r="16" spans="1:53">
      <c r="A16" s="21">
        <f t="shared" si="0"/>
        <v>44208</v>
      </c>
      <c r="B16" s="38"/>
      <c r="C16" s="23"/>
      <c r="D16" s="24">
        <f t="shared" si="1"/>
        <v>0</v>
      </c>
      <c r="E16" s="40"/>
      <c r="F16" s="395"/>
      <c r="G16" s="35"/>
      <c r="H16" s="27"/>
      <c r="I16" s="216">
        <f t="shared" si="2"/>
        <v>0</v>
      </c>
      <c r="J16" s="35"/>
      <c r="K16" s="41"/>
      <c r="L16" s="29"/>
      <c r="M16" s="1"/>
      <c r="N16" s="47" t="s">
        <v>32</v>
      </c>
      <c r="O16" s="35">
        <v>45000</v>
      </c>
      <c r="P16" s="1"/>
      <c r="Q16" s="55">
        <v>44208</v>
      </c>
      <c r="R16" s="35"/>
      <c r="S16" s="138"/>
      <c r="T16" s="139"/>
      <c r="U16" s="138"/>
      <c r="V16" s="139"/>
      <c r="W16" s="138"/>
      <c r="X16" s="139"/>
      <c r="Y16" s="138"/>
      <c r="Z16" s="138"/>
      <c r="AA16" s="139"/>
      <c r="AB16" s="138"/>
      <c r="AC16" s="139"/>
      <c r="AD16" s="138"/>
      <c r="AE16" s="151"/>
      <c r="AF16" s="138"/>
      <c r="AG16" s="149"/>
      <c r="AH16" s="138"/>
      <c r="AI16" s="149"/>
      <c r="AJ16" s="138"/>
      <c r="AK16" s="149"/>
      <c r="AL16" s="138"/>
      <c r="AM16" s="149"/>
      <c r="AN16" s="138"/>
      <c r="AO16" s="138"/>
      <c r="AP16" s="159"/>
      <c r="AQ16" s="160"/>
      <c r="AR16" s="168"/>
      <c r="AS16" s="158"/>
      <c r="AT16" s="158"/>
      <c r="AU16" s="158"/>
      <c r="AV16" s="158"/>
      <c r="AW16" s="145"/>
      <c r="AX16" s="138"/>
      <c r="AY16" s="2">
        <f t="shared" si="3"/>
        <v>0</v>
      </c>
      <c r="AZ16" s="1"/>
      <c r="BA16" s="1"/>
    </row>
    <row r="17" spans="1:53">
      <c r="A17" s="21">
        <f t="shared" si="0"/>
        <v>44209</v>
      </c>
      <c r="B17" s="38">
        <v>68000</v>
      </c>
      <c r="C17" s="23">
        <v>9000</v>
      </c>
      <c r="D17" s="24">
        <f t="shared" si="1"/>
        <v>77000</v>
      </c>
      <c r="E17" s="40"/>
      <c r="F17" s="395"/>
      <c r="G17" s="35">
        <v>2097</v>
      </c>
      <c r="H17" s="27"/>
      <c r="I17" s="216">
        <f t="shared" si="2"/>
        <v>2097</v>
      </c>
      <c r="J17" s="35"/>
      <c r="K17" s="41"/>
      <c r="L17" s="29"/>
      <c r="M17" s="1"/>
      <c r="N17" s="47"/>
      <c r="O17" s="35"/>
      <c r="P17" s="1"/>
      <c r="Q17" s="55">
        <v>44209</v>
      </c>
      <c r="R17" s="35"/>
      <c r="S17" s="138"/>
      <c r="T17" s="139"/>
      <c r="U17" s="138"/>
      <c r="V17" s="139">
        <v>40000</v>
      </c>
      <c r="W17" s="138"/>
      <c r="X17" s="139">
        <v>37000</v>
      </c>
      <c r="Y17" s="138"/>
      <c r="Z17" s="138"/>
      <c r="AA17" s="139"/>
      <c r="AB17" s="138"/>
      <c r="AC17" s="139"/>
      <c r="AD17" s="138"/>
      <c r="AE17" s="151"/>
      <c r="AF17" s="138"/>
      <c r="AG17" s="149"/>
      <c r="AH17" s="138"/>
      <c r="AI17" s="149"/>
      <c r="AJ17" s="138"/>
      <c r="AK17" s="149"/>
      <c r="AL17" s="138"/>
      <c r="AM17" s="149"/>
      <c r="AN17" s="138"/>
      <c r="AO17" s="138"/>
      <c r="AP17" s="138"/>
      <c r="AQ17" s="160"/>
      <c r="AR17" s="168"/>
      <c r="AS17" s="158"/>
      <c r="AT17" s="158"/>
      <c r="AU17" s="158"/>
      <c r="AV17" s="158"/>
      <c r="AW17" s="145"/>
      <c r="AX17" s="138"/>
      <c r="AY17" s="2">
        <f t="shared" si="3"/>
        <v>77000</v>
      </c>
      <c r="AZ17" s="1"/>
      <c r="BA17" s="1"/>
    </row>
    <row r="18" spans="1:53">
      <c r="A18" s="21">
        <f t="shared" si="0"/>
        <v>44210</v>
      </c>
      <c r="B18" s="38">
        <v>97000</v>
      </c>
      <c r="C18" s="23"/>
      <c r="D18" s="24">
        <f t="shared" si="1"/>
        <v>97000</v>
      </c>
      <c r="E18" s="40"/>
      <c r="F18" s="395"/>
      <c r="G18" s="35"/>
      <c r="H18" s="27"/>
      <c r="I18" s="216">
        <f t="shared" si="2"/>
        <v>0</v>
      </c>
      <c r="J18" s="35"/>
      <c r="K18" s="41"/>
      <c r="L18" s="29"/>
      <c r="M18" s="1"/>
      <c r="N18" s="47"/>
      <c r="O18" s="35"/>
      <c r="P18" s="1"/>
      <c r="Q18" s="55">
        <v>44210</v>
      </c>
      <c r="R18" s="35"/>
      <c r="S18" s="138"/>
      <c r="T18" s="139"/>
      <c r="U18" s="138"/>
      <c r="V18" s="139">
        <v>32000</v>
      </c>
      <c r="W18" s="138"/>
      <c r="X18" s="139">
        <v>9000</v>
      </c>
      <c r="Y18" s="138"/>
      <c r="Z18" s="138"/>
      <c r="AA18" s="139">
        <v>25000</v>
      </c>
      <c r="AB18" s="138"/>
      <c r="AC18" s="139">
        <v>16000</v>
      </c>
      <c r="AD18" s="138"/>
      <c r="AE18" s="151"/>
      <c r="AF18" s="138"/>
      <c r="AG18" s="149"/>
      <c r="AH18" s="138"/>
      <c r="AI18" s="149"/>
      <c r="AJ18" s="138"/>
      <c r="AK18" s="149"/>
      <c r="AL18" s="138"/>
      <c r="AM18" s="149">
        <v>15000</v>
      </c>
      <c r="AN18" s="138"/>
      <c r="AO18" s="138"/>
      <c r="AP18" s="138"/>
      <c r="AQ18" s="160"/>
      <c r="AR18" s="168"/>
      <c r="AS18" s="158"/>
      <c r="AT18" s="158"/>
      <c r="AU18" s="158"/>
      <c r="AV18" s="158"/>
      <c r="AW18" s="145"/>
      <c r="AX18" s="138"/>
      <c r="AY18" s="2">
        <f t="shared" si="3"/>
        <v>97000</v>
      </c>
      <c r="AZ18" s="1"/>
      <c r="BA18" s="1"/>
    </row>
    <row r="19" spans="1:53">
      <c r="A19" s="21">
        <f t="shared" si="0"/>
        <v>44211</v>
      </c>
      <c r="B19" s="38">
        <v>133000</v>
      </c>
      <c r="C19" s="23">
        <v>50000</v>
      </c>
      <c r="D19" s="24">
        <f t="shared" si="1"/>
        <v>183000</v>
      </c>
      <c r="E19" s="40">
        <f>5920+5304</f>
        <v>11224</v>
      </c>
      <c r="F19" s="395"/>
      <c r="G19" s="35">
        <v>2895</v>
      </c>
      <c r="H19" s="27"/>
      <c r="I19" s="216">
        <f t="shared" si="2"/>
        <v>14119</v>
      </c>
      <c r="J19" s="35"/>
      <c r="K19" s="41"/>
      <c r="L19" s="29"/>
      <c r="M19" s="1"/>
      <c r="N19" s="49" t="s">
        <v>33</v>
      </c>
      <c r="O19" s="50">
        <f>SUM(O11:O18)</f>
        <v>666000</v>
      </c>
      <c r="P19" s="1"/>
      <c r="Q19" s="55">
        <v>44211</v>
      </c>
      <c r="R19" s="35"/>
      <c r="S19" s="138"/>
      <c r="T19" s="139"/>
      <c r="U19" s="138"/>
      <c r="V19" s="139">
        <v>116000</v>
      </c>
      <c r="W19" s="138"/>
      <c r="X19" s="139">
        <v>28000</v>
      </c>
      <c r="Y19" s="138"/>
      <c r="Z19" s="138"/>
      <c r="AA19" s="139">
        <v>27000</v>
      </c>
      <c r="AB19" s="138"/>
      <c r="AC19" s="139">
        <v>12000</v>
      </c>
      <c r="AD19" s="138"/>
      <c r="AE19" s="151"/>
      <c r="AF19" s="138"/>
      <c r="AG19" s="149"/>
      <c r="AH19" s="138"/>
      <c r="AI19" s="149"/>
      <c r="AJ19" s="138"/>
      <c r="AK19" s="149"/>
      <c r="AL19" s="138"/>
      <c r="AM19" s="149"/>
      <c r="AN19" s="138"/>
      <c r="AO19" s="138"/>
      <c r="AP19" s="138"/>
      <c r="AQ19" s="160"/>
      <c r="AR19" s="168"/>
      <c r="AS19" s="158"/>
      <c r="AT19" s="158"/>
      <c r="AU19" s="158"/>
      <c r="AV19" s="158"/>
      <c r="AW19" s="145"/>
      <c r="AX19" s="138"/>
      <c r="AY19" s="2">
        <f t="shared" si="3"/>
        <v>183000</v>
      </c>
      <c r="AZ19" s="1"/>
      <c r="BA19" s="1"/>
    </row>
    <row r="20" spans="1:53">
      <c r="A20" s="21">
        <f t="shared" si="0"/>
        <v>44212</v>
      </c>
      <c r="B20" s="38">
        <v>207000</v>
      </c>
      <c r="C20" s="38">
        <v>30000</v>
      </c>
      <c r="D20" s="24">
        <f t="shared" si="1"/>
        <v>237000</v>
      </c>
      <c r="E20" s="40"/>
      <c r="F20" s="395">
        <v>10010</v>
      </c>
      <c r="G20" s="35">
        <v>3429</v>
      </c>
      <c r="H20" s="27"/>
      <c r="I20" s="216">
        <f t="shared" si="2"/>
        <v>13439</v>
      </c>
      <c r="J20" s="35"/>
      <c r="K20" s="41"/>
      <c r="L20" s="29"/>
      <c r="M20" s="1"/>
      <c r="N20" s="51"/>
      <c r="O20" s="7"/>
      <c r="P20" s="1"/>
      <c r="Q20" s="55">
        <v>44212</v>
      </c>
      <c r="R20" s="35"/>
      <c r="S20" s="138"/>
      <c r="T20" s="139"/>
      <c r="U20" s="138"/>
      <c r="V20" s="139">
        <v>26000</v>
      </c>
      <c r="W20" s="138"/>
      <c r="X20" s="139">
        <v>168000</v>
      </c>
      <c r="Y20" s="138"/>
      <c r="Z20" s="138"/>
      <c r="AA20" s="139">
        <v>4000</v>
      </c>
      <c r="AB20" s="138"/>
      <c r="AC20" s="139">
        <v>23000</v>
      </c>
      <c r="AD20" s="138"/>
      <c r="AE20" s="151"/>
      <c r="AF20" s="138"/>
      <c r="AG20" s="149"/>
      <c r="AH20" s="138"/>
      <c r="AI20" s="149"/>
      <c r="AJ20" s="138"/>
      <c r="AK20" s="149"/>
      <c r="AL20" s="138"/>
      <c r="AM20" s="149"/>
      <c r="AN20" s="138"/>
      <c r="AO20" s="138"/>
      <c r="AP20" s="138">
        <v>16000</v>
      </c>
      <c r="AQ20" s="160"/>
      <c r="AR20" s="168"/>
      <c r="AS20" s="158"/>
      <c r="AT20" s="158"/>
      <c r="AU20" s="158"/>
      <c r="AV20" s="158"/>
      <c r="AW20" s="145"/>
      <c r="AX20" s="138"/>
      <c r="AY20" s="2">
        <f t="shared" si="3"/>
        <v>237000</v>
      </c>
      <c r="AZ20" s="1"/>
      <c r="BA20" s="1"/>
    </row>
    <row r="21" spans="1:53">
      <c r="A21" s="21">
        <f t="shared" si="0"/>
        <v>44213</v>
      </c>
      <c r="B21" s="38">
        <v>163000</v>
      </c>
      <c r="C21" s="38"/>
      <c r="D21" s="24">
        <f t="shared" si="1"/>
        <v>163000</v>
      </c>
      <c r="E21" s="40"/>
      <c r="F21" s="395">
        <v>20710</v>
      </c>
      <c r="G21" s="35">
        <v>1457</v>
      </c>
      <c r="H21" s="27"/>
      <c r="I21" s="216">
        <f t="shared" si="2"/>
        <v>22167</v>
      </c>
      <c r="J21" s="35"/>
      <c r="K21" s="41"/>
      <c r="L21" s="29"/>
      <c r="M21" s="1"/>
      <c r="N21" s="1"/>
      <c r="O21" s="1"/>
      <c r="P21" s="1"/>
      <c r="Q21" s="55">
        <v>44213</v>
      </c>
      <c r="R21" s="35"/>
      <c r="S21" s="138"/>
      <c r="T21" s="139"/>
      <c r="U21" s="138"/>
      <c r="V21" s="139">
        <v>65000</v>
      </c>
      <c r="W21" s="138"/>
      <c r="X21" s="139">
        <v>62000</v>
      </c>
      <c r="Y21" s="138"/>
      <c r="Z21" s="138"/>
      <c r="AA21" s="139"/>
      <c r="AB21" s="138"/>
      <c r="AC21" s="139">
        <v>36000</v>
      </c>
      <c r="AD21" s="138"/>
      <c r="AE21" s="151"/>
      <c r="AF21" s="138"/>
      <c r="AG21" s="149"/>
      <c r="AH21" s="138"/>
      <c r="AI21" s="149"/>
      <c r="AJ21" s="138"/>
      <c r="AK21" s="149"/>
      <c r="AL21" s="138"/>
      <c r="AM21" s="149"/>
      <c r="AN21" s="138"/>
      <c r="AO21" s="138"/>
      <c r="AP21" s="138"/>
      <c r="AQ21" s="138"/>
      <c r="AR21" s="169"/>
      <c r="AS21" s="158"/>
      <c r="AT21" s="158"/>
      <c r="AU21" s="158"/>
      <c r="AV21" s="158"/>
      <c r="AW21" s="145"/>
      <c r="AX21" s="138"/>
      <c r="AY21" s="2">
        <f t="shared" si="3"/>
        <v>163000</v>
      </c>
      <c r="AZ21" s="1"/>
      <c r="BA21" s="1"/>
    </row>
    <row r="22" spans="1:53">
      <c r="A22" s="21">
        <f t="shared" si="0"/>
        <v>44214</v>
      </c>
      <c r="B22" s="38">
        <v>31000</v>
      </c>
      <c r="C22" s="38">
        <v>105000</v>
      </c>
      <c r="D22" s="24">
        <f t="shared" si="1"/>
        <v>136000</v>
      </c>
      <c r="E22" s="40">
        <f>6102+5920</f>
        <v>12022</v>
      </c>
      <c r="F22" s="395"/>
      <c r="G22" s="35"/>
      <c r="H22" s="27"/>
      <c r="I22" s="216">
        <f t="shared" si="2"/>
        <v>12022</v>
      </c>
      <c r="J22" s="35"/>
      <c r="K22" s="41"/>
      <c r="L22" s="29"/>
      <c r="M22" s="1"/>
      <c r="N22" s="1"/>
      <c r="O22" s="1"/>
      <c r="P22" s="1"/>
      <c r="Q22" s="55">
        <v>44214</v>
      </c>
      <c r="R22" s="35"/>
      <c r="S22" s="138"/>
      <c r="T22" s="139"/>
      <c r="U22" s="138"/>
      <c r="V22" s="139">
        <v>81000</v>
      </c>
      <c r="W22" s="138"/>
      <c r="X22" s="139"/>
      <c r="Y22" s="138"/>
      <c r="Z22" s="375"/>
      <c r="AA22" s="153">
        <v>20000</v>
      </c>
      <c r="AB22" s="138"/>
      <c r="AC22" s="139">
        <v>35000</v>
      </c>
      <c r="AD22" s="138"/>
      <c r="AE22" s="151"/>
      <c r="AF22" s="138"/>
      <c r="AG22" s="139"/>
      <c r="AH22" s="138"/>
      <c r="AI22" s="139"/>
      <c r="AJ22" s="138"/>
      <c r="AK22" s="149"/>
      <c r="AL22" s="138"/>
      <c r="AM22" s="149"/>
      <c r="AN22" s="138"/>
      <c r="AO22" s="138"/>
      <c r="AP22" s="138"/>
      <c r="AQ22" s="138"/>
      <c r="AR22" s="160"/>
      <c r="AS22" s="158"/>
      <c r="AT22" s="158"/>
      <c r="AU22" s="158"/>
      <c r="AV22" s="158"/>
      <c r="AW22" s="145"/>
      <c r="AX22" s="138"/>
      <c r="AY22" s="2">
        <f t="shared" si="3"/>
        <v>136000</v>
      </c>
      <c r="AZ22" s="1"/>
      <c r="BA22" s="1"/>
    </row>
    <row r="23" spans="1:53">
      <c r="A23" s="21">
        <f t="shared" si="0"/>
        <v>44215</v>
      </c>
      <c r="B23" s="38">
        <v>2000</v>
      </c>
      <c r="C23" s="38"/>
      <c r="D23" s="24">
        <f t="shared" si="1"/>
        <v>2000</v>
      </c>
      <c r="E23" s="40"/>
      <c r="F23" s="395"/>
      <c r="G23" s="35"/>
      <c r="H23" s="27"/>
      <c r="I23" s="216">
        <f t="shared" si="2"/>
        <v>0</v>
      </c>
      <c r="J23" s="35"/>
      <c r="K23" s="41"/>
      <c r="L23" s="29"/>
      <c r="M23" s="1"/>
      <c r="N23" s="1"/>
      <c r="O23" s="1"/>
      <c r="P23" s="1"/>
      <c r="Q23" s="55">
        <v>44215</v>
      </c>
      <c r="R23" s="35"/>
      <c r="S23" s="138"/>
      <c r="T23" s="139"/>
      <c r="U23" s="138"/>
      <c r="V23" s="139"/>
      <c r="W23" s="138"/>
      <c r="X23" s="139"/>
      <c r="Y23" s="138"/>
      <c r="Z23" s="138"/>
      <c r="AA23" s="139">
        <v>2000</v>
      </c>
      <c r="AB23" s="138"/>
      <c r="AC23" s="139"/>
      <c r="AD23" s="138"/>
      <c r="AE23" s="151"/>
      <c r="AF23" s="138"/>
      <c r="AG23" s="149"/>
      <c r="AH23" s="138"/>
      <c r="AI23" s="149"/>
      <c r="AJ23" s="138"/>
      <c r="AK23" s="149"/>
      <c r="AL23" s="138"/>
      <c r="AM23" s="149"/>
      <c r="AN23" s="138"/>
      <c r="AO23" s="138"/>
      <c r="AP23" s="138"/>
      <c r="AQ23" s="138"/>
      <c r="AR23" s="160"/>
      <c r="AS23" s="158"/>
      <c r="AT23" s="158"/>
      <c r="AU23" s="158"/>
      <c r="AV23" s="158"/>
      <c r="AW23" s="145"/>
      <c r="AX23" s="138"/>
      <c r="AY23" s="2">
        <f t="shared" si="3"/>
        <v>2000</v>
      </c>
      <c r="AZ23" s="1"/>
      <c r="BA23" s="1"/>
    </row>
    <row r="24" spans="1:53">
      <c r="A24" s="21">
        <f t="shared" si="0"/>
        <v>44216</v>
      </c>
      <c r="B24" s="38">
        <v>60000</v>
      </c>
      <c r="C24" s="38"/>
      <c r="D24" s="24">
        <f t="shared" si="1"/>
        <v>60000</v>
      </c>
      <c r="E24" s="40">
        <v>10082</v>
      </c>
      <c r="F24" s="395"/>
      <c r="G24" s="35"/>
      <c r="H24" s="27"/>
      <c r="I24" s="216">
        <f t="shared" si="2"/>
        <v>10082</v>
      </c>
      <c r="J24" s="35"/>
      <c r="K24" s="41"/>
      <c r="L24" s="29"/>
      <c r="M24" s="1"/>
      <c r="N24" s="53" t="s">
        <v>34</v>
      </c>
      <c r="O24" s="38">
        <f>D37</f>
        <v>2837300</v>
      </c>
      <c r="P24" s="1"/>
      <c r="Q24" s="55">
        <v>44216</v>
      </c>
      <c r="R24" s="35"/>
      <c r="S24" s="138"/>
      <c r="T24" s="139"/>
      <c r="U24" s="138"/>
      <c r="V24" s="139">
        <v>56000</v>
      </c>
      <c r="W24" s="138"/>
      <c r="X24" s="139"/>
      <c r="Y24" s="138"/>
      <c r="Z24" s="138"/>
      <c r="AA24" s="139"/>
      <c r="AB24" s="138"/>
      <c r="AC24" s="139">
        <v>4000</v>
      </c>
      <c r="AD24" s="138"/>
      <c r="AE24" s="151"/>
      <c r="AF24" s="138"/>
      <c r="AG24" s="149"/>
      <c r="AH24" s="138"/>
      <c r="AI24" s="149"/>
      <c r="AJ24" s="138"/>
      <c r="AK24" s="149"/>
      <c r="AL24" s="138"/>
      <c r="AM24" s="149"/>
      <c r="AN24" s="138"/>
      <c r="AO24" s="138"/>
      <c r="AP24" s="138"/>
      <c r="AQ24" s="138"/>
      <c r="AR24" s="160"/>
      <c r="AS24" s="158"/>
      <c r="AT24" s="158"/>
      <c r="AU24" s="158"/>
      <c r="AV24" s="158"/>
      <c r="AW24" s="145"/>
      <c r="AX24" s="138"/>
      <c r="AY24" s="2">
        <f t="shared" si="3"/>
        <v>60000</v>
      </c>
      <c r="AZ24" s="1"/>
      <c r="BA24" s="1"/>
    </row>
    <row r="25" spans="1:53">
      <c r="A25" s="21">
        <f t="shared" si="0"/>
        <v>44217</v>
      </c>
      <c r="B25" s="38">
        <v>71000</v>
      </c>
      <c r="C25" s="38"/>
      <c r="D25" s="24">
        <f t="shared" si="1"/>
        <v>71000</v>
      </c>
      <c r="E25" s="40">
        <v>8396</v>
      </c>
      <c r="F25" s="395">
        <v>3220</v>
      </c>
      <c r="G25" s="35">
        <v>4576</v>
      </c>
      <c r="H25" s="27"/>
      <c r="I25" s="216">
        <f t="shared" si="2"/>
        <v>16192</v>
      </c>
      <c r="J25" s="35"/>
      <c r="K25" s="41"/>
      <c r="L25" s="29"/>
      <c r="M25" s="1"/>
      <c r="N25" s="53" t="s">
        <v>35</v>
      </c>
      <c r="O25" s="38">
        <f>I37</f>
        <v>389888</v>
      </c>
      <c r="P25" s="1"/>
      <c r="Q25" s="55">
        <v>44217</v>
      </c>
      <c r="R25" s="35"/>
      <c r="S25" s="138"/>
      <c r="T25" s="139"/>
      <c r="U25" s="138"/>
      <c r="V25" s="139">
        <v>5000</v>
      </c>
      <c r="W25" s="138"/>
      <c r="X25" s="139">
        <v>16000</v>
      </c>
      <c r="Y25" s="138"/>
      <c r="Z25" s="138"/>
      <c r="AA25" s="139">
        <v>40000</v>
      </c>
      <c r="AB25" s="138"/>
      <c r="AC25" s="139"/>
      <c r="AD25" s="138"/>
      <c r="AE25" s="151">
        <v>10000</v>
      </c>
      <c r="AF25" s="138"/>
      <c r="AG25" s="149"/>
      <c r="AH25" s="138"/>
      <c r="AI25" s="149"/>
      <c r="AJ25" s="138"/>
      <c r="AK25" s="149"/>
      <c r="AL25" s="138"/>
      <c r="AM25" s="149"/>
      <c r="AN25" s="138"/>
      <c r="AO25" s="138"/>
      <c r="AP25" s="138"/>
      <c r="AQ25" s="138"/>
      <c r="AR25" s="160"/>
      <c r="AS25" s="158"/>
      <c r="AT25" s="158"/>
      <c r="AU25" s="158"/>
      <c r="AV25" s="158"/>
      <c r="AW25" s="145"/>
      <c r="AX25" s="138"/>
      <c r="AY25" s="2">
        <f t="shared" si="3"/>
        <v>71000</v>
      </c>
      <c r="AZ25" s="1"/>
      <c r="BA25" s="1"/>
    </row>
    <row r="26" spans="1:53">
      <c r="A26" s="21">
        <f t="shared" si="0"/>
        <v>44218</v>
      </c>
      <c r="B26" s="38">
        <v>29000</v>
      </c>
      <c r="C26" s="38">
        <v>20000</v>
      </c>
      <c r="D26" s="24">
        <f t="shared" si="1"/>
        <v>49000</v>
      </c>
      <c r="E26" s="40"/>
      <c r="F26" s="395"/>
      <c r="G26" s="35"/>
      <c r="H26" s="27"/>
      <c r="I26" s="216">
        <f t="shared" si="2"/>
        <v>0</v>
      </c>
      <c r="J26" s="35"/>
      <c r="K26" s="41"/>
      <c r="L26" s="29"/>
      <c r="M26" s="1"/>
      <c r="N26" s="53" t="s">
        <v>36</v>
      </c>
      <c r="O26" s="38">
        <f>O19</f>
        <v>666000</v>
      </c>
      <c r="P26" s="1"/>
      <c r="Q26" s="55">
        <v>44218</v>
      </c>
      <c r="R26" s="35"/>
      <c r="S26" s="138"/>
      <c r="T26" s="139"/>
      <c r="U26" s="138"/>
      <c r="V26" s="139">
        <v>4000</v>
      </c>
      <c r="W26" s="138"/>
      <c r="X26" s="139">
        <v>24000</v>
      </c>
      <c r="Y26" s="138"/>
      <c r="Z26" s="138">
        <v>10000</v>
      </c>
      <c r="AA26" s="139"/>
      <c r="AB26" s="138"/>
      <c r="AC26" s="139"/>
      <c r="AD26" s="138"/>
      <c r="AE26" s="151"/>
      <c r="AF26" s="138"/>
      <c r="AG26" s="149"/>
      <c r="AH26" s="138"/>
      <c r="AI26" s="149">
        <v>11000</v>
      </c>
      <c r="AJ26" s="138"/>
      <c r="AK26" s="149"/>
      <c r="AL26" s="138"/>
      <c r="AM26" s="149"/>
      <c r="AN26" s="138"/>
      <c r="AO26" s="138"/>
      <c r="AP26" s="138"/>
      <c r="AQ26" s="138"/>
      <c r="AR26" s="160"/>
      <c r="AS26" s="158"/>
      <c r="AT26" s="158"/>
      <c r="AU26" s="158"/>
      <c r="AV26" s="158"/>
      <c r="AW26" s="145"/>
      <c r="AX26" s="138"/>
      <c r="AY26" s="2">
        <f t="shared" si="3"/>
        <v>49000</v>
      </c>
      <c r="AZ26" s="1"/>
      <c r="BA26" s="1"/>
    </row>
    <row r="27" spans="1:53">
      <c r="A27" s="21">
        <f t="shared" si="0"/>
        <v>44219</v>
      </c>
      <c r="B27" s="38">
        <v>87000</v>
      </c>
      <c r="C27" s="38">
        <v>2000</v>
      </c>
      <c r="D27" s="24">
        <f t="shared" si="1"/>
        <v>89000</v>
      </c>
      <c r="E27" s="40">
        <f>6270+2960+8620</f>
        <v>17850</v>
      </c>
      <c r="F27" s="395"/>
      <c r="G27" s="35"/>
      <c r="H27" s="27"/>
      <c r="I27" s="216">
        <f t="shared" si="2"/>
        <v>17850</v>
      </c>
      <c r="J27" s="35"/>
      <c r="K27" s="41"/>
      <c r="L27" s="29"/>
      <c r="M27" s="1"/>
      <c r="N27" s="60" t="s">
        <v>37</v>
      </c>
      <c r="O27" s="61">
        <f>IFERROR(O24-O25-O26, "")</f>
        <v>1781412</v>
      </c>
      <c r="P27" s="1"/>
      <c r="Q27" s="55">
        <v>44219</v>
      </c>
      <c r="R27" s="35"/>
      <c r="S27" s="138"/>
      <c r="T27" s="139">
        <v>78000</v>
      </c>
      <c r="U27" s="138"/>
      <c r="V27" s="139"/>
      <c r="W27" s="138"/>
      <c r="X27" s="139"/>
      <c r="Y27" s="138"/>
      <c r="Z27" s="138"/>
      <c r="AA27" s="139"/>
      <c r="AB27" s="138"/>
      <c r="AC27" s="139">
        <v>5000</v>
      </c>
      <c r="AD27" s="138"/>
      <c r="AE27" s="151"/>
      <c r="AF27" s="138"/>
      <c r="AG27" s="149"/>
      <c r="AH27" s="138"/>
      <c r="AI27" s="149"/>
      <c r="AJ27" s="138"/>
      <c r="AK27" s="149"/>
      <c r="AL27" s="138"/>
      <c r="AM27" s="149">
        <v>6000</v>
      </c>
      <c r="AN27" s="138"/>
      <c r="AO27" s="138"/>
      <c r="AP27" s="138"/>
      <c r="AQ27" s="138"/>
      <c r="AR27" s="160"/>
      <c r="AS27" s="158"/>
      <c r="AT27" s="158"/>
      <c r="AU27" s="158"/>
      <c r="AV27" s="158"/>
      <c r="AW27" s="145"/>
      <c r="AX27" s="138"/>
      <c r="AY27" s="2">
        <f t="shared" si="3"/>
        <v>89000</v>
      </c>
      <c r="AZ27" s="1"/>
      <c r="BA27" s="1"/>
    </row>
    <row r="28" spans="1:53">
      <c r="A28" s="21">
        <f t="shared" si="0"/>
        <v>44220</v>
      </c>
      <c r="B28" s="38">
        <v>33000</v>
      </c>
      <c r="C28" s="38">
        <v>24000</v>
      </c>
      <c r="D28" s="24">
        <f t="shared" si="1"/>
        <v>57000</v>
      </c>
      <c r="E28" s="299"/>
      <c r="F28" s="396"/>
      <c r="G28" s="35">
        <v>1000</v>
      </c>
      <c r="H28" s="27"/>
      <c r="I28" s="216">
        <f t="shared" si="2"/>
        <v>1000</v>
      </c>
      <c r="J28" s="35"/>
      <c r="K28" s="41"/>
      <c r="L28" s="29"/>
      <c r="M28" s="1"/>
      <c r="N28" s="1"/>
      <c r="O28" s="1"/>
      <c r="P28" s="1"/>
      <c r="Q28" s="55">
        <v>44220</v>
      </c>
      <c r="R28" s="35"/>
      <c r="S28" s="138"/>
      <c r="T28" s="139"/>
      <c r="U28" s="138"/>
      <c r="V28" s="139">
        <v>30000</v>
      </c>
      <c r="W28" s="138"/>
      <c r="X28" s="139">
        <v>24000</v>
      </c>
      <c r="Y28" s="138"/>
      <c r="Z28" s="138">
        <v>3000</v>
      </c>
      <c r="AA28" s="139"/>
      <c r="AB28" s="138"/>
      <c r="AC28" s="139"/>
      <c r="AD28" s="138"/>
      <c r="AE28" s="151"/>
      <c r="AF28" s="138"/>
      <c r="AG28" s="149"/>
      <c r="AH28" s="138"/>
      <c r="AI28" s="149"/>
      <c r="AJ28" s="138"/>
      <c r="AK28" s="149"/>
      <c r="AL28" s="138"/>
      <c r="AM28" s="149"/>
      <c r="AN28" s="138"/>
      <c r="AO28" s="138"/>
      <c r="AP28" s="138"/>
      <c r="AQ28" s="138"/>
      <c r="AR28" s="138"/>
      <c r="AS28" s="159"/>
      <c r="AT28" s="159"/>
      <c r="AU28" s="159"/>
      <c r="AV28" s="159"/>
      <c r="AW28" s="149"/>
      <c r="AX28" s="138"/>
      <c r="AY28" s="2">
        <f t="shared" si="3"/>
        <v>57000</v>
      </c>
      <c r="AZ28" s="1"/>
      <c r="BA28" s="1"/>
    </row>
    <row r="29" spans="1:53">
      <c r="A29" s="21">
        <f t="shared" si="0"/>
        <v>44221</v>
      </c>
      <c r="B29" s="38">
        <v>201000</v>
      </c>
      <c r="C29" s="38">
        <v>20000</v>
      </c>
      <c r="D29" s="24">
        <f t="shared" si="1"/>
        <v>221000</v>
      </c>
      <c r="E29" s="40">
        <f>7434+5456</f>
        <v>12890</v>
      </c>
      <c r="F29" s="395"/>
      <c r="G29" s="35"/>
      <c r="H29" s="27"/>
      <c r="I29" s="216">
        <f t="shared" si="2"/>
        <v>12890</v>
      </c>
      <c r="J29" s="35"/>
      <c r="K29" s="41"/>
      <c r="L29" s="29"/>
      <c r="M29" s="1"/>
      <c r="N29" s="1"/>
      <c r="O29" s="1"/>
      <c r="P29" s="1"/>
      <c r="Q29" s="55">
        <v>44221</v>
      </c>
      <c r="R29" s="35"/>
      <c r="S29" s="138"/>
      <c r="T29" s="139"/>
      <c r="U29" s="138"/>
      <c r="V29" s="139">
        <v>72000</v>
      </c>
      <c r="W29" s="138">
        <v>20000</v>
      </c>
      <c r="X29" s="139">
        <v>30000</v>
      </c>
      <c r="Y29" s="138"/>
      <c r="Z29" s="138"/>
      <c r="AA29" s="139">
        <v>20000</v>
      </c>
      <c r="AB29" s="138"/>
      <c r="AC29" s="139">
        <v>64000</v>
      </c>
      <c r="AD29" s="138"/>
      <c r="AE29" s="151"/>
      <c r="AF29" s="138"/>
      <c r="AG29" s="149"/>
      <c r="AH29" s="138"/>
      <c r="AI29" s="149"/>
      <c r="AJ29" s="138"/>
      <c r="AK29" s="149"/>
      <c r="AL29" s="138"/>
      <c r="AM29" s="149"/>
      <c r="AN29" s="138"/>
      <c r="AO29" s="138"/>
      <c r="AP29" s="138"/>
      <c r="AQ29" s="138">
        <v>15000</v>
      </c>
      <c r="AR29" s="138"/>
      <c r="AS29" s="138"/>
      <c r="AT29" s="138"/>
      <c r="AU29" s="138"/>
      <c r="AV29" s="138"/>
      <c r="AW29" s="149"/>
      <c r="AX29" s="138"/>
      <c r="AY29" s="2">
        <f t="shared" si="3"/>
        <v>221000</v>
      </c>
      <c r="AZ29" s="1"/>
      <c r="BA29" s="1"/>
    </row>
    <row r="30" spans="1:53">
      <c r="A30" s="21">
        <f t="shared" si="0"/>
        <v>44222</v>
      </c>
      <c r="B30" s="38"/>
      <c r="C30" s="38"/>
      <c r="D30" s="24">
        <f t="shared" si="1"/>
        <v>0</v>
      </c>
      <c r="E30" s="40"/>
      <c r="F30" s="395"/>
      <c r="G30" s="35"/>
      <c r="H30" s="27"/>
      <c r="I30" s="216">
        <f t="shared" si="2"/>
        <v>0</v>
      </c>
      <c r="J30" s="35"/>
      <c r="K30" s="41"/>
      <c r="L30" s="29"/>
      <c r="M30" s="1"/>
      <c r="N30" s="1"/>
      <c r="O30" s="1"/>
      <c r="P30" s="1"/>
      <c r="Q30" s="55">
        <v>44222</v>
      </c>
      <c r="R30" s="35"/>
      <c r="S30" s="138"/>
      <c r="T30" s="139"/>
      <c r="U30" s="138"/>
      <c r="V30" s="139"/>
      <c r="W30" s="138"/>
      <c r="X30" s="139"/>
      <c r="Y30" s="138"/>
      <c r="Z30" s="138"/>
      <c r="AA30" s="139"/>
      <c r="AB30" s="138"/>
      <c r="AC30" s="139"/>
      <c r="AD30" s="138"/>
      <c r="AE30" s="151"/>
      <c r="AF30" s="138"/>
      <c r="AG30" s="149"/>
      <c r="AH30" s="138"/>
      <c r="AI30" s="149"/>
      <c r="AJ30" s="138"/>
      <c r="AK30" s="149"/>
      <c r="AL30" s="138"/>
      <c r="AM30" s="149"/>
      <c r="AN30" s="138"/>
      <c r="AO30" s="138"/>
      <c r="AP30" s="138"/>
      <c r="AQ30" s="138"/>
      <c r="AR30" s="138"/>
      <c r="AS30" s="138"/>
      <c r="AT30" s="138"/>
      <c r="AU30" s="138"/>
      <c r="AV30" s="138"/>
      <c r="AW30" s="149"/>
      <c r="AX30" s="138"/>
      <c r="AY30" s="2">
        <f t="shared" si="3"/>
        <v>0</v>
      </c>
      <c r="AZ30" s="1"/>
      <c r="BA30" s="1"/>
    </row>
    <row r="31" spans="1:53">
      <c r="A31" s="21">
        <f t="shared" si="0"/>
        <v>44223</v>
      </c>
      <c r="B31" s="38"/>
      <c r="C31" s="38"/>
      <c r="D31" s="24">
        <f t="shared" si="1"/>
        <v>0</v>
      </c>
      <c r="E31" s="40"/>
      <c r="F31" s="395"/>
      <c r="G31" s="35"/>
      <c r="H31" s="27"/>
      <c r="I31" s="216">
        <f t="shared" si="2"/>
        <v>0</v>
      </c>
      <c r="J31" s="35"/>
      <c r="K31" s="41"/>
      <c r="L31" s="29"/>
      <c r="M31" s="1"/>
      <c r="N31" s="1"/>
      <c r="O31" s="1"/>
      <c r="P31" s="1"/>
      <c r="Q31" s="55">
        <v>44223</v>
      </c>
      <c r="R31" s="35"/>
      <c r="S31" s="138"/>
      <c r="T31" s="139"/>
      <c r="U31" s="138"/>
      <c r="V31" s="139"/>
      <c r="W31" s="138"/>
      <c r="X31" s="139"/>
      <c r="Y31" s="138"/>
      <c r="Z31" s="138"/>
      <c r="AA31" s="139"/>
      <c r="AB31" s="138"/>
      <c r="AC31" s="139"/>
      <c r="AD31" s="138"/>
      <c r="AE31" s="151"/>
      <c r="AF31" s="138"/>
      <c r="AG31" s="149"/>
      <c r="AH31" s="138"/>
      <c r="AI31" s="149"/>
      <c r="AJ31" s="138"/>
      <c r="AK31" s="149"/>
      <c r="AL31" s="138"/>
      <c r="AM31" s="149"/>
      <c r="AN31" s="138"/>
      <c r="AO31" s="138"/>
      <c r="AP31" s="138"/>
      <c r="AQ31" s="138"/>
      <c r="AR31" s="138"/>
      <c r="AS31" s="138"/>
      <c r="AT31" s="138"/>
      <c r="AU31" s="138"/>
      <c r="AV31" s="138"/>
      <c r="AW31" s="149"/>
      <c r="AX31" s="138"/>
      <c r="AY31" s="2">
        <f t="shared" si="3"/>
        <v>0</v>
      </c>
      <c r="AZ31" s="1"/>
      <c r="BA31" s="1"/>
    </row>
    <row r="32" spans="1:53">
      <c r="A32" s="21">
        <f t="shared" si="0"/>
        <v>44224</v>
      </c>
      <c r="B32" s="38">
        <v>69000</v>
      </c>
      <c r="C32" s="38">
        <v>25000</v>
      </c>
      <c r="D32" s="24">
        <f t="shared" si="1"/>
        <v>94000</v>
      </c>
      <c r="E32" s="40">
        <f>3960+9224</f>
        <v>13184</v>
      </c>
      <c r="F32" s="395"/>
      <c r="G32" s="35"/>
      <c r="H32" s="27"/>
      <c r="I32" s="216">
        <f t="shared" si="2"/>
        <v>13184</v>
      </c>
      <c r="J32" s="35"/>
      <c r="K32" s="41"/>
      <c r="L32" s="29"/>
      <c r="M32" s="1"/>
      <c r="N32" s="1"/>
      <c r="O32" s="1"/>
      <c r="P32" s="1"/>
      <c r="Q32" s="55">
        <v>44224</v>
      </c>
      <c r="R32" s="35"/>
      <c r="S32" s="138"/>
      <c r="T32" s="139"/>
      <c r="U32" s="138"/>
      <c r="V32" s="139">
        <v>56000</v>
      </c>
      <c r="W32" s="138"/>
      <c r="X32" s="139">
        <v>13000</v>
      </c>
      <c r="Y32" s="138"/>
      <c r="Z32" s="138"/>
      <c r="AA32" s="139"/>
      <c r="AB32" s="138"/>
      <c r="AC32" s="139">
        <v>25000</v>
      </c>
      <c r="AD32" s="138"/>
      <c r="AE32" s="151"/>
      <c r="AF32" s="138"/>
      <c r="AG32" s="149"/>
      <c r="AH32" s="138"/>
      <c r="AI32" s="149"/>
      <c r="AJ32" s="138"/>
      <c r="AK32" s="149"/>
      <c r="AL32" s="138"/>
      <c r="AM32" s="149"/>
      <c r="AN32" s="138"/>
      <c r="AO32" s="138"/>
      <c r="AP32" s="138"/>
      <c r="AQ32" s="138"/>
      <c r="AR32" s="138"/>
      <c r="AS32" s="138"/>
      <c r="AT32" s="138"/>
      <c r="AU32" s="138"/>
      <c r="AV32" s="138"/>
      <c r="AW32" s="149"/>
      <c r="AX32" s="138"/>
      <c r="AY32" s="2">
        <f t="shared" si="3"/>
        <v>94000</v>
      </c>
      <c r="AZ32" s="1"/>
      <c r="BA32" s="1"/>
    </row>
    <row r="33" spans="1:53">
      <c r="A33" s="21">
        <f t="shared" si="0"/>
        <v>44225</v>
      </c>
      <c r="B33" s="38">
        <v>105000</v>
      </c>
      <c r="C33" s="38">
        <v>28000</v>
      </c>
      <c r="D33" s="24">
        <f t="shared" si="1"/>
        <v>133000</v>
      </c>
      <c r="E33" s="40">
        <v>9924</v>
      </c>
      <c r="F33" s="395"/>
      <c r="G33" s="35"/>
      <c r="H33" s="27"/>
      <c r="I33" s="216">
        <f t="shared" si="2"/>
        <v>9924</v>
      </c>
      <c r="J33" s="35"/>
      <c r="K33" s="41"/>
      <c r="L33" s="29"/>
      <c r="M33" s="1"/>
      <c r="N33" s="1"/>
      <c r="O33" s="1"/>
      <c r="P33" s="1"/>
      <c r="Q33" s="55">
        <v>44225</v>
      </c>
      <c r="R33" s="56"/>
      <c r="S33" s="138"/>
      <c r="T33" s="139"/>
      <c r="U33" s="138"/>
      <c r="V33" s="139">
        <v>25000</v>
      </c>
      <c r="W33" s="138"/>
      <c r="X33" s="139">
        <v>20000</v>
      </c>
      <c r="Y33" s="138"/>
      <c r="Z33" s="138"/>
      <c r="AA33" s="139">
        <v>28000</v>
      </c>
      <c r="AB33" s="138"/>
      <c r="AC33" s="139">
        <v>60000</v>
      </c>
      <c r="AD33" s="138"/>
      <c r="AE33" s="151"/>
      <c r="AF33" s="138"/>
      <c r="AG33" s="149"/>
      <c r="AH33" s="138"/>
      <c r="AI33" s="149"/>
      <c r="AJ33" s="138"/>
      <c r="AK33" s="149"/>
      <c r="AL33" s="138"/>
      <c r="AM33" s="149"/>
      <c r="AN33" s="138"/>
      <c r="AO33" s="138"/>
      <c r="AP33" s="138"/>
      <c r="AQ33" s="138"/>
      <c r="AR33" s="138"/>
      <c r="AS33" s="138"/>
      <c r="AT33" s="138"/>
      <c r="AU33" s="138"/>
      <c r="AV33" s="138"/>
      <c r="AW33" s="149"/>
      <c r="AX33" s="138"/>
      <c r="AY33" s="2">
        <f t="shared" si="3"/>
        <v>133000</v>
      </c>
      <c r="AZ33" s="1"/>
      <c r="BA33" s="1"/>
    </row>
    <row r="34" spans="1:53">
      <c r="A34" s="21">
        <f t="shared" si="0"/>
        <v>44226</v>
      </c>
      <c r="B34" s="38">
        <v>86000</v>
      </c>
      <c r="C34" s="38">
        <v>18000</v>
      </c>
      <c r="D34" s="24">
        <f t="shared" si="1"/>
        <v>104000</v>
      </c>
      <c r="E34" s="40">
        <v>4240</v>
      </c>
      <c r="F34" s="395"/>
      <c r="G34" s="35">
        <v>1239</v>
      </c>
      <c r="H34" s="27"/>
      <c r="I34" s="216">
        <f t="shared" si="2"/>
        <v>5479</v>
      </c>
      <c r="J34" s="35"/>
      <c r="K34" s="41"/>
      <c r="L34" s="29"/>
      <c r="M34" s="1"/>
      <c r="N34" s="1"/>
      <c r="O34" s="1"/>
      <c r="P34" s="1"/>
      <c r="Q34" s="55">
        <v>44226</v>
      </c>
      <c r="R34" s="137"/>
      <c r="S34" s="154"/>
      <c r="T34" s="155"/>
      <c r="U34" s="154"/>
      <c r="V34" s="155"/>
      <c r="W34" s="154"/>
      <c r="X34" s="155">
        <v>47000</v>
      </c>
      <c r="Y34" s="154"/>
      <c r="Z34" s="154"/>
      <c r="AA34" s="155">
        <v>38000</v>
      </c>
      <c r="AB34" s="154"/>
      <c r="AC34" s="155">
        <v>19000</v>
      </c>
      <c r="AD34" s="154"/>
      <c r="AE34" s="156"/>
      <c r="AF34" s="154"/>
      <c r="AG34" s="157"/>
      <c r="AH34" s="154"/>
      <c r="AI34" s="157"/>
      <c r="AJ34" s="154"/>
      <c r="AK34" s="157"/>
      <c r="AL34" s="154"/>
      <c r="AM34" s="157"/>
      <c r="AN34" s="154"/>
      <c r="AO34" s="154"/>
      <c r="AP34" s="154"/>
      <c r="AQ34" s="154"/>
      <c r="AR34" s="154"/>
      <c r="AS34" s="154"/>
      <c r="AT34" s="154"/>
      <c r="AU34" s="154"/>
      <c r="AV34" s="154"/>
      <c r="AW34" s="157"/>
      <c r="AX34" s="154"/>
      <c r="AY34" s="2">
        <f t="shared" si="3"/>
        <v>104000</v>
      </c>
      <c r="AZ34" s="1"/>
      <c r="BA34" s="1"/>
    </row>
    <row r="35" spans="1:53" ht="21" thickBot="1">
      <c r="A35" s="21">
        <f t="shared" si="0"/>
        <v>44227</v>
      </c>
      <c r="B35" s="38">
        <v>80000</v>
      </c>
      <c r="C35" s="38"/>
      <c r="D35" s="24">
        <f t="shared" si="1"/>
        <v>80000</v>
      </c>
      <c r="E35" s="40"/>
      <c r="F35" s="395"/>
      <c r="G35" s="35"/>
      <c r="H35" s="27"/>
      <c r="I35" s="216">
        <f t="shared" si="2"/>
        <v>0</v>
      </c>
      <c r="J35" s="57"/>
      <c r="K35" s="58"/>
      <c r="L35" s="59"/>
      <c r="M35" s="1"/>
      <c r="N35" s="1"/>
      <c r="O35" s="1"/>
      <c r="P35" s="1"/>
      <c r="Q35" s="55">
        <v>44227</v>
      </c>
      <c r="R35" s="115"/>
      <c r="S35" s="158"/>
      <c r="T35" s="147"/>
      <c r="U35" s="158"/>
      <c r="V35" s="147">
        <v>12000</v>
      </c>
      <c r="W35" s="158"/>
      <c r="X35" s="147">
        <v>40000</v>
      </c>
      <c r="Y35" s="158"/>
      <c r="Z35" s="158"/>
      <c r="AA35" s="147"/>
      <c r="AB35" s="158"/>
      <c r="AC35" s="147"/>
      <c r="AD35" s="158"/>
      <c r="AE35" s="147">
        <v>28000</v>
      </c>
      <c r="AF35" s="158"/>
      <c r="AG35" s="147"/>
      <c r="AH35" s="158"/>
      <c r="AI35" s="147"/>
      <c r="AJ35" s="158"/>
      <c r="AK35" s="147"/>
      <c r="AL35" s="158"/>
      <c r="AM35" s="147"/>
      <c r="AN35" s="158"/>
      <c r="AO35" s="158"/>
      <c r="AP35" s="158"/>
      <c r="AQ35" s="158"/>
      <c r="AR35" s="158"/>
      <c r="AS35" s="158"/>
      <c r="AT35" s="158"/>
      <c r="AU35" s="158"/>
      <c r="AV35" s="158"/>
      <c r="AW35" s="147"/>
      <c r="AX35" s="158"/>
      <c r="AY35" s="2">
        <f t="shared" si="3"/>
        <v>80000</v>
      </c>
      <c r="AZ35" s="1"/>
      <c r="BA35" s="1"/>
    </row>
    <row r="36" spans="1:53" ht="2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397"/>
      <c r="G36" s="69" t="s">
        <v>16</v>
      </c>
      <c r="H36" s="70" t="s">
        <v>5</v>
      </c>
      <c r="I36" s="71" t="s">
        <v>41</v>
      </c>
      <c r="J36" s="72" t="s">
        <v>42</v>
      </c>
      <c r="K36" s="72" t="s">
        <v>43</v>
      </c>
      <c r="L36" s="73"/>
      <c r="M36" s="1"/>
      <c r="N36" s="1"/>
      <c r="O36" s="1"/>
      <c r="P36" s="1"/>
      <c r="Q36" s="80"/>
      <c r="R36" s="115">
        <f t="shared" ref="R36:AX36" si="4">SUM(R5:R35)</f>
        <v>0</v>
      </c>
      <c r="S36" s="115">
        <f t="shared" si="4"/>
        <v>0</v>
      </c>
      <c r="T36" s="115">
        <f t="shared" si="4"/>
        <v>89000</v>
      </c>
      <c r="U36" s="115">
        <f t="shared" si="4"/>
        <v>0</v>
      </c>
      <c r="V36" s="115">
        <f t="shared" si="4"/>
        <v>1006500</v>
      </c>
      <c r="W36" s="115">
        <f t="shared" si="4"/>
        <v>20000</v>
      </c>
      <c r="X36" s="115">
        <f t="shared" si="4"/>
        <v>756000</v>
      </c>
      <c r="Y36" s="115">
        <f t="shared" si="4"/>
        <v>0</v>
      </c>
      <c r="Z36" s="115">
        <f t="shared" si="4"/>
        <v>42000</v>
      </c>
      <c r="AA36" s="115">
        <f t="shared" si="4"/>
        <v>253800</v>
      </c>
      <c r="AB36" s="115">
        <f t="shared" si="4"/>
        <v>0</v>
      </c>
      <c r="AC36" s="115">
        <f t="shared" si="4"/>
        <v>477000</v>
      </c>
      <c r="AD36" s="115">
        <f t="shared" si="4"/>
        <v>0</v>
      </c>
      <c r="AE36" s="115">
        <f t="shared" si="4"/>
        <v>82000</v>
      </c>
      <c r="AF36" s="115">
        <f t="shared" si="4"/>
        <v>0</v>
      </c>
      <c r="AG36" s="115">
        <f t="shared" si="4"/>
        <v>30000</v>
      </c>
      <c r="AH36" s="115">
        <f t="shared" si="4"/>
        <v>0</v>
      </c>
      <c r="AI36" s="115">
        <f t="shared" si="4"/>
        <v>14000</v>
      </c>
      <c r="AJ36" s="115">
        <f t="shared" si="4"/>
        <v>0</v>
      </c>
      <c r="AK36" s="115">
        <f t="shared" si="4"/>
        <v>5000</v>
      </c>
      <c r="AL36" s="115">
        <f t="shared" si="4"/>
        <v>0</v>
      </c>
      <c r="AM36" s="115">
        <f t="shared" si="4"/>
        <v>27000</v>
      </c>
      <c r="AN36" s="115">
        <f t="shared" si="4"/>
        <v>0</v>
      </c>
      <c r="AO36" s="115">
        <f t="shared" si="4"/>
        <v>4000</v>
      </c>
      <c r="AP36" s="115">
        <f t="shared" si="4"/>
        <v>16000</v>
      </c>
      <c r="AQ36" s="115">
        <f t="shared" si="4"/>
        <v>15000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115">
        <f t="shared" si="4"/>
        <v>0</v>
      </c>
      <c r="AY36" s="2">
        <f t="shared" si="3"/>
        <v>2837300</v>
      </c>
      <c r="AZ36" s="1"/>
      <c r="BA36" s="1"/>
    </row>
    <row r="37" spans="1:53" ht="22" thickTop="1" thickBot="1">
      <c r="A37" s="81" t="s">
        <v>33</v>
      </c>
      <c r="B37" s="82">
        <f>SUM(B5:B35)</f>
        <v>2396800</v>
      </c>
      <c r="C37" s="82">
        <f t="shared" ref="C37:J37" si="5">SUM(C5:C35)</f>
        <v>440500</v>
      </c>
      <c r="D37" s="82">
        <f t="shared" si="5"/>
        <v>2837300</v>
      </c>
      <c r="E37" s="83">
        <f>SUM(E5:E35)</f>
        <v>197908</v>
      </c>
      <c r="F37" s="83">
        <f>SUM(F5:F35)</f>
        <v>171618</v>
      </c>
      <c r="G37" s="84">
        <f t="shared" si="5"/>
        <v>20362</v>
      </c>
      <c r="H37" s="84">
        <f t="shared" si="5"/>
        <v>0</v>
      </c>
      <c r="I37" s="132">
        <f t="shared" si="5"/>
        <v>389888</v>
      </c>
      <c r="J37" s="86">
        <f t="shared" si="5"/>
        <v>0</v>
      </c>
      <c r="K37" s="86" t="str">
        <f>IFERROR(32/J37, "")</f>
        <v/>
      </c>
      <c r="L37" s="5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1"/>
      <c r="B38" s="91"/>
      <c r="C38" s="1"/>
      <c r="D38" s="1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  <c r="P38" s="182"/>
      <c r="Q38" s="540" t="s">
        <v>228</v>
      </c>
      <c r="R38" s="542">
        <f>R36*0.35</f>
        <v>0</v>
      </c>
      <c r="S38" s="542">
        <f>S36*0.3</f>
        <v>0</v>
      </c>
      <c r="T38" s="544">
        <f>T36*0.35</f>
        <v>31149.999999999996</v>
      </c>
      <c r="U38" s="544">
        <f>U36*0.3</f>
        <v>0</v>
      </c>
      <c r="V38" s="532">
        <f>V36*0.4</f>
        <v>402600</v>
      </c>
      <c r="W38" s="532">
        <f>W36*0.3</f>
        <v>6000</v>
      </c>
      <c r="X38" s="534">
        <f>X36*0.35</f>
        <v>264600</v>
      </c>
      <c r="Y38" s="534">
        <f>Y36*0.3</f>
        <v>0</v>
      </c>
      <c r="Z38" s="538">
        <f>Z36</f>
        <v>42000</v>
      </c>
      <c r="AA38" s="536">
        <f>AA36*0.35</f>
        <v>88830</v>
      </c>
      <c r="AB38" s="530">
        <f>AB36*0.3</f>
        <v>0</v>
      </c>
      <c r="AC38" s="530">
        <f>AC36*0.35</f>
        <v>166950</v>
      </c>
      <c r="AD38" s="530">
        <f>AD36*0.3</f>
        <v>0</v>
      </c>
      <c r="AE38" s="530">
        <f>AE36*0.35</f>
        <v>28699.999999999996</v>
      </c>
      <c r="AF38" s="530">
        <f>AF36*0.3</f>
        <v>0</v>
      </c>
      <c r="AG38" s="530">
        <f>AG36*0.35</f>
        <v>10500</v>
      </c>
      <c r="AH38" s="530">
        <f>AH36*0.3</f>
        <v>0</v>
      </c>
      <c r="AI38" s="530">
        <f>AI36*0.35</f>
        <v>4900</v>
      </c>
      <c r="AJ38" s="530">
        <f>AJ36*0.3</f>
        <v>0</v>
      </c>
      <c r="AK38" s="530">
        <f>AK36*0.35</f>
        <v>1750</v>
      </c>
      <c r="AL38" s="530">
        <f>AL36*0.3</f>
        <v>0</v>
      </c>
      <c r="AM38" s="530">
        <f>AM36*0.35</f>
        <v>9450</v>
      </c>
      <c r="AN38" s="530">
        <f>AN36*0.3</f>
        <v>0</v>
      </c>
      <c r="AO38" s="536">
        <f t="shared" ref="AO38:AW38" si="6">AO36*0.35</f>
        <v>1400</v>
      </c>
      <c r="AP38" s="530">
        <f t="shared" si="6"/>
        <v>5600</v>
      </c>
      <c r="AQ38" s="530">
        <f t="shared" si="6"/>
        <v>5250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 t="shared" si="6"/>
        <v>0</v>
      </c>
      <c r="AX38" s="530">
        <f>AX36*0.3</f>
        <v>0</v>
      </c>
      <c r="AY38" s="182"/>
      <c r="AZ38" s="1"/>
      <c r="BA38" s="1"/>
    </row>
    <row r="39" spans="1:53">
      <c r="A39" s="389" t="s">
        <v>244</v>
      </c>
      <c r="B39" s="389" t="s">
        <v>245</v>
      </c>
      <c r="C39" s="1"/>
      <c r="D39" s="1"/>
      <c r="E39" s="2"/>
      <c r="F39" s="2"/>
      <c r="G39" s="2"/>
      <c r="H39" s="378" t="s">
        <v>249</v>
      </c>
      <c r="I39" s="135">
        <f>B48-'2021年2月'!GF37-G37</f>
        <v>172438</v>
      </c>
      <c r="J39" s="2"/>
      <c r="K39" s="2"/>
      <c r="L39" s="1"/>
      <c r="M39" s="1"/>
      <c r="N39" s="1"/>
      <c r="O39" s="1"/>
      <c r="P39" s="182"/>
      <c r="Q39" s="541"/>
      <c r="R39" s="543"/>
      <c r="S39" s="543"/>
      <c r="T39" s="545"/>
      <c r="U39" s="545"/>
      <c r="V39" s="533"/>
      <c r="W39" s="533"/>
      <c r="X39" s="535"/>
      <c r="Y39" s="535"/>
      <c r="Z39" s="539"/>
      <c r="AA39" s="537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1"/>
      <c r="AO39" s="537"/>
      <c r="AP39" s="531"/>
      <c r="AQ39" s="531"/>
      <c r="AR39" s="531"/>
      <c r="AS39" s="531"/>
      <c r="AT39" s="531"/>
      <c r="AU39" s="531"/>
      <c r="AV39" s="531"/>
      <c r="AW39" s="531"/>
      <c r="AX39" s="531"/>
      <c r="AY39" s="182"/>
      <c r="AZ39" s="1"/>
      <c r="BA39" s="1"/>
    </row>
    <row r="40" spans="1:53">
      <c r="A40" s="306">
        <v>44199</v>
      </c>
      <c r="B40" s="135">
        <v>17000</v>
      </c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82"/>
      <c r="Q40" s="182"/>
      <c r="R40" s="376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  <c r="AY40" s="377"/>
      <c r="AZ40" s="1"/>
      <c r="BA40" s="1"/>
    </row>
    <row r="41" spans="1:53">
      <c r="A41" s="306">
        <v>44200</v>
      </c>
      <c r="B41" s="135">
        <v>3000</v>
      </c>
      <c r="C41" s="1"/>
      <c r="D41" s="1"/>
      <c r="E41" s="1"/>
      <c r="G41" s="1"/>
      <c r="H41" s="296" t="s">
        <v>265</v>
      </c>
      <c r="I41" s="382">
        <f>B37-B48-H45</f>
        <v>2149000</v>
      </c>
      <c r="J41" s="1"/>
      <c r="K41" s="1"/>
      <c r="L41" s="1"/>
      <c r="M41" s="1"/>
      <c r="N41" s="1"/>
      <c r="O41" s="1"/>
      <c r="P41" s="182"/>
      <c r="Q41" s="182"/>
      <c r="R41" s="376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  <c r="AY41" s="377"/>
      <c r="AZ41" s="1"/>
      <c r="BA41" s="1"/>
    </row>
    <row r="42" spans="1:53">
      <c r="A42" s="306">
        <v>44203</v>
      </c>
      <c r="B42" s="135">
        <v>108000</v>
      </c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306">
        <v>44204</v>
      </c>
      <c r="B43" s="135">
        <v>17000</v>
      </c>
      <c r="C43" s="1"/>
      <c r="D43" s="1"/>
      <c r="E43" s="1"/>
      <c r="G43" s="1"/>
      <c r="H43" s="525" t="s">
        <v>266</v>
      </c>
      <c r="I43" s="59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306">
        <v>44209</v>
      </c>
      <c r="B44" s="135">
        <v>16800</v>
      </c>
      <c r="C44" s="1"/>
      <c r="D44" s="1"/>
      <c r="E44" s="1"/>
      <c r="G44" s="1"/>
      <c r="H44" s="526" t="s">
        <v>267</v>
      </c>
      <c r="I44" s="59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306">
        <v>44213</v>
      </c>
      <c r="B45" s="135">
        <v>28000</v>
      </c>
      <c r="C45" s="1"/>
      <c r="D45" s="1"/>
      <c r="E45" s="1"/>
      <c r="G45" s="1"/>
      <c r="H45" s="181">
        <v>55000</v>
      </c>
      <c r="I45" s="181" t="s">
        <v>268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s="1" customFormat="1">
      <c r="A46" s="306">
        <v>44226</v>
      </c>
      <c r="B46" s="135">
        <v>3000</v>
      </c>
      <c r="H46" s="181"/>
      <c r="I46" s="181"/>
    </row>
    <row r="47" spans="1:53" s="1" customFormat="1">
      <c r="A47" s="306"/>
      <c r="B47" s="135"/>
      <c r="H47" s="181"/>
      <c r="I47" s="181"/>
    </row>
    <row r="48" spans="1:53">
      <c r="A48" s="296" t="s">
        <v>246</v>
      </c>
      <c r="B48" s="135">
        <f>SUM(B40:B46)</f>
        <v>192800</v>
      </c>
      <c r="C48" s="1"/>
      <c r="D48" s="1"/>
      <c r="E48" s="1"/>
      <c r="G48" s="1"/>
      <c r="H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</sheetData>
  <mergeCells count="79">
    <mergeCell ref="J3:J4"/>
    <mergeCell ref="A1:A2"/>
    <mergeCell ref="B1:B2"/>
    <mergeCell ref="A3:A4"/>
    <mergeCell ref="B3:D3"/>
    <mergeCell ref="E3:I3"/>
    <mergeCell ref="AB3:AB4"/>
    <mergeCell ref="AC3:AC4"/>
    <mergeCell ref="K3:K4"/>
    <mergeCell ref="Q3:Q4"/>
    <mergeCell ref="R3:R4"/>
    <mergeCell ref="S3:S4"/>
    <mergeCell ref="T3:T4"/>
    <mergeCell ref="AA3:AA4"/>
    <mergeCell ref="U3:U4"/>
    <mergeCell ref="X3:X4"/>
    <mergeCell ref="Y3:Y4"/>
    <mergeCell ref="Z3:Z4"/>
    <mergeCell ref="AX3:AX4"/>
    <mergeCell ref="N10:O10"/>
    <mergeCell ref="AN3:AN4"/>
    <mergeCell ref="AO3:AO4"/>
    <mergeCell ref="AP3:AP4"/>
    <mergeCell ref="AQ3:AQ4"/>
    <mergeCell ref="AR3:AR4"/>
    <mergeCell ref="AS3:AS4"/>
    <mergeCell ref="AH3:AH4"/>
    <mergeCell ref="AI3:AI4"/>
    <mergeCell ref="AJ3:AJ4"/>
    <mergeCell ref="AK3:AK4"/>
    <mergeCell ref="AL3:AL4"/>
    <mergeCell ref="AM3:AM4"/>
    <mergeCell ref="V3:V4"/>
    <mergeCell ref="W3:W4"/>
    <mergeCell ref="AT3:AT4"/>
    <mergeCell ref="AU3:AU4"/>
    <mergeCell ref="AV3:AV4"/>
    <mergeCell ref="AW3:AW4"/>
    <mergeCell ref="AD3:AD4"/>
    <mergeCell ref="AE3:AE4"/>
    <mergeCell ref="AF3:AF4"/>
    <mergeCell ref="AG3:AG4"/>
    <mergeCell ref="AF38:AF39"/>
    <mergeCell ref="O11:O12"/>
    <mergeCell ref="Q38:Q39"/>
    <mergeCell ref="R38:R39"/>
    <mergeCell ref="S38:S39"/>
    <mergeCell ref="T38:T39"/>
    <mergeCell ref="U38:U39"/>
    <mergeCell ref="AW38:AW39"/>
    <mergeCell ref="AX38:AX39"/>
    <mergeCell ref="AS38:AS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R38:AR39"/>
    <mergeCell ref="H43:I43"/>
    <mergeCell ref="H44:I44"/>
    <mergeCell ref="AT38:AT39"/>
    <mergeCell ref="AU38:AU39"/>
    <mergeCell ref="AV38:AV39"/>
    <mergeCell ref="AG38:AG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</mergeCells>
  <phoneticPr fontId="7"/>
  <dataValidations count="2">
    <dataValidation allowBlank="1" showErrorMessage="1" sqref="S3:S4 AJ3:AJ4 U3:U4 AD3:AD4 AB3:AB4 AF3:AF4 AH3:AH4 AL3:AL4 AX3:AX4 W3:W4 AN3:AN4 Y3:Y4 Z3" xr:uid="{EE986C79-D852-5049-9D44-D075688F7671}"/>
    <dataValidation type="list" allowBlank="1" showErrorMessage="1" sqref="R3:R4 AE3:AE4 T3:T4 V3:V4 AM3:AM4 AI3:AI4 AA3:AA4 AG3:AG4 AK3:AK4 X3:X4 AC3:AC4 AW3:AW4 AO3:AO4 AP3:AV3" xr:uid="{4F85CC6D-47E2-7E4E-8EC2-B0DEF013081F}">
      <formula1>名前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73F9-BC90-B448-9FAA-9A76017E7EDA}">
  <dimension ref="A1:AX59"/>
  <sheetViews>
    <sheetView topLeftCell="M1" zoomScale="75" workbookViewId="0">
      <selection activeCell="N30" sqref="N30"/>
    </sheetView>
  </sheetViews>
  <sheetFormatPr baseColWidth="10" defaultRowHeight="20"/>
  <cols>
    <col min="1" max="1" width="15.28515625" bestFit="1" customWidth="1"/>
    <col min="2" max="4" width="10.85546875" bestFit="1" customWidth="1"/>
    <col min="5" max="5" width="12.85546875" bestFit="1" customWidth="1"/>
    <col min="6" max="9" width="10.85546875" bestFit="1" customWidth="1"/>
    <col min="14" max="14" width="10.85546875" bestFit="1" customWidth="1"/>
    <col min="16" max="31" width="10.85546875" bestFit="1" customWidth="1"/>
    <col min="32" max="32" width="13.7109375" bestFit="1" customWidth="1"/>
    <col min="33" max="42" width="10.85546875" bestFit="1" customWidth="1"/>
    <col min="43" max="43" width="18.28515625" bestFit="1" customWidth="1"/>
    <col min="44" max="45" width="10.85546875" bestFit="1" customWidth="1"/>
  </cols>
  <sheetData>
    <row r="1" spans="1:50">
      <c r="A1" s="498">
        <v>2020</v>
      </c>
      <c r="B1" s="500">
        <v>12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139</v>
      </c>
      <c r="AA3" s="494">
        <v>0.3</v>
      </c>
      <c r="AB3" s="492" t="s">
        <v>120</v>
      </c>
      <c r="AC3" s="494">
        <v>0.3</v>
      </c>
      <c r="AD3" s="496" t="s">
        <v>252</v>
      </c>
      <c r="AE3" s="494">
        <v>0.3</v>
      </c>
      <c r="AF3" s="527" t="s">
        <v>240</v>
      </c>
      <c r="AG3" s="494">
        <v>0.3</v>
      </c>
      <c r="AH3" s="492" t="s">
        <v>248</v>
      </c>
      <c r="AI3" s="494">
        <v>0.3</v>
      </c>
      <c r="AJ3" s="496" t="s">
        <v>248</v>
      </c>
      <c r="AK3" s="494">
        <v>0.3</v>
      </c>
      <c r="AL3" s="496" t="s">
        <v>199</v>
      </c>
      <c r="AM3" s="523">
        <v>0.3</v>
      </c>
      <c r="AN3" s="496" t="s">
        <v>257</v>
      </c>
      <c r="AO3" s="520" t="s">
        <v>253</v>
      </c>
      <c r="AP3" s="520" t="s">
        <v>234</v>
      </c>
      <c r="AQ3" s="520" t="s">
        <v>260</v>
      </c>
      <c r="AR3" s="525" t="s">
        <v>262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44166</v>
      </c>
      <c r="B5" s="23"/>
      <c r="C5" s="23"/>
      <c r="D5" s="24">
        <f t="shared" ref="D5:D35" si="1">SUM(B5:C5)</f>
        <v>0</v>
      </c>
      <c r="E5" s="25"/>
      <c r="F5" s="26"/>
      <c r="G5" s="27"/>
      <c r="H5" s="216">
        <f t="shared" ref="H5:H35" si="2">SUM(E5:G5)</f>
        <v>0</v>
      </c>
      <c r="I5" s="27"/>
      <c r="J5" s="28"/>
      <c r="K5" s="29"/>
      <c r="L5" s="1"/>
      <c r="M5" s="1"/>
      <c r="N5" s="1"/>
      <c r="O5" s="1"/>
      <c r="P5" s="55">
        <v>44166</v>
      </c>
      <c r="Q5" s="35"/>
      <c r="R5" s="138"/>
      <c r="S5" s="139"/>
      <c r="T5" s="138"/>
      <c r="U5" s="190"/>
      <c r="V5" s="138"/>
      <c r="W5" s="141"/>
      <c r="X5" s="138"/>
      <c r="Y5" s="166"/>
      <c r="Z5" s="142"/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0</v>
      </c>
    </row>
    <row r="6" spans="1:50">
      <c r="A6" s="21">
        <f t="shared" si="0"/>
        <v>44167</v>
      </c>
      <c r="B6" s="38">
        <v>20000</v>
      </c>
      <c r="C6" s="23"/>
      <c r="D6" s="24">
        <f t="shared" si="1"/>
        <v>20000</v>
      </c>
      <c r="E6" s="40">
        <v>44769</v>
      </c>
      <c r="F6" s="35"/>
      <c r="G6" s="27"/>
      <c r="H6" s="216">
        <f t="shared" si="2"/>
        <v>44769</v>
      </c>
      <c r="I6" s="35"/>
      <c r="J6" s="41"/>
      <c r="K6" s="29"/>
      <c r="L6" s="1"/>
      <c r="M6" s="1"/>
      <c r="N6" s="1"/>
      <c r="O6" s="1"/>
      <c r="P6" s="55">
        <v>44167</v>
      </c>
      <c r="Q6" s="35"/>
      <c r="R6" s="138"/>
      <c r="S6" s="139"/>
      <c r="T6" s="138"/>
      <c r="U6" s="143">
        <v>8000</v>
      </c>
      <c r="V6" s="138"/>
      <c r="W6" s="147"/>
      <c r="X6" s="138"/>
      <c r="Y6" s="166"/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>
        <v>2000</v>
      </c>
      <c r="AO6" s="168">
        <v>10000</v>
      </c>
      <c r="AP6" s="158"/>
      <c r="AQ6" s="172"/>
      <c r="AR6" s="172"/>
      <c r="AS6" s="172"/>
      <c r="AT6" s="172"/>
      <c r="AU6" s="172"/>
      <c r="AV6" s="161"/>
      <c r="AW6" s="138"/>
      <c r="AX6" s="2">
        <f t="shared" ref="AX6:AX35" si="3">SUM(Q6:AW6)</f>
        <v>20000</v>
      </c>
    </row>
    <row r="7" spans="1:50">
      <c r="A7" s="21">
        <f t="shared" si="0"/>
        <v>44168</v>
      </c>
      <c r="B7" s="38">
        <v>5000</v>
      </c>
      <c r="C7" s="23"/>
      <c r="D7" s="24">
        <f t="shared" si="1"/>
        <v>5000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44168</v>
      </c>
      <c r="Q7" s="35"/>
      <c r="R7" s="138"/>
      <c r="S7" s="139"/>
      <c r="T7" s="138"/>
      <c r="U7" s="143">
        <v>2000</v>
      </c>
      <c r="V7" s="138"/>
      <c r="W7" s="147">
        <v>3000</v>
      </c>
      <c r="X7" s="138"/>
      <c r="Y7" s="166"/>
      <c r="Z7" s="142"/>
      <c r="AA7" s="138"/>
      <c r="AB7" s="139"/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si="3"/>
        <v>5000</v>
      </c>
    </row>
    <row r="8" spans="1:50">
      <c r="A8" s="21">
        <f t="shared" si="0"/>
        <v>44169</v>
      </c>
      <c r="B8" s="38">
        <v>60000</v>
      </c>
      <c r="C8" s="23"/>
      <c r="D8" s="24">
        <f t="shared" si="1"/>
        <v>60000</v>
      </c>
      <c r="E8" s="40">
        <v>2400</v>
      </c>
      <c r="F8" s="35"/>
      <c r="G8" s="27"/>
      <c r="H8" s="216">
        <f t="shared" si="2"/>
        <v>2400</v>
      </c>
      <c r="I8" s="35"/>
      <c r="J8" s="41"/>
      <c r="K8" s="29"/>
      <c r="L8" s="1"/>
      <c r="M8" s="1"/>
      <c r="N8" s="1"/>
      <c r="O8" s="1"/>
      <c r="P8" s="55">
        <v>44169</v>
      </c>
      <c r="Q8" s="35"/>
      <c r="R8" s="138"/>
      <c r="S8" s="139"/>
      <c r="T8" s="138"/>
      <c r="U8" s="143">
        <v>34000</v>
      </c>
      <c r="V8" s="138"/>
      <c r="W8" s="147">
        <v>4000</v>
      </c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>
        <v>22000</v>
      </c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60000</v>
      </c>
    </row>
    <row r="9" spans="1:50">
      <c r="A9" s="21">
        <f t="shared" si="0"/>
        <v>44170</v>
      </c>
      <c r="B9" s="38">
        <v>75000</v>
      </c>
      <c r="C9" s="23"/>
      <c r="D9" s="24">
        <f t="shared" si="1"/>
        <v>75000</v>
      </c>
      <c r="E9" s="40"/>
      <c r="F9" s="35"/>
      <c r="G9" s="27"/>
      <c r="H9" s="216">
        <f t="shared" si="2"/>
        <v>0</v>
      </c>
      <c r="I9" s="35"/>
      <c r="J9" s="41"/>
      <c r="K9" s="29"/>
      <c r="L9" s="1"/>
      <c r="M9" s="1"/>
      <c r="N9" s="1"/>
      <c r="O9" s="1"/>
      <c r="P9" s="55">
        <v>44170</v>
      </c>
      <c r="Q9" s="35"/>
      <c r="R9" s="138"/>
      <c r="S9" s="139"/>
      <c r="T9" s="138"/>
      <c r="U9" s="139">
        <v>17000</v>
      </c>
      <c r="V9" s="138"/>
      <c r="W9" s="152">
        <v>16000</v>
      </c>
      <c r="X9" s="138"/>
      <c r="Y9" s="138">
        <v>7000</v>
      </c>
      <c r="Z9" s="139">
        <v>24000</v>
      </c>
      <c r="AA9" s="138"/>
      <c r="AB9" s="139">
        <v>8000</v>
      </c>
      <c r="AC9" s="138"/>
      <c r="AD9" s="151"/>
      <c r="AE9" s="138"/>
      <c r="AF9" s="149"/>
      <c r="AG9" s="138"/>
      <c r="AH9" s="149"/>
      <c r="AI9" s="138"/>
      <c r="AJ9" s="149"/>
      <c r="AK9" s="138"/>
      <c r="AL9" s="149">
        <v>3000</v>
      </c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75000</v>
      </c>
    </row>
    <row r="10" spans="1:50">
      <c r="A10" s="21">
        <f t="shared" si="0"/>
        <v>44171</v>
      </c>
      <c r="B10" s="38">
        <v>15000</v>
      </c>
      <c r="C10" s="23">
        <v>16000</v>
      </c>
      <c r="D10" s="24">
        <f t="shared" si="1"/>
        <v>31000</v>
      </c>
      <c r="E10" s="40"/>
      <c r="F10" s="35"/>
      <c r="G10" s="27"/>
      <c r="H10" s="216">
        <f t="shared" si="2"/>
        <v>0</v>
      </c>
      <c r="I10" s="35"/>
      <c r="J10" s="41"/>
      <c r="K10" s="29"/>
      <c r="L10" s="1"/>
      <c r="M10" s="516" t="s">
        <v>26</v>
      </c>
      <c r="N10" s="517"/>
      <c r="O10" s="1"/>
      <c r="P10" s="55">
        <v>44171</v>
      </c>
      <c r="Q10" s="35"/>
      <c r="R10" s="138"/>
      <c r="S10" s="139"/>
      <c r="T10" s="138"/>
      <c r="U10" s="139">
        <v>31000</v>
      </c>
      <c r="V10" s="138"/>
      <c r="W10" s="139"/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31000</v>
      </c>
    </row>
    <row r="11" spans="1:50">
      <c r="A11" s="21">
        <f t="shared" si="0"/>
        <v>44172</v>
      </c>
      <c r="B11" s="38">
        <v>6000</v>
      </c>
      <c r="C11" s="23"/>
      <c r="D11" s="24">
        <f t="shared" si="1"/>
        <v>6000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95">
        <v>310000</v>
      </c>
      <c r="O11" s="1"/>
      <c r="P11" s="55">
        <v>44172</v>
      </c>
      <c r="Q11" s="35"/>
      <c r="R11" s="138"/>
      <c r="S11" s="139">
        <v>6000</v>
      </c>
      <c r="T11" s="138"/>
      <c r="U11" s="139"/>
      <c r="V11" s="138"/>
      <c r="W11" s="139"/>
      <c r="X11" s="138"/>
      <c r="Y11" s="138"/>
      <c r="Z11" s="139"/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6000</v>
      </c>
    </row>
    <row r="12" spans="1:50">
      <c r="A12" s="21">
        <f t="shared" si="0"/>
        <v>44173</v>
      </c>
      <c r="B12" s="38"/>
      <c r="C12" s="23"/>
      <c r="D12" s="24">
        <f t="shared" si="1"/>
        <v>0</v>
      </c>
      <c r="E12" s="40"/>
      <c r="F12" s="35"/>
      <c r="G12" s="27"/>
      <c r="H12" s="216">
        <f t="shared" si="2"/>
        <v>0</v>
      </c>
      <c r="I12" s="35"/>
      <c r="J12" s="41"/>
      <c r="K12" s="29"/>
      <c r="L12" s="1"/>
      <c r="M12" s="47" t="s">
        <v>28</v>
      </c>
      <c r="N12" s="596"/>
      <c r="O12" s="1"/>
      <c r="P12" s="55">
        <v>44173</v>
      </c>
      <c r="Q12" s="35"/>
      <c r="R12" s="138"/>
      <c r="S12" s="139"/>
      <c r="T12" s="138"/>
      <c r="U12" s="139"/>
      <c r="V12" s="138"/>
      <c r="W12" s="139"/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0</v>
      </c>
    </row>
    <row r="13" spans="1:50">
      <c r="A13" s="21">
        <f t="shared" si="0"/>
        <v>44174</v>
      </c>
      <c r="B13" s="38">
        <v>53000</v>
      </c>
      <c r="C13" s="23"/>
      <c r="D13" s="24">
        <f t="shared" si="1"/>
        <v>53000</v>
      </c>
      <c r="E13" s="40"/>
      <c r="F13" s="35"/>
      <c r="G13" s="27"/>
      <c r="H13" s="216">
        <f t="shared" si="2"/>
        <v>0</v>
      </c>
      <c r="I13" s="35"/>
      <c r="J13" s="41"/>
      <c r="K13" s="29"/>
      <c r="L13" s="1"/>
      <c r="M13" s="47" t="s">
        <v>29</v>
      </c>
      <c r="N13" s="333">
        <v>7000</v>
      </c>
      <c r="O13" s="1"/>
      <c r="P13" s="55">
        <v>44174</v>
      </c>
      <c r="Q13" s="35"/>
      <c r="R13" s="138"/>
      <c r="S13" s="139"/>
      <c r="T13" s="138"/>
      <c r="U13" s="139">
        <v>18000</v>
      </c>
      <c r="V13" s="138"/>
      <c r="W13" s="139">
        <v>15000</v>
      </c>
      <c r="X13" s="138"/>
      <c r="Y13" s="138"/>
      <c r="Z13" s="139"/>
      <c r="AA13" s="138"/>
      <c r="AB13" s="139"/>
      <c r="AC13" s="138"/>
      <c r="AD13" s="151">
        <v>20000</v>
      </c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53000</v>
      </c>
    </row>
    <row r="14" spans="1:50">
      <c r="A14" s="21">
        <f t="shared" si="0"/>
        <v>44175</v>
      </c>
      <c r="B14" s="38">
        <v>44000</v>
      </c>
      <c r="C14" s="23"/>
      <c r="D14" s="24">
        <f t="shared" si="1"/>
        <v>44000</v>
      </c>
      <c r="E14" s="40">
        <v>13932</v>
      </c>
      <c r="F14" s="44"/>
      <c r="G14" s="27"/>
      <c r="H14" s="216">
        <f t="shared" si="2"/>
        <v>13932</v>
      </c>
      <c r="I14" s="35"/>
      <c r="J14" s="41"/>
      <c r="K14" s="29"/>
      <c r="L14" s="1"/>
      <c r="M14" s="47" t="s">
        <v>30</v>
      </c>
      <c r="N14" s="333">
        <v>4000</v>
      </c>
      <c r="O14" s="1"/>
      <c r="P14" s="55">
        <v>44175</v>
      </c>
      <c r="Q14" s="35"/>
      <c r="R14" s="138"/>
      <c r="S14" s="139"/>
      <c r="T14" s="138"/>
      <c r="U14" s="139"/>
      <c r="V14" s="138"/>
      <c r="W14" s="139">
        <v>32000</v>
      </c>
      <c r="X14" s="138"/>
      <c r="Y14" s="138">
        <v>5000</v>
      </c>
      <c r="Z14" s="139">
        <v>7000</v>
      </c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44000</v>
      </c>
    </row>
    <row r="15" spans="1:50">
      <c r="A15" s="21">
        <f t="shared" si="0"/>
        <v>44176</v>
      </c>
      <c r="B15" s="38">
        <v>22000</v>
      </c>
      <c r="C15" s="23"/>
      <c r="D15" s="24">
        <f t="shared" si="1"/>
        <v>22000</v>
      </c>
      <c r="E15" s="40"/>
      <c r="F15" s="35"/>
      <c r="G15" s="27"/>
      <c r="H15" s="216">
        <f t="shared" si="2"/>
        <v>0</v>
      </c>
      <c r="I15" s="35"/>
      <c r="J15" s="41"/>
      <c r="K15" s="29"/>
      <c r="L15" s="1"/>
      <c r="M15" s="47" t="s">
        <v>31</v>
      </c>
      <c r="N15" s="333">
        <v>300000</v>
      </c>
      <c r="O15" s="1"/>
      <c r="P15" s="55">
        <v>44176</v>
      </c>
      <c r="Q15" s="35"/>
      <c r="R15" s="138"/>
      <c r="S15" s="139"/>
      <c r="T15" s="138"/>
      <c r="U15" s="139"/>
      <c r="V15" s="138"/>
      <c r="W15" s="139"/>
      <c r="X15" s="138"/>
      <c r="Y15" s="138">
        <v>15000</v>
      </c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>
        <v>7000</v>
      </c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22000</v>
      </c>
    </row>
    <row r="16" spans="1:50">
      <c r="A16" s="21">
        <f t="shared" si="0"/>
        <v>44177</v>
      </c>
      <c r="B16" s="38">
        <v>127000</v>
      </c>
      <c r="C16" s="23"/>
      <c r="D16" s="24">
        <f t="shared" si="1"/>
        <v>127000</v>
      </c>
      <c r="E16" s="299">
        <v>16162</v>
      </c>
      <c r="F16" s="35"/>
      <c r="G16" s="27"/>
      <c r="H16" s="216">
        <f t="shared" si="2"/>
        <v>16162</v>
      </c>
      <c r="I16" s="35"/>
      <c r="J16" s="41"/>
      <c r="K16" s="29"/>
      <c r="L16" s="1"/>
      <c r="M16" s="47" t="s">
        <v>32</v>
      </c>
      <c r="N16" s="333">
        <v>45000</v>
      </c>
      <c r="O16" s="1"/>
      <c r="P16" s="55">
        <v>44177</v>
      </c>
      <c r="Q16" s="35"/>
      <c r="R16" s="138"/>
      <c r="S16" s="139"/>
      <c r="T16" s="138"/>
      <c r="U16" s="139">
        <v>54000</v>
      </c>
      <c r="V16" s="138"/>
      <c r="W16" s="139">
        <v>15000</v>
      </c>
      <c r="X16" s="138"/>
      <c r="Y16" s="138"/>
      <c r="Z16" s="139">
        <v>25000</v>
      </c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>
        <v>25000</v>
      </c>
      <c r="AM16" s="138"/>
      <c r="AN16" s="138"/>
      <c r="AO16" s="159"/>
      <c r="AP16" s="160">
        <v>8000</v>
      </c>
      <c r="AQ16" s="168"/>
      <c r="AR16" s="158"/>
      <c r="AS16" s="158"/>
      <c r="AT16" s="158"/>
      <c r="AU16" s="158"/>
      <c r="AV16" s="145"/>
      <c r="AW16" s="138"/>
      <c r="AX16" s="2">
        <f t="shared" si="3"/>
        <v>127000</v>
      </c>
    </row>
    <row r="17" spans="1:50">
      <c r="A17" s="21">
        <f t="shared" si="0"/>
        <v>44178</v>
      </c>
      <c r="B17" s="38">
        <v>40000</v>
      </c>
      <c r="C17" s="23"/>
      <c r="D17" s="24">
        <f t="shared" si="1"/>
        <v>40000</v>
      </c>
      <c r="E17" s="40">
        <v>20565</v>
      </c>
      <c r="F17" s="35"/>
      <c r="G17" s="27"/>
      <c r="H17" s="216">
        <f t="shared" si="2"/>
        <v>20565</v>
      </c>
      <c r="I17" s="35"/>
      <c r="J17" s="41"/>
      <c r="K17" s="29"/>
      <c r="L17" s="1"/>
      <c r="M17" s="47"/>
      <c r="N17" s="35"/>
      <c r="O17" s="1"/>
      <c r="P17" s="55">
        <v>44178</v>
      </c>
      <c r="Q17" s="35"/>
      <c r="R17" s="138"/>
      <c r="S17" s="139"/>
      <c r="T17" s="138"/>
      <c r="U17" s="139">
        <v>10000</v>
      </c>
      <c r="V17" s="138"/>
      <c r="W17" s="139">
        <v>23000</v>
      </c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>
        <v>7000</v>
      </c>
      <c r="AR17" s="158"/>
      <c r="AS17" s="158"/>
      <c r="AT17" s="158"/>
      <c r="AU17" s="158"/>
      <c r="AV17" s="145"/>
      <c r="AW17" s="138"/>
      <c r="AX17" s="2">
        <f t="shared" si="3"/>
        <v>40000</v>
      </c>
    </row>
    <row r="18" spans="1:50">
      <c r="A18" s="21">
        <f t="shared" si="0"/>
        <v>44179</v>
      </c>
      <c r="B18" s="38">
        <v>5000</v>
      </c>
      <c r="C18" s="23"/>
      <c r="D18" s="24">
        <f t="shared" si="1"/>
        <v>5000</v>
      </c>
      <c r="E18" s="40"/>
      <c r="F18" s="35"/>
      <c r="G18" s="27"/>
      <c r="H18" s="216">
        <f t="shared" si="2"/>
        <v>0</v>
      </c>
      <c r="I18" s="35"/>
      <c r="J18" s="41"/>
      <c r="K18" s="29"/>
      <c r="L18" s="1"/>
      <c r="M18" s="47"/>
      <c r="N18" s="35"/>
      <c r="O18" s="1"/>
      <c r="P18" s="55">
        <v>44179</v>
      </c>
      <c r="Q18" s="35"/>
      <c r="R18" s="138"/>
      <c r="S18" s="139"/>
      <c r="T18" s="138"/>
      <c r="U18" s="139">
        <v>2000</v>
      </c>
      <c r="V18" s="138"/>
      <c r="W18" s="139"/>
      <c r="X18" s="138"/>
      <c r="Y18" s="138">
        <v>3000</v>
      </c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5000</v>
      </c>
    </row>
    <row r="19" spans="1:50">
      <c r="A19" s="21">
        <f t="shared" si="0"/>
        <v>44180</v>
      </c>
      <c r="B19" s="38"/>
      <c r="C19" s="23"/>
      <c r="D19" s="24">
        <f t="shared" si="1"/>
        <v>0</v>
      </c>
      <c r="E19" s="40"/>
      <c r="F19" s="35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666000</v>
      </c>
      <c r="O19" s="1"/>
      <c r="P19" s="55">
        <v>44180</v>
      </c>
      <c r="Q19" s="35"/>
      <c r="R19" s="138"/>
      <c r="S19" s="139"/>
      <c r="T19" s="138"/>
      <c r="U19" s="139"/>
      <c r="V19" s="138"/>
      <c r="W19" s="139"/>
      <c r="X19" s="138"/>
      <c r="Y19" s="138"/>
      <c r="Z19" s="139"/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0</v>
      </c>
    </row>
    <row r="20" spans="1:50">
      <c r="A20" s="21">
        <f t="shared" si="0"/>
        <v>44181</v>
      </c>
      <c r="B20" s="38"/>
      <c r="C20" s="38"/>
      <c r="D20" s="24">
        <f t="shared" si="1"/>
        <v>0</v>
      </c>
      <c r="E20" s="40"/>
      <c r="F20" s="35"/>
      <c r="G20" s="27"/>
      <c r="H20" s="216">
        <f t="shared" si="2"/>
        <v>0</v>
      </c>
      <c r="I20" s="35"/>
      <c r="J20" s="41"/>
      <c r="K20" s="29"/>
      <c r="L20" s="1"/>
      <c r="M20" s="51"/>
      <c r="N20" s="7"/>
      <c r="O20" s="1"/>
      <c r="P20" s="55">
        <v>44181</v>
      </c>
      <c r="Q20" s="35"/>
      <c r="R20" s="138"/>
      <c r="S20" s="139"/>
      <c r="T20" s="138"/>
      <c r="U20" s="139"/>
      <c r="V20" s="138"/>
      <c r="W20" s="139"/>
      <c r="X20" s="138"/>
      <c r="Y20" s="138"/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0</v>
      </c>
    </row>
    <row r="21" spans="1:50">
      <c r="A21" s="21">
        <f t="shared" si="0"/>
        <v>44182</v>
      </c>
      <c r="B21" s="38">
        <v>50000</v>
      </c>
      <c r="C21" s="38"/>
      <c r="D21" s="24">
        <f t="shared" si="1"/>
        <v>50000</v>
      </c>
      <c r="E21" s="40"/>
      <c r="F21" s="35"/>
      <c r="G21" s="27"/>
      <c r="H21" s="216">
        <f t="shared" si="2"/>
        <v>0</v>
      </c>
      <c r="I21" s="35"/>
      <c r="J21" s="41"/>
      <c r="K21" s="29"/>
      <c r="L21" s="1"/>
      <c r="M21" s="1"/>
      <c r="N21" s="1"/>
      <c r="O21" s="1"/>
      <c r="P21" s="55">
        <v>44182</v>
      </c>
      <c r="Q21" s="35"/>
      <c r="R21" s="138"/>
      <c r="S21" s="139"/>
      <c r="T21" s="138"/>
      <c r="U21" s="139"/>
      <c r="V21" s="138"/>
      <c r="W21" s="139">
        <v>50000</v>
      </c>
      <c r="X21" s="138"/>
      <c r="Y21" s="138"/>
      <c r="Z21" s="139"/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50000</v>
      </c>
    </row>
    <row r="22" spans="1:50">
      <c r="A22" s="21">
        <f t="shared" si="0"/>
        <v>44183</v>
      </c>
      <c r="B22" s="38">
        <v>78000</v>
      </c>
      <c r="C22" s="38">
        <v>65000</v>
      </c>
      <c r="D22" s="24">
        <f t="shared" si="1"/>
        <v>143000</v>
      </c>
      <c r="E22" s="40">
        <v>9940</v>
      </c>
      <c r="F22" s="35">
        <v>2187</v>
      </c>
      <c r="G22" s="27"/>
      <c r="H22" s="216">
        <f t="shared" si="2"/>
        <v>12127</v>
      </c>
      <c r="I22" s="35"/>
      <c r="J22" s="41"/>
      <c r="K22" s="29"/>
      <c r="L22" s="1"/>
      <c r="M22" s="1"/>
      <c r="N22" s="1"/>
      <c r="O22" s="1"/>
      <c r="P22" s="55">
        <v>44183</v>
      </c>
      <c r="Q22" s="35"/>
      <c r="R22" s="138"/>
      <c r="S22" s="139"/>
      <c r="T22" s="138"/>
      <c r="U22" s="139">
        <v>68000</v>
      </c>
      <c r="V22" s="138"/>
      <c r="W22" s="139"/>
      <c r="X22" s="138"/>
      <c r="Y22" s="375">
        <v>2000</v>
      </c>
      <c r="Z22" s="153">
        <v>68000</v>
      </c>
      <c r="AA22" s="138"/>
      <c r="AB22" s="139">
        <v>5000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143000</v>
      </c>
    </row>
    <row r="23" spans="1:50">
      <c r="A23" s="21">
        <f t="shared" si="0"/>
        <v>44184</v>
      </c>
      <c r="B23" s="38">
        <v>81000</v>
      </c>
      <c r="C23" s="38"/>
      <c r="D23" s="24">
        <f t="shared" si="1"/>
        <v>81000</v>
      </c>
      <c r="E23" s="40">
        <v>21220</v>
      </c>
      <c r="F23" s="35"/>
      <c r="G23" s="27"/>
      <c r="H23" s="216">
        <f t="shared" si="2"/>
        <v>21220</v>
      </c>
      <c r="I23" s="35"/>
      <c r="J23" s="41"/>
      <c r="K23" s="29"/>
      <c r="L23" s="1"/>
      <c r="M23" s="1"/>
      <c r="N23" s="1"/>
      <c r="O23" s="1"/>
      <c r="P23" s="55">
        <v>44184</v>
      </c>
      <c r="Q23" s="35"/>
      <c r="R23" s="138"/>
      <c r="S23" s="139"/>
      <c r="T23" s="138"/>
      <c r="U23" s="139">
        <v>30000</v>
      </c>
      <c r="V23" s="138"/>
      <c r="W23" s="139">
        <v>41000</v>
      </c>
      <c r="X23" s="138"/>
      <c r="Y23" s="138">
        <v>3000</v>
      </c>
      <c r="Z23" s="139"/>
      <c r="AA23" s="138"/>
      <c r="AB23" s="139"/>
      <c r="AC23" s="138"/>
      <c r="AD23" s="151">
        <v>7000</v>
      </c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81000</v>
      </c>
    </row>
    <row r="24" spans="1:50">
      <c r="A24" s="21">
        <f t="shared" si="0"/>
        <v>44185</v>
      </c>
      <c r="B24" s="38">
        <v>20000</v>
      </c>
      <c r="C24" s="38">
        <v>101000</v>
      </c>
      <c r="D24" s="24">
        <f t="shared" si="1"/>
        <v>121000</v>
      </c>
      <c r="E24" s="40">
        <v>6204</v>
      </c>
      <c r="F24" s="35"/>
      <c r="G24" s="27"/>
      <c r="H24" s="216">
        <f t="shared" si="2"/>
        <v>6204</v>
      </c>
      <c r="I24" s="35"/>
      <c r="J24" s="41"/>
      <c r="K24" s="29"/>
      <c r="L24" s="1"/>
      <c r="M24" s="53" t="s">
        <v>34</v>
      </c>
      <c r="N24" s="38">
        <f>D37</f>
        <v>1590000</v>
      </c>
      <c r="O24" s="1"/>
      <c r="P24" s="55">
        <v>44185</v>
      </c>
      <c r="Q24" s="35"/>
      <c r="R24" s="138"/>
      <c r="S24" s="139"/>
      <c r="T24" s="138"/>
      <c r="U24" s="139">
        <v>90000</v>
      </c>
      <c r="V24" s="138"/>
      <c r="W24" s="139">
        <v>5000</v>
      </c>
      <c r="X24" s="138"/>
      <c r="Y24" s="138"/>
      <c r="Z24" s="139"/>
      <c r="AA24" s="138"/>
      <c r="AB24" s="139"/>
      <c r="AC24" s="138"/>
      <c r="AD24" s="151">
        <v>26000</v>
      </c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121000</v>
      </c>
    </row>
    <row r="25" spans="1:50">
      <c r="A25" s="21">
        <f t="shared" si="0"/>
        <v>44186</v>
      </c>
      <c r="B25" s="38">
        <v>10000</v>
      </c>
      <c r="C25" s="38"/>
      <c r="D25" s="24">
        <f t="shared" si="1"/>
        <v>10000</v>
      </c>
      <c r="E25" s="40">
        <v>1080</v>
      </c>
      <c r="F25" s="35"/>
      <c r="G25" s="27"/>
      <c r="H25" s="216">
        <f t="shared" si="2"/>
        <v>1080</v>
      </c>
      <c r="I25" s="35"/>
      <c r="J25" s="41"/>
      <c r="K25" s="29"/>
      <c r="L25" s="1"/>
      <c r="M25" s="53" t="s">
        <v>35</v>
      </c>
      <c r="N25" s="38">
        <f>H37</f>
        <v>217303</v>
      </c>
      <c r="O25" s="1"/>
      <c r="P25" s="55">
        <v>44186</v>
      </c>
      <c r="Q25" s="35"/>
      <c r="R25" s="138"/>
      <c r="S25" s="139"/>
      <c r="T25" s="138"/>
      <c r="U25" s="139"/>
      <c r="V25" s="138"/>
      <c r="W25" s="139">
        <v>4000</v>
      </c>
      <c r="X25" s="138"/>
      <c r="Y25" s="138">
        <v>6000</v>
      </c>
      <c r="Z25" s="139"/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10000</v>
      </c>
    </row>
    <row r="26" spans="1:50">
      <c r="A26" s="21">
        <f t="shared" si="0"/>
        <v>44187</v>
      </c>
      <c r="B26" s="38"/>
      <c r="C26" s="38"/>
      <c r="D26" s="24">
        <f t="shared" si="1"/>
        <v>0</v>
      </c>
      <c r="E26" s="40"/>
      <c r="F26" s="35"/>
      <c r="G26" s="27"/>
      <c r="H26" s="216">
        <f t="shared" si="2"/>
        <v>0</v>
      </c>
      <c r="I26" s="35"/>
      <c r="J26" s="41"/>
      <c r="K26" s="29"/>
      <c r="L26" s="1"/>
      <c r="M26" s="53" t="s">
        <v>36</v>
      </c>
      <c r="N26" s="38">
        <f>N19</f>
        <v>666000</v>
      </c>
      <c r="O26" s="1"/>
      <c r="P26" s="55">
        <v>44187</v>
      </c>
      <c r="Q26" s="35"/>
      <c r="R26" s="138"/>
      <c r="S26" s="139"/>
      <c r="T26" s="138"/>
      <c r="U26" s="139"/>
      <c r="V26" s="138"/>
      <c r="W26" s="139"/>
      <c r="X26" s="138"/>
      <c r="Y26" s="138"/>
      <c r="Z26" s="139"/>
      <c r="AA26" s="138"/>
      <c r="AB26" s="139"/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0</v>
      </c>
    </row>
    <row r="27" spans="1:50">
      <c r="A27" s="21">
        <f t="shared" si="0"/>
        <v>44188</v>
      </c>
      <c r="B27" s="38">
        <v>20000</v>
      </c>
      <c r="C27" s="38"/>
      <c r="D27" s="24">
        <f t="shared" si="1"/>
        <v>20000</v>
      </c>
      <c r="E27" s="40">
        <v>2720</v>
      </c>
      <c r="F27" s="35"/>
      <c r="G27" s="27"/>
      <c r="H27" s="216">
        <f t="shared" si="2"/>
        <v>2720</v>
      </c>
      <c r="I27" s="35"/>
      <c r="J27" s="41"/>
      <c r="K27" s="29"/>
      <c r="L27" s="1"/>
      <c r="M27" s="60" t="s">
        <v>37</v>
      </c>
      <c r="N27" s="61">
        <f>IFERROR(N24-N25-N26, "")</f>
        <v>706697</v>
      </c>
      <c r="O27" s="1"/>
      <c r="P27" s="55">
        <v>44188</v>
      </c>
      <c r="Q27" s="35"/>
      <c r="R27" s="138"/>
      <c r="S27" s="139">
        <v>12000</v>
      </c>
      <c r="T27" s="138"/>
      <c r="U27" s="139"/>
      <c r="V27" s="138"/>
      <c r="W27" s="139"/>
      <c r="X27" s="138"/>
      <c r="Y27" s="138">
        <v>8000</v>
      </c>
      <c r="Z27" s="139"/>
      <c r="AA27" s="138"/>
      <c r="AB27" s="139"/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20000</v>
      </c>
    </row>
    <row r="28" spans="1:50">
      <c r="A28" s="21">
        <f t="shared" si="0"/>
        <v>44189</v>
      </c>
      <c r="B28" s="38">
        <v>24000</v>
      </c>
      <c r="C28" s="38"/>
      <c r="D28" s="24">
        <f t="shared" si="1"/>
        <v>24000</v>
      </c>
      <c r="E28" s="299">
        <f>10621+2502</f>
        <v>13123</v>
      </c>
      <c r="F28" s="35">
        <f>5827+968+570+110</f>
        <v>7475</v>
      </c>
      <c r="G28" s="27"/>
      <c r="H28" s="216">
        <f t="shared" si="2"/>
        <v>20598</v>
      </c>
      <c r="I28" s="35"/>
      <c r="J28" s="41"/>
      <c r="K28" s="29"/>
      <c r="L28" s="1"/>
      <c r="M28" s="1"/>
      <c r="N28" s="1"/>
      <c r="O28" s="1"/>
      <c r="P28" s="55">
        <v>44189</v>
      </c>
      <c r="Q28" s="35"/>
      <c r="R28" s="138"/>
      <c r="S28" s="139"/>
      <c r="T28" s="138"/>
      <c r="U28" s="139">
        <v>3000</v>
      </c>
      <c r="V28" s="138"/>
      <c r="W28" s="139">
        <v>1000</v>
      </c>
      <c r="X28" s="138"/>
      <c r="Y28" s="138"/>
      <c r="Z28" s="139"/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4000</v>
      </c>
    </row>
    <row r="29" spans="1:50">
      <c r="A29" s="21">
        <f t="shared" si="0"/>
        <v>44190</v>
      </c>
      <c r="B29" s="38">
        <v>98000</v>
      </c>
      <c r="C29" s="38"/>
      <c r="D29" s="24">
        <f t="shared" si="1"/>
        <v>98000</v>
      </c>
      <c r="E29" s="40"/>
      <c r="F29" s="35"/>
      <c r="G29" s="27"/>
      <c r="H29" s="216">
        <f t="shared" si="2"/>
        <v>0</v>
      </c>
      <c r="I29" s="35"/>
      <c r="J29" s="41"/>
      <c r="K29" s="29"/>
      <c r="L29" s="1"/>
      <c r="M29" s="1"/>
      <c r="N29" s="91"/>
      <c r="O29" s="1"/>
      <c r="P29" s="55">
        <v>44190</v>
      </c>
      <c r="Q29" s="35"/>
      <c r="R29" s="138"/>
      <c r="S29" s="139"/>
      <c r="T29" s="138"/>
      <c r="U29" s="139">
        <v>3000</v>
      </c>
      <c r="V29" s="138"/>
      <c r="W29" s="139">
        <v>3000</v>
      </c>
      <c r="X29" s="138"/>
      <c r="Y29" s="138"/>
      <c r="Z29" s="139"/>
      <c r="AA29" s="138"/>
      <c r="AB29" s="139"/>
      <c r="AC29" s="138"/>
      <c r="AD29" s="151">
        <v>30000</v>
      </c>
      <c r="AE29" s="138"/>
      <c r="AF29" s="149">
        <v>10000</v>
      </c>
      <c r="AG29" s="138"/>
      <c r="AH29" s="149"/>
      <c r="AI29" s="138"/>
      <c r="AJ29" s="149"/>
      <c r="AK29" s="138"/>
      <c r="AL29" s="149">
        <v>10000</v>
      </c>
      <c r="AM29" s="138"/>
      <c r="AN29" s="138"/>
      <c r="AO29" s="138"/>
      <c r="AP29" s="138"/>
      <c r="AQ29" s="138"/>
      <c r="AR29" s="138">
        <v>10000</v>
      </c>
      <c r="AS29" s="138"/>
      <c r="AT29" s="138"/>
      <c r="AU29" s="138"/>
      <c r="AV29" s="149"/>
      <c r="AW29" s="138"/>
      <c r="AX29" s="2">
        <f t="shared" si="3"/>
        <v>66000</v>
      </c>
    </row>
    <row r="30" spans="1:50">
      <c r="A30" s="21">
        <f t="shared" si="0"/>
        <v>44191</v>
      </c>
      <c r="B30" s="38">
        <v>10000</v>
      </c>
      <c r="C30" s="38"/>
      <c r="D30" s="24">
        <f t="shared" si="1"/>
        <v>10000</v>
      </c>
      <c r="E30" s="40"/>
      <c r="F30" s="35"/>
      <c r="G30" s="27"/>
      <c r="H30" s="216">
        <f t="shared" si="2"/>
        <v>0</v>
      </c>
      <c r="I30" s="35"/>
      <c r="J30" s="41"/>
      <c r="K30" s="29"/>
      <c r="L30" s="1"/>
      <c r="M30" s="1"/>
      <c r="N30" s="1"/>
      <c r="O30" s="1"/>
      <c r="P30" s="55">
        <v>44191</v>
      </c>
      <c r="Q30" s="35"/>
      <c r="R30" s="138"/>
      <c r="S30" s="139"/>
      <c r="T30" s="138"/>
      <c r="U30" s="139">
        <v>10000</v>
      </c>
      <c r="V30" s="138"/>
      <c r="W30" s="139"/>
      <c r="X30" s="138"/>
      <c r="Y30" s="138"/>
      <c r="Z30" s="139"/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10000</v>
      </c>
    </row>
    <row r="31" spans="1:50">
      <c r="A31" s="21">
        <f t="shared" si="0"/>
        <v>44192</v>
      </c>
      <c r="B31" s="38">
        <v>76500</v>
      </c>
      <c r="C31" s="38">
        <v>34000</v>
      </c>
      <c r="D31" s="24">
        <f t="shared" si="1"/>
        <v>110500</v>
      </c>
      <c r="E31" s="40">
        <v>17147</v>
      </c>
      <c r="F31" s="35">
        <v>2462</v>
      </c>
      <c r="G31" s="27"/>
      <c r="H31" s="216">
        <f t="shared" si="2"/>
        <v>19609</v>
      </c>
      <c r="I31" s="35"/>
      <c r="J31" s="41"/>
      <c r="K31" s="29"/>
      <c r="L31" s="1"/>
      <c r="M31" s="1"/>
      <c r="N31" s="1"/>
      <c r="O31" s="1"/>
      <c r="P31" s="55">
        <v>44192</v>
      </c>
      <c r="Q31" s="35"/>
      <c r="R31" s="138"/>
      <c r="S31" s="139"/>
      <c r="T31" s="138"/>
      <c r="U31" s="139"/>
      <c r="V31" s="138"/>
      <c r="W31" s="139">
        <v>30000</v>
      </c>
      <c r="X31" s="138"/>
      <c r="Y31" s="138"/>
      <c r="Z31" s="139"/>
      <c r="AA31" s="138"/>
      <c r="AB31" s="139"/>
      <c r="AC31" s="138"/>
      <c r="AD31" s="151">
        <v>8000</v>
      </c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>
        <v>34000</v>
      </c>
      <c r="AS31" s="138"/>
      <c r="AT31" s="138"/>
      <c r="AU31" s="138"/>
      <c r="AV31" s="149"/>
      <c r="AW31" s="138"/>
      <c r="AX31" s="2">
        <f t="shared" si="3"/>
        <v>72000</v>
      </c>
    </row>
    <row r="32" spans="1:50">
      <c r="A32" s="21">
        <f t="shared" si="0"/>
        <v>44193</v>
      </c>
      <c r="B32" s="38">
        <v>106000</v>
      </c>
      <c r="C32" s="38">
        <v>101000</v>
      </c>
      <c r="D32" s="24">
        <f t="shared" si="1"/>
        <v>207000</v>
      </c>
      <c r="E32" s="40">
        <f>2420+2822</f>
        <v>5242</v>
      </c>
      <c r="F32" s="35"/>
      <c r="G32" s="27"/>
      <c r="H32" s="216">
        <f t="shared" si="2"/>
        <v>5242</v>
      </c>
      <c r="I32" s="35"/>
      <c r="J32" s="41"/>
      <c r="K32" s="29"/>
      <c r="L32" s="1"/>
      <c r="M32" s="1"/>
      <c r="N32" s="1"/>
      <c r="O32" s="1"/>
      <c r="P32" s="55">
        <v>44193</v>
      </c>
      <c r="Q32" s="35"/>
      <c r="R32" s="138"/>
      <c r="S32" s="139"/>
      <c r="T32" s="138"/>
      <c r="U32" s="139">
        <v>30000</v>
      </c>
      <c r="V32" s="138">
        <v>50000</v>
      </c>
      <c r="W32" s="139">
        <v>77000</v>
      </c>
      <c r="X32" s="138"/>
      <c r="Y32" s="138"/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>
        <v>5000</v>
      </c>
      <c r="AM32" s="138"/>
      <c r="AN32" s="138"/>
      <c r="AO32" s="138"/>
      <c r="AP32" s="138"/>
      <c r="AQ32" s="138"/>
      <c r="AR32" s="138">
        <v>48000</v>
      </c>
      <c r="AS32" s="138"/>
      <c r="AT32" s="138"/>
      <c r="AU32" s="138"/>
      <c r="AV32" s="149"/>
      <c r="AW32" s="138"/>
      <c r="AX32" s="2">
        <f t="shared" si="3"/>
        <v>210000</v>
      </c>
    </row>
    <row r="33" spans="1:50">
      <c r="A33" s="21">
        <f t="shared" si="0"/>
        <v>44194</v>
      </c>
      <c r="B33" s="38"/>
      <c r="C33" s="38"/>
      <c r="D33" s="24">
        <f t="shared" si="1"/>
        <v>0</v>
      </c>
      <c r="E33" s="40"/>
      <c r="F33" s="35">
        <v>999</v>
      </c>
      <c r="G33" s="27"/>
      <c r="H33" s="216">
        <f t="shared" si="2"/>
        <v>999</v>
      </c>
      <c r="I33" s="35"/>
      <c r="J33" s="41"/>
      <c r="K33" s="29"/>
      <c r="L33" s="1"/>
      <c r="M33" s="1"/>
      <c r="N33" s="1"/>
      <c r="O33" s="1"/>
      <c r="P33" s="55">
        <v>44194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0</v>
      </c>
    </row>
    <row r="34" spans="1:50">
      <c r="A34" s="21">
        <f t="shared" si="0"/>
        <v>44195</v>
      </c>
      <c r="B34" s="38">
        <v>20500</v>
      </c>
      <c r="C34" s="38">
        <v>25000</v>
      </c>
      <c r="D34" s="24">
        <f t="shared" si="1"/>
        <v>45500</v>
      </c>
      <c r="E34" s="40">
        <v>8400</v>
      </c>
      <c r="F34" s="35"/>
      <c r="G34" s="27"/>
      <c r="H34" s="216">
        <f t="shared" si="2"/>
        <v>8400</v>
      </c>
      <c r="I34" s="35"/>
      <c r="J34" s="41"/>
      <c r="K34" s="29"/>
      <c r="L34" s="1"/>
      <c r="M34" s="1"/>
      <c r="N34" s="1"/>
      <c r="O34" s="1"/>
      <c r="P34" s="55">
        <v>44195</v>
      </c>
      <c r="Q34" s="137"/>
      <c r="R34" s="154"/>
      <c r="S34" s="155"/>
      <c r="T34" s="154"/>
      <c r="U34" s="155">
        <v>30000</v>
      </c>
      <c r="V34" s="154"/>
      <c r="W34" s="155"/>
      <c r="X34" s="154"/>
      <c r="Y34" s="154">
        <v>2000</v>
      </c>
      <c r="Z34" s="155"/>
      <c r="AA34" s="154"/>
      <c r="AB34" s="155"/>
      <c r="AC34" s="154"/>
      <c r="AD34" s="156">
        <v>10500</v>
      </c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42500</v>
      </c>
    </row>
    <row r="35" spans="1:50" ht="21" thickBot="1">
      <c r="A35" s="21">
        <f t="shared" si="0"/>
        <v>44196</v>
      </c>
      <c r="B35" s="38">
        <v>135000</v>
      </c>
      <c r="C35" s="38">
        <v>47000</v>
      </c>
      <c r="D35" s="24">
        <f t="shared" si="1"/>
        <v>182000</v>
      </c>
      <c r="E35" s="299">
        <f>10840+3490</f>
        <v>14330</v>
      </c>
      <c r="F35" s="35">
        <f>1248+5000+698</f>
        <v>6946</v>
      </c>
      <c r="G35" s="27"/>
      <c r="H35" s="216">
        <f t="shared" si="2"/>
        <v>21276</v>
      </c>
      <c r="I35" s="57"/>
      <c r="J35" s="58"/>
      <c r="K35" s="59"/>
      <c r="L35" s="1"/>
      <c r="M35" s="1"/>
      <c r="N35" s="1"/>
      <c r="O35" s="1"/>
      <c r="P35" s="55">
        <v>44196</v>
      </c>
      <c r="Q35" s="115"/>
      <c r="R35" s="158"/>
      <c r="S35" s="147"/>
      <c r="T35" s="158"/>
      <c r="U35" s="147">
        <v>128000</v>
      </c>
      <c r="V35" s="158"/>
      <c r="W35" s="147">
        <v>5000</v>
      </c>
      <c r="X35" s="158"/>
      <c r="Y35" s="158"/>
      <c r="Z35" s="147">
        <v>17000</v>
      </c>
      <c r="AA35" s="158"/>
      <c r="AB35" s="147"/>
      <c r="AC35" s="158"/>
      <c r="AD35" s="147">
        <v>20000</v>
      </c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>
        <v>12000</v>
      </c>
      <c r="AS35" s="158"/>
      <c r="AT35" s="158"/>
      <c r="AU35" s="158"/>
      <c r="AV35" s="147"/>
      <c r="AW35" s="158"/>
      <c r="AX35" s="2">
        <f t="shared" si="3"/>
        <v>182000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264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X36" si="4">SUM(Q5:Q35)</f>
        <v>0</v>
      </c>
      <c r="R36" s="115">
        <f t="shared" si="4"/>
        <v>0</v>
      </c>
      <c r="S36" s="115">
        <f t="shared" si="4"/>
        <v>18000</v>
      </c>
      <c r="T36" s="115">
        <f t="shared" si="4"/>
        <v>0</v>
      </c>
      <c r="U36" s="115">
        <f t="shared" si="4"/>
        <v>568000</v>
      </c>
      <c r="V36" s="115">
        <f t="shared" si="4"/>
        <v>50000</v>
      </c>
      <c r="W36" s="115">
        <f t="shared" si="4"/>
        <v>324000</v>
      </c>
      <c r="X36" s="115">
        <f t="shared" si="4"/>
        <v>0</v>
      </c>
      <c r="Y36" s="115">
        <f t="shared" si="4"/>
        <v>51000</v>
      </c>
      <c r="Z36" s="115">
        <f t="shared" si="4"/>
        <v>141000</v>
      </c>
      <c r="AA36" s="115">
        <f t="shared" si="4"/>
        <v>0</v>
      </c>
      <c r="AB36" s="115">
        <f t="shared" si="4"/>
        <v>13000</v>
      </c>
      <c r="AC36" s="115">
        <f t="shared" si="4"/>
        <v>0</v>
      </c>
      <c r="AD36" s="115">
        <f t="shared" si="4"/>
        <v>121500</v>
      </c>
      <c r="AE36" s="115">
        <f t="shared" si="4"/>
        <v>0</v>
      </c>
      <c r="AF36" s="115">
        <f t="shared" si="4"/>
        <v>10000</v>
      </c>
      <c r="AG36" s="115">
        <f t="shared" si="4"/>
        <v>0</v>
      </c>
      <c r="AH36" s="115">
        <f t="shared" si="4"/>
        <v>0</v>
      </c>
      <c r="AI36" s="115">
        <f t="shared" si="4"/>
        <v>0</v>
      </c>
      <c r="AJ36" s="115">
        <f t="shared" si="4"/>
        <v>0</v>
      </c>
      <c r="AK36" s="115">
        <f t="shared" si="4"/>
        <v>0</v>
      </c>
      <c r="AL36" s="115">
        <f t="shared" si="4"/>
        <v>72000</v>
      </c>
      <c r="AM36" s="115">
        <f t="shared" si="4"/>
        <v>0</v>
      </c>
      <c r="AN36" s="115">
        <f t="shared" si="4"/>
        <v>2000</v>
      </c>
      <c r="AO36" s="115">
        <f t="shared" si="4"/>
        <v>10000</v>
      </c>
      <c r="AP36" s="115">
        <f t="shared" si="4"/>
        <v>8000</v>
      </c>
      <c r="AQ36" s="115">
        <f t="shared" si="4"/>
        <v>7000</v>
      </c>
      <c r="AR36" s="115">
        <f t="shared" si="4"/>
        <v>104000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4"/>
        <v>1499500</v>
      </c>
    </row>
    <row r="37" spans="1:50" ht="22" thickTop="1" thickBot="1">
      <c r="A37" s="81" t="s">
        <v>33</v>
      </c>
      <c r="B37" s="82">
        <f t="shared" ref="B37:I37" si="5">SUM(B5:B35)</f>
        <v>1201000</v>
      </c>
      <c r="C37" s="82">
        <f t="shared" si="5"/>
        <v>389000</v>
      </c>
      <c r="D37" s="82">
        <f t="shared" si="5"/>
        <v>1590000</v>
      </c>
      <c r="E37" s="83">
        <f t="shared" si="5"/>
        <v>197234</v>
      </c>
      <c r="F37" s="84">
        <f t="shared" si="5"/>
        <v>20069</v>
      </c>
      <c r="G37" s="84">
        <f t="shared" si="5"/>
        <v>0</v>
      </c>
      <c r="H37" s="132">
        <f t="shared" si="5"/>
        <v>217303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6300</v>
      </c>
      <c r="T38" s="544">
        <f>T36*0.3</f>
        <v>0</v>
      </c>
      <c r="U38" s="532">
        <f>U36*0.35</f>
        <v>198800</v>
      </c>
      <c r="V38" s="532">
        <f>V36*0.3</f>
        <v>15000</v>
      </c>
      <c r="W38" s="534">
        <f>W36*0.35</f>
        <v>113400</v>
      </c>
      <c r="X38" s="534">
        <f>X36*0.3</f>
        <v>0</v>
      </c>
      <c r="Y38" s="538">
        <f>Y36</f>
        <v>51000</v>
      </c>
      <c r="Z38" s="536">
        <f>Z36*0.35</f>
        <v>49350</v>
      </c>
      <c r="AA38" s="530">
        <f>AA36*0.3</f>
        <v>0</v>
      </c>
      <c r="AB38" s="530">
        <f>AB36*0.35</f>
        <v>4550</v>
      </c>
      <c r="AC38" s="530">
        <f>AC36*0.3</f>
        <v>0</v>
      </c>
      <c r="AD38" s="530">
        <f>AD36*0.35</f>
        <v>42525</v>
      </c>
      <c r="AE38" s="530">
        <f>AE36*0.3</f>
        <v>0</v>
      </c>
      <c r="AF38" s="530">
        <f>AF36*0.35</f>
        <v>3500</v>
      </c>
      <c r="AG38" s="530">
        <f>AG36*0.3</f>
        <v>0</v>
      </c>
      <c r="AH38" s="530">
        <f>AH36*0.35</f>
        <v>0</v>
      </c>
      <c r="AI38" s="530">
        <f>AI36*0.3</f>
        <v>0</v>
      </c>
      <c r="AJ38" s="530">
        <f>AJ36*0.35</f>
        <v>0</v>
      </c>
      <c r="AK38" s="530">
        <f>AK36*0.3</f>
        <v>0</v>
      </c>
      <c r="AL38" s="530">
        <f>AL36*0.35</f>
        <v>25200</v>
      </c>
      <c r="AM38" s="530">
        <f>AM36*0.3</f>
        <v>0</v>
      </c>
      <c r="AN38" s="536">
        <f t="shared" ref="AN38:AV38" si="6">AN36*0.35</f>
        <v>700</v>
      </c>
      <c r="AO38" s="530">
        <f t="shared" si="6"/>
        <v>3500</v>
      </c>
      <c r="AP38" s="530">
        <f t="shared" si="6"/>
        <v>2800</v>
      </c>
      <c r="AQ38" s="530">
        <f t="shared" si="6"/>
        <v>2450</v>
      </c>
      <c r="AR38" s="530">
        <f t="shared" si="6"/>
        <v>36400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594">
        <f>SUM(Q38:AW39)</f>
        <v>555475</v>
      </c>
    </row>
    <row r="39" spans="1:50">
      <c r="A39" s="367" t="s">
        <v>244</v>
      </c>
      <c r="B39" s="367" t="s">
        <v>245</v>
      </c>
      <c r="C39" s="1"/>
      <c r="D39" s="1"/>
      <c r="E39" s="2"/>
      <c r="F39" s="2"/>
      <c r="G39" s="378" t="s">
        <v>249</v>
      </c>
      <c r="H39" s="135">
        <f>B48-H6-2588-H17-F22-E24-10621-F28-H31-F35-F33</f>
        <v>37</v>
      </c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594"/>
    </row>
    <row r="40" spans="1:50">
      <c r="A40" s="306">
        <v>44169</v>
      </c>
      <c r="B40" s="135">
        <v>45000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306">
        <v>44175</v>
      </c>
      <c r="B41" s="135">
        <v>3000</v>
      </c>
      <c r="C41" s="1"/>
      <c r="D41" s="1"/>
      <c r="E41" s="1"/>
      <c r="F41" s="1"/>
      <c r="G41" s="181" t="s">
        <v>259</v>
      </c>
      <c r="H41" s="91">
        <f>B37-B48</f>
        <v>1079000</v>
      </c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306">
        <v>44178</v>
      </c>
      <c r="B42" s="135">
        <v>20000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306">
        <v>44183</v>
      </c>
      <c r="B43" s="135">
        <v>3000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306">
        <v>44185</v>
      </c>
      <c r="B44" s="135">
        <v>7000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s="1" customFormat="1">
      <c r="A45" s="306">
        <v>44186</v>
      </c>
      <c r="B45" s="135">
        <v>17000</v>
      </c>
    </row>
    <row r="46" spans="1:50">
      <c r="A46" s="390">
        <v>44192</v>
      </c>
      <c r="B46" s="135">
        <v>20000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s="1" customFormat="1">
      <c r="A47" s="390">
        <v>44561</v>
      </c>
      <c r="B47" s="135">
        <v>7000</v>
      </c>
    </row>
    <row r="48" spans="1:50">
      <c r="A48" s="296" t="s">
        <v>246</v>
      </c>
      <c r="B48" s="135">
        <f>SUM(B40:B47)</f>
        <v>122000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381"/>
      <c r="F49" s="1"/>
      <c r="G49" s="38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</sheetData>
  <mergeCells count="78">
    <mergeCell ref="I3:I4"/>
    <mergeCell ref="J3:J4"/>
    <mergeCell ref="A1:A2"/>
    <mergeCell ref="B1:B2"/>
    <mergeCell ref="A3:A4"/>
    <mergeCell ref="B3:D3"/>
    <mergeCell ref="E3:H3"/>
    <mergeCell ref="AW3:AW4"/>
    <mergeCell ref="AT3:AT4"/>
    <mergeCell ref="AK3:AK4"/>
    <mergeCell ref="AL3:AL4"/>
    <mergeCell ref="AM3:AM4"/>
    <mergeCell ref="AN3:AN4"/>
    <mergeCell ref="AQ3:AQ4"/>
    <mergeCell ref="AR3:AR4"/>
    <mergeCell ref="AS3:AS4"/>
    <mergeCell ref="AG3:AG4"/>
    <mergeCell ref="M10:N10"/>
    <mergeCell ref="N11:N12"/>
    <mergeCell ref="AU3:AU4"/>
    <mergeCell ref="AV3:AV4"/>
    <mergeCell ref="P3:P4"/>
    <mergeCell ref="Q3:Q4"/>
    <mergeCell ref="R3:R4"/>
    <mergeCell ref="S3:S4"/>
    <mergeCell ref="T3:T4"/>
    <mergeCell ref="U3:U4"/>
    <mergeCell ref="AH3:AH4"/>
    <mergeCell ref="AI3:AI4"/>
    <mergeCell ref="AJ3:AJ4"/>
    <mergeCell ref="AO3:AO4"/>
    <mergeCell ref="AP3:AP4"/>
    <mergeCell ref="Z38:Z39"/>
    <mergeCell ref="AD3:AD4"/>
    <mergeCell ref="AE3:AE4"/>
    <mergeCell ref="AF3:AF4"/>
    <mergeCell ref="V3:V4"/>
    <mergeCell ref="W3:W4"/>
    <mergeCell ref="X3:X4"/>
    <mergeCell ref="Z3:Z4"/>
    <mergeCell ref="AA3:AA4"/>
    <mergeCell ref="Y3:Y4"/>
    <mergeCell ref="AA38:AA39"/>
    <mergeCell ref="AB38:AB39"/>
    <mergeCell ref="AC38:AC39"/>
    <mergeCell ref="AB3:AB4"/>
    <mergeCell ref="AC3:AC4"/>
    <mergeCell ref="Y38:Y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O38:AO39"/>
    <mergeCell ref="AD38:AD39"/>
    <mergeCell ref="AE38:AE39"/>
    <mergeCell ref="AF38:AF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V38:AV39"/>
    <mergeCell ref="AW38:AW39"/>
    <mergeCell ref="AX38:AX39"/>
    <mergeCell ref="AP38:AP39"/>
    <mergeCell ref="AQ38:AQ39"/>
    <mergeCell ref="AR38:AR39"/>
    <mergeCell ref="AS38:AS39"/>
    <mergeCell ref="AT38:AT39"/>
    <mergeCell ref="AU38:AU39"/>
  </mergeCells>
  <phoneticPr fontId="7"/>
  <dataValidations count="2">
    <dataValidation type="list" allowBlank="1" showErrorMessage="1" sqref="Q3:Q4 AD3:AD4 S3:S4 U3:U4 AL3:AL4 AH3:AH4 Z3:Z4 AF3:AF4 AJ3:AJ4 W3:W4 AB3:AB4 AV3:AV4 AN3:AN4 AO3:AU3" xr:uid="{DB2037FB-3F6D-A84F-87BB-00EB632C9157}">
      <formula1>名前</formula1>
    </dataValidation>
    <dataValidation allowBlank="1" showErrorMessage="1" sqref="R3:R4 AI3:AI4 T3:T4 AC3:AC4 AA3:AA4 AE3:AE4 AG3:AG4 AK3:AK4 AW3:AW4 V3:V4 AM3:AM4 X3:X4 Y3" xr:uid="{5F73E1C4-2DEA-8249-B96E-2B59365DE7EA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3973-41A5-3D40-9261-4B4C404B7961}">
  <dimension ref="A1:BA51"/>
  <sheetViews>
    <sheetView topLeftCell="AF9" zoomScale="89" zoomScaleNormal="75" workbookViewId="0">
      <selection activeCell="H40" sqref="H40"/>
    </sheetView>
  </sheetViews>
  <sheetFormatPr baseColWidth="10" defaultRowHeight="20"/>
  <cols>
    <col min="1" max="1" width="13.7109375" bestFit="1" customWidth="1"/>
    <col min="5" max="5" width="12.7109375" bestFit="1" customWidth="1"/>
    <col min="7" max="7" width="13.7109375" bestFit="1" customWidth="1"/>
    <col min="41" max="41" width="15.7109375" bestFit="1" customWidth="1"/>
    <col min="44" max="44" width="13.7109375" bestFit="1" customWidth="1"/>
  </cols>
  <sheetData>
    <row r="1" spans="1:53">
      <c r="A1" s="498">
        <v>2020</v>
      </c>
      <c r="B1" s="500">
        <v>2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252</v>
      </c>
      <c r="AA3" s="494">
        <v>0.3</v>
      </c>
      <c r="AB3" s="492" t="s">
        <v>262</v>
      </c>
      <c r="AC3" s="494">
        <v>0.3</v>
      </c>
      <c r="AD3" s="496" t="s">
        <v>139</v>
      </c>
      <c r="AE3" s="494">
        <v>0.3</v>
      </c>
      <c r="AF3" s="527" t="s">
        <v>273</v>
      </c>
      <c r="AG3" s="494">
        <v>0.3</v>
      </c>
      <c r="AH3" s="492" t="s">
        <v>188</v>
      </c>
      <c r="AI3" s="494">
        <v>0.3</v>
      </c>
      <c r="AJ3" s="496" t="s">
        <v>248</v>
      </c>
      <c r="AK3" s="494">
        <v>0.3</v>
      </c>
      <c r="AL3" s="496" t="s">
        <v>248</v>
      </c>
      <c r="AM3" s="523">
        <v>0.3</v>
      </c>
      <c r="AN3" s="496" t="s">
        <v>187</v>
      </c>
      <c r="AO3" s="520" t="s">
        <v>114</v>
      </c>
      <c r="AP3" s="520" t="s">
        <v>9</v>
      </c>
      <c r="AQ3" s="520" t="s">
        <v>280</v>
      </c>
      <c r="AR3" s="525" t="s">
        <v>240</v>
      </c>
      <c r="AS3" s="520" t="s">
        <v>120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  <c r="AY3" s="1"/>
      <c r="AZ3" s="1"/>
      <c r="BA3" s="1"/>
    </row>
    <row r="4" spans="1:53" ht="21" thickBot="1">
      <c r="A4" s="502"/>
      <c r="B4" s="9" t="s">
        <v>176</v>
      </c>
      <c r="C4" s="9" t="s">
        <v>13</v>
      </c>
      <c r="D4" s="10" t="s">
        <v>14</v>
      </c>
      <c r="E4" s="11" t="s">
        <v>275</v>
      </c>
      <c r="F4" s="12" t="s">
        <v>276</v>
      </c>
      <c r="G4" s="13" t="s">
        <v>277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  <c r="AY4" s="1"/>
      <c r="AZ4" s="1"/>
      <c r="BA4" s="1"/>
    </row>
    <row r="5" spans="1:53">
      <c r="A5" s="21">
        <f t="shared" ref="A5:A35" si="0">IF(DAY(DATE($A$1,$B$1,ROW()-4))=ROW()-4,DATE($A$1,$B$1,ROW()-4),"")</f>
        <v>43862</v>
      </c>
      <c r="B5" s="23">
        <v>28000</v>
      </c>
      <c r="C5" s="23">
        <v>10000</v>
      </c>
      <c r="D5" s="24">
        <f t="shared" ref="D5:D35" si="1">SUM(B5:C5)</f>
        <v>38000</v>
      </c>
      <c r="E5" s="25"/>
      <c r="F5" s="26"/>
      <c r="G5" s="27">
        <v>573</v>
      </c>
      <c r="H5" s="216">
        <f t="shared" ref="H5:H35" si="2">SUM(E5:G5)</f>
        <v>573</v>
      </c>
      <c r="I5" s="27"/>
      <c r="J5" s="28"/>
      <c r="K5" s="29"/>
      <c r="L5" s="1"/>
      <c r="M5" s="1"/>
      <c r="N5" s="1"/>
      <c r="O5" s="1"/>
      <c r="P5" s="55">
        <v>43831</v>
      </c>
      <c r="Q5" s="35"/>
      <c r="R5" s="138"/>
      <c r="S5" s="139"/>
      <c r="T5" s="138"/>
      <c r="U5" s="190">
        <v>18000</v>
      </c>
      <c r="V5" s="138"/>
      <c r="W5" s="147">
        <v>6000</v>
      </c>
      <c r="X5" s="138"/>
      <c r="Y5" s="166">
        <v>10000</v>
      </c>
      <c r="Z5" s="142"/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>
        <v>4000</v>
      </c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38000</v>
      </c>
      <c r="AY5" s="1"/>
      <c r="AZ5" s="1"/>
      <c r="BA5" s="1"/>
    </row>
    <row r="6" spans="1:53">
      <c r="A6" s="21">
        <f t="shared" si="0"/>
        <v>43863</v>
      </c>
      <c r="B6" s="38">
        <v>0</v>
      </c>
      <c r="C6" s="23"/>
      <c r="D6" s="24">
        <f t="shared" si="1"/>
        <v>0</v>
      </c>
      <c r="E6" s="40"/>
      <c r="F6" s="35"/>
      <c r="G6" s="27"/>
      <c r="H6" s="216">
        <f t="shared" si="2"/>
        <v>0</v>
      </c>
      <c r="I6" s="35"/>
      <c r="J6" s="41"/>
      <c r="K6" s="29"/>
      <c r="L6" s="1"/>
      <c r="M6" s="1"/>
      <c r="N6" s="1"/>
      <c r="O6" s="1"/>
      <c r="P6" s="55">
        <v>43832</v>
      </c>
      <c r="Q6" s="35"/>
      <c r="R6" s="138"/>
      <c r="S6" s="139"/>
      <c r="T6" s="138"/>
      <c r="U6" s="143"/>
      <c r="V6" s="138"/>
      <c r="X6" s="138"/>
      <c r="Y6" s="166"/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 t="shared" ref="AX6:AX35" si="3">SUM(Q6:AW6)</f>
        <v>0</v>
      </c>
      <c r="AY6" s="1"/>
      <c r="AZ6" s="1"/>
      <c r="BA6" s="1"/>
    </row>
    <row r="7" spans="1:53">
      <c r="A7" s="21">
        <f t="shared" si="0"/>
        <v>43864</v>
      </c>
      <c r="B7" s="38">
        <v>94000</v>
      </c>
      <c r="C7" s="23"/>
      <c r="D7" s="24">
        <f t="shared" si="1"/>
        <v>94000</v>
      </c>
      <c r="E7" s="40">
        <f>9002+8768+17720+1360</f>
        <v>36850</v>
      </c>
      <c r="F7" s="35"/>
      <c r="G7" s="27"/>
      <c r="H7" s="216">
        <f t="shared" si="2"/>
        <v>36850</v>
      </c>
      <c r="I7" s="35"/>
      <c r="J7" s="41"/>
      <c r="K7" s="29"/>
      <c r="L7" s="1"/>
      <c r="M7" s="1"/>
      <c r="N7" s="1"/>
      <c r="O7" s="1"/>
      <c r="P7" s="55">
        <v>43833</v>
      </c>
      <c r="Q7" s="35"/>
      <c r="R7" s="138"/>
      <c r="S7" s="139"/>
      <c r="T7" s="138"/>
      <c r="U7" s="143">
        <v>25000</v>
      </c>
      <c r="V7" s="138"/>
      <c r="W7" s="147"/>
      <c r="X7" s="138"/>
      <c r="Y7" s="166">
        <v>14000</v>
      </c>
      <c r="Z7" s="142"/>
      <c r="AA7" s="138"/>
      <c r="AB7" s="139">
        <v>55000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si="3"/>
        <v>94000</v>
      </c>
      <c r="AY7" s="1"/>
      <c r="AZ7" s="1"/>
      <c r="BA7" s="1"/>
    </row>
    <row r="8" spans="1:53">
      <c r="A8" s="21">
        <f t="shared" si="0"/>
        <v>43865</v>
      </c>
      <c r="B8" s="38">
        <v>22000</v>
      </c>
      <c r="C8" s="23"/>
      <c r="D8" s="24">
        <f t="shared" si="1"/>
        <v>22000</v>
      </c>
      <c r="E8" s="40"/>
      <c r="F8" s="35"/>
      <c r="G8" s="27"/>
      <c r="H8" s="216">
        <f t="shared" si="2"/>
        <v>0</v>
      </c>
      <c r="I8" s="35"/>
      <c r="J8" s="41"/>
      <c r="K8" s="29"/>
      <c r="L8" s="1"/>
      <c r="M8" s="1"/>
      <c r="N8" s="1"/>
      <c r="O8" s="1"/>
      <c r="P8" s="55">
        <v>43834</v>
      </c>
      <c r="Q8" s="35"/>
      <c r="R8" s="138"/>
      <c r="S8" s="139"/>
      <c r="T8" s="138"/>
      <c r="U8" s="143">
        <v>22000</v>
      </c>
      <c r="V8" s="138"/>
      <c r="W8" s="147"/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22000</v>
      </c>
      <c r="AY8" s="1"/>
      <c r="AZ8" s="1"/>
      <c r="BA8" s="1"/>
    </row>
    <row r="9" spans="1:53">
      <c r="A9" s="21">
        <f t="shared" si="0"/>
        <v>43866</v>
      </c>
      <c r="B9" s="38">
        <v>36000</v>
      </c>
      <c r="C9" s="23">
        <v>16000</v>
      </c>
      <c r="D9" s="24">
        <f t="shared" si="1"/>
        <v>52000</v>
      </c>
      <c r="E9" s="40">
        <f>7480+43610</f>
        <v>51090</v>
      </c>
      <c r="F9" s="35">
        <v>8910</v>
      </c>
      <c r="G9" s="27">
        <f>2097+1474</f>
        <v>3571</v>
      </c>
      <c r="H9" s="216">
        <f t="shared" si="2"/>
        <v>63571</v>
      </c>
      <c r="I9" s="35"/>
      <c r="J9" s="41"/>
      <c r="K9" s="29"/>
      <c r="L9" s="1"/>
      <c r="M9" s="1"/>
      <c r="N9" s="1"/>
      <c r="O9" s="1"/>
      <c r="P9" s="55">
        <v>43835</v>
      </c>
      <c r="Q9" s="35"/>
      <c r="R9" s="138"/>
      <c r="S9" s="139"/>
      <c r="T9" s="138"/>
      <c r="U9" s="139">
        <v>16000</v>
      </c>
      <c r="V9" s="138"/>
      <c r="W9" s="152">
        <v>9000</v>
      </c>
      <c r="X9" s="138"/>
      <c r="Y9" s="138">
        <v>14000</v>
      </c>
      <c r="Z9" s="139"/>
      <c r="AA9" s="138"/>
      <c r="AB9" s="139"/>
      <c r="AC9" s="138"/>
      <c r="AD9" s="151">
        <v>13000</v>
      </c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52000</v>
      </c>
      <c r="AY9" s="1"/>
      <c r="AZ9" s="1"/>
      <c r="BA9" s="1"/>
    </row>
    <row r="10" spans="1:53">
      <c r="A10" s="21">
        <f t="shared" si="0"/>
        <v>43867</v>
      </c>
      <c r="B10" s="38">
        <v>111000</v>
      </c>
      <c r="C10" s="23">
        <v>32000</v>
      </c>
      <c r="D10" s="24">
        <f t="shared" si="1"/>
        <v>143000</v>
      </c>
      <c r="E10" s="40">
        <f>12768+600</f>
        <v>13368</v>
      </c>
      <c r="F10" s="35"/>
      <c r="G10" s="27">
        <v>573</v>
      </c>
      <c r="H10" s="216">
        <f t="shared" si="2"/>
        <v>13941</v>
      </c>
      <c r="I10" s="35"/>
      <c r="J10" s="41"/>
      <c r="K10" s="29"/>
      <c r="L10" s="1"/>
      <c r="M10" s="516" t="s">
        <v>26</v>
      </c>
      <c r="N10" s="517"/>
      <c r="O10" s="1"/>
      <c r="P10" s="55">
        <v>43836</v>
      </c>
      <c r="Q10" s="35"/>
      <c r="R10" s="138"/>
      <c r="S10" s="139"/>
      <c r="T10" s="138"/>
      <c r="U10" s="139">
        <v>32000</v>
      </c>
      <c r="V10" s="138"/>
      <c r="W10" s="139">
        <v>70000</v>
      </c>
      <c r="X10" s="138"/>
      <c r="Y10" s="138"/>
      <c r="Z10" s="139"/>
      <c r="AA10" s="138"/>
      <c r="AB10" s="139">
        <v>16000</v>
      </c>
      <c r="AC10" s="138"/>
      <c r="AD10" s="151"/>
      <c r="AE10" s="138"/>
      <c r="AF10" s="149">
        <v>25000</v>
      </c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143000</v>
      </c>
      <c r="AY10" s="1"/>
      <c r="AZ10" s="1"/>
      <c r="BA10" s="1"/>
    </row>
    <row r="11" spans="1:53">
      <c r="A11" s="21">
        <f t="shared" si="0"/>
        <v>43868</v>
      </c>
      <c r="B11" s="38">
        <v>75000</v>
      </c>
      <c r="C11" s="23">
        <v>8000</v>
      </c>
      <c r="D11" s="24">
        <f t="shared" si="1"/>
        <v>83000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18">
        <v>261188</v>
      </c>
      <c r="O11" s="1"/>
      <c r="P11" s="55">
        <v>43837</v>
      </c>
      <c r="Q11" s="35"/>
      <c r="R11" s="138"/>
      <c r="S11" s="139"/>
      <c r="T11" s="138"/>
      <c r="U11" s="139">
        <v>10000</v>
      </c>
      <c r="V11" s="138"/>
      <c r="W11" s="139"/>
      <c r="X11" s="138"/>
      <c r="Y11" s="138">
        <v>8000</v>
      </c>
      <c r="Z11" s="139"/>
      <c r="AA11" s="138"/>
      <c r="AB11" s="139">
        <v>65000</v>
      </c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83000</v>
      </c>
      <c r="AY11" s="1"/>
      <c r="AZ11" s="1"/>
      <c r="BA11" s="1"/>
    </row>
    <row r="12" spans="1:53">
      <c r="A12" s="21">
        <f t="shared" si="0"/>
        <v>43869</v>
      </c>
      <c r="B12" s="38">
        <v>65000</v>
      </c>
      <c r="C12" s="23"/>
      <c r="D12" s="24">
        <f t="shared" si="1"/>
        <v>65000</v>
      </c>
      <c r="E12" s="40">
        <v>4896</v>
      </c>
      <c r="F12" s="35">
        <v>7007</v>
      </c>
      <c r="G12" s="27"/>
      <c r="H12" s="216">
        <f t="shared" si="2"/>
        <v>11903</v>
      </c>
      <c r="I12" s="35"/>
      <c r="J12" s="41"/>
      <c r="K12" s="29"/>
      <c r="L12" s="1"/>
      <c r="M12" s="47" t="s">
        <v>28</v>
      </c>
      <c r="N12" s="519"/>
      <c r="O12" s="1"/>
      <c r="P12" s="55">
        <v>43838</v>
      </c>
      <c r="Q12" s="35"/>
      <c r="R12" s="138"/>
      <c r="S12" s="139"/>
      <c r="T12" s="138"/>
      <c r="U12" s="139">
        <v>50000</v>
      </c>
      <c r="V12" s="138"/>
      <c r="W12" s="139">
        <v>15000</v>
      </c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65000</v>
      </c>
      <c r="AY12" s="1"/>
      <c r="AZ12" s="1"/>
      <c r="BA12" s="1"/>
    </row>
    <row r="13" spans="1:53">
      <c r="A13" s="21">
        <f t="shared" si="0"/>
        <v>43870</v>
      </c>
      <c r="B13" s="38">
        <v>0</v>
      </c>
      <c r="C13" s="23"/>
      <c r="D13" s="24">
        <f t="shared" si="1"/>
        <v>0</v>
      </c>
      <c r="E13" s="40"/>
      <c r="F13" s="35"/>
      <c r="G13" s="27"/>
      <c r="H13" s="216">
        <f t="shared" si="2"/>
        <v>0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43839</v>
      </c>
      <c r="Q13" s="35"/>
      <c r="R13" s="138"/>
      <c r="S13" s="139"/>
      <c r="T13" s="138"/>
      <c r="U13" s="139"/>
      <c r="V13" s="138"/>
      <c r="W13" s="139"/>
      <c r="X13" s="138"/>
      <c r="Y13" s="138"/>
      <c r="Z13" s="139"/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0</v>
      </c>
      <c r="AY13" s="1"/>
      <c r="AZ13" s="1"/>
      <c r="BA13" s="1"/>
    </row>
    <row r="14" spans="1:53">
      <c r="A14" s="21">
        <f t="shared" si="0"/>
        <v>43871</v>
      </c>
      <c r="B14" s="38">
        <v>75000</v>
      </c>
      <c r="C14" s="23">
        <v>16000</v>
      </c>
      <c r="D14" s="24">
        <f t="shared" si="1"/>
        <v>91000</v>
      </c>
      <c r="E14" s="40">
        <v>7460</v>
      </c>
      <c r="F14" s="44">
        <v>2490</v>
      </c>
      <c r="G14" s="401">
        <f>1288+428</f>
        <v>1716</v>
      </c>
      <c r="H14" s="216">
        <f t="shared" si="2"/>
        <v>11666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43840</v>
      </c>
      <c r="Q14" s="35"/>
      <c r="R14" s="138"/>
      <c r="S14" s="139"/>
      <c r="T14" s="138"/>
      <c r="U14" s="139">
        <v>91000</v>
      </c>
      <c r="V14" s="138"/>
      <c r="W14" s="139"/>
      <c r="X14" s="138"/>
      <c r="Y14" s="138"/>
      <c r="Z14" s="139"/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91000</v>
      </c>
      <c r="AY14" s="1"/>
      <c r="AZ14" s="2"/>
      <c r="BA14" s="1"/>
    </row>
    <row r="15" spans="1:53">
      <c r="A15" s="21">
        <f t="shared" si="0"/>
        <v>43872</v>
      </c>
      <c r="B15" s="38">
        <v>98000</v>
      </c>
      <c r="C15" s="23"/>
      <c r="D15" s="24">
        <f t="shared" si="1"/>
        <v>98000</v>
      </c>
      <c r="E15" s="40"/>
      <c r="F15" s="114"/>
      <c r="G15" s="115"/>
      <c r="H15" s="400">
        <f>SUM(E15:G15)</f>
        <v>0</v>
      </c>
      <c r="I15" s="35"/>
      <c r="J15" s="41"/>
      <c r="K15" s="29"/>
      <c r="L15" s="1"/>
      <c r="M15" s="47" t="s">
        <v>31</v>
      </c>
      <c r="N15" s="35">
        <v>300000</v>
      </c>
      <c r="O15" s="1"/>
      <c r="P15" s="55">
        <v>43841</v>
      </c>
      <c r="Q15" s="35"/>
      <c r="R15" s="138"/>
      <c r="S15" s="139"/>
      <c r="T15" s="138"/>
      <c r="U15" s="139">
        <v>23000</v>
      </c>
      <c r="V15" s="138"/>
      <c r="W15" s="139">
        <v>22000</v>
      </c>
      <c r="X15" s="138"/>
      <c r="Y15" s="138">
        <v>20000</v>
      </c>
      <c r="Z15" s="139"/>
      <c r="AA15" s="138"/>
      <c r="AB15" s="139">
        <v>25000</v>
      </c>
      <c r="AC15" s="138"/>
      <c r="AD15" s="151">
        <v>8000</v>
      </c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98000</v>
      </c>
      <c r="AY15" s="1"/>
      <c r="AZ15" s="1"/>
      <c r="BA15" s="1"/>
    </row>
    <row r="16" spans="1:53">
      <c r="A16" s="21">
        <f t="shared" si="0"/>
        <v>43873</v>
      </c>
      <c r="B16" s="38">
        <v>55000</v>
      </c>
      <c r="C16" s="23">
        <v>39700</v>
      </c>
      <c r="D16" s="24">
        <f t="shared" si="1"/>
        <v>94700</v>
      </c>
      <c r="E16" s="40">
        <f>10452+5240</f>
        <v>15692</v>
      </c>
      <c r="F16" s="114"/>
      <c r="G16" s="297">
        <f>1071+578</f>
        <v>1649</v>
      </c>
      <c r="H16" s="400">
        <f t="shared" si="2"/>
        <v>17341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43842</v>
      </c>
      <c r="Q16" s="35"/>
      <c r="R16" s="138"/>
      <c r="S16" s="139"/>
      <c r="T16" s="138"/>
      <c r="U16" s="139">
        <v>58700</v>
      </c>
      <c r="V16" s="138"/>
      <c r="W16" s="139">
        <v>10000</v>
      </c>
      <c r="X16" s="138"/>
      <c r="Y16" s="138"/>
      <c r="Z16" s="139"/>
      <c r="AA16" s="138"/>
      <c r="AB16" s="139"/>
      <c r="AC16" s="138"/>
      <c r="AD16" s="151"/>
      <c r="AE16" s="138"/>
      <c r="AF16" s="149"/>
      <c r="AG16" s="138"/>
      <c r="AH16" s="149">
        <v>26000</v>
      </c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94700</v>
      </c>
      <c r="AY16" s="1"/>
      <c r="AZ16" s="1"/>
      <c r="BA16" s="1"/>
    </row>
    <row r="17" spans="1:53">
      <c r="A17" s="21">
        <f t="shared" si="0"/>
        <v>43874</v>
      </c>
      <c r="B17" s="38">
        <v>135000</v>
      </c>
      <c r="C17" s="23"/>
      <c r="D17" s="24">
        <f t="shared" si="1"/>
        <v>135000</v>
      </c>
      <c r="E17" s="40"/>
      <c r="F17" s="114"/>
      <c r="G17" s="134"/>
      <c r="H17" s="400">
        <f t="shared" si="2"/>
        <v>0</v>
      </c>
      <c r="I17" s="35"/>
      <c r="J17" s="41"/>
      <c r="K17" s="29"/>
      <c r="L17" s="1"/>
      <c r="M17" s="47"/>
      <c r="N17" s="35"/>
      <c r="O17" s="1"/>
      <c r="P17" s="55">
        <v>43843</v>
      </c>
      <c r="Q17" s="35"/>
      <c r="R17" s="138"/>
      <c r="S17" s="139"/>
      <c r="T17" s="138"/>
      <c r="U17" s="139">
        <v>33000</v>
      </c>
      <c r="V17" s="138"/>
      <c r="W17" s="139">
        <v>9000</v>
      </c>
      <c r="X17" s="138"/>
      <c r="Y17" s="138">
        <v>10000</v>
      </c>
      <c r="Z17" s="139">
        <v>7000</v>
      </c>
      <c r="AA17" s="138"/>
      <c r="AB17" s="139">
        <v>63000</v>
      </c>
      <c r="AC17" s="138"/>
      <c r="AD17" s="151"/>
      <c r="AE17" s="138"/>
      <c r="AF17" s="149">
        <v>12000</v>
      </c>
      <c r="AG17" s="138"/>
      <c r="AH17" s="149"/>
      <c r="AI17" s="138"/>
      <c r="AJ17" s="149"/>
      <c r="AK17" s="138"/>
      <c r="AL17" s="149"/>
      <c r="AM17" s="138"/>
      <c r="AN17" s="138"/>
      <c r="AO17" s="138">
        <v>1000</v>
      </c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135000</v>
      </c>
      <c r="AY17" s="1"/>
      <c r="AZ17" s="1"/>
      <c r="BA17" s="1"/>
    </row>
    <row r="18" spans="1:53">
      <c r="A18" s="21">
        <f t="shared" si="0"/>
        <v>43875</v>
      </c>
      <c r="B18" s="38">
        <v>59000</v>
      </c>
      <c r="C18" s="23">
        <v>11000</v>
      </c>
      <c r="D18" s="24">
        <f t="shared" si="1"/>
        <v>70000</v>
      </c>
      <c r="E18" s="40"/>
      <c r="F18" s="114">
        <v>17736</v>
      </c>
      <c r="G18" s="115"/>
      <c r="H18" s="400">
        <f t="shared" si="2"/>
        <v>17736</v>
      </c>
      <c r="I18" s="35"/>
      <c r="J18" s="41"/>
      <c r="K18" s="29"/>
      <c r="L18" s="1"/>
      <c r="M18" s="47"/>
      <c r="N18" s="35"/>
      <c r="O18" s="1"/>
      <c r="P18" s="55">
        <v>43844</v>
      </c>
      <c r="Q18" s="35"/>
      <c r="R18" s="138"/>
      <c r="S18" s="139"/>
      <c r="T18" s="138"/>
      <c r="U18" s="139">
        <v>34000</v>
      </c>
      <c r="V18" s="138"/>
      <c r="W18" s="139">
        <v>2000</v>
      </c>
      <c r="X18" s="138"/>
      <c r="Y18" s="138">
        <v>11000</v>
      </c>
      <c r="Z18" s="139"/>
      <c r="AA18" s="138"/>
      <c r="AB18" s="139">
        <v>23000</v>
      </c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70000</v>
      </c>
      <c r="AY18" s="1"/>
      <c r="AZ18" s="1"/>
      <c r="BA18" s="1"/>
    </row>
    <row r="19" spans="1:53">
      <c r="A19" s="21">
        <f t="shared" si="0"/>
        <v>43876</v>
      </c>
      <c r="B19" s="38">
        <v>108000</v>
      </c>
      <c r="C19" s="23">
        <v>25000</v>
      </c>
      <c r="D19" s="24">
        <f t="shared" si="1"/>
        <v>133000</v>
      </c>
      <c r="E19" s="40">
        <v>13526</v>
      </c>
      <c r="F19" s="35"/>
      <c r="G19" s="27">
        <v>3328</v>
      </c>
      <c r="H19" s="216">
        <f t="shared" si="2"/>
        <v>16854</v>
      </c>
      <c r="I19" s="35"/>
      <c r="J19" s="41"/>
      <c r="K19" s="29"/>
      <c r="L19" s="1"/>
      <c r="M19" s="49" t="s">
        <v>33</v>
      </c>
      <c r="N19" s="50">
        <f>SUM(N11:N18)</f>
        <v>617188</v>
      </c>
      <c r="O19" s="1"/>
      <c r="P19" s="55">
        <v>43845</v>
      </c>
      <c r="Q19" s="35"/>
      <c r="R19" s="138"/>
      <c r="S19" s="139"/>
      <c r="T19" s="138"/>
      <c r="U19" s="139">
        <v>58000</v>
      </c>
      <c r="V19" s="138"/>
      <c r="W19" s="139">
        <v>10000</v>
      </c>
      <c r="X19" s="138"/>
      <c r="Y19" s="138"/>
      <c r="Z19" s="139"/>
      <c r="AA19" s="138"/>
      <c r="AB19" s="139">
        <v>35000</v>
      </c>
      <c r="AC19" s="138"/>
      <c r="AD19" s="151"/>
      <c r="AE19" s="138"/>
      <c r="AF19" s="149">
        <v>30000</v>
      </c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133000</v>
      </c>
      <c r="AY19" s="1"/>
      <c r="AZ19" s="1"/>
      <c r="BA19" s="1"/>
    </row>
    <row r="20" spans="1:53">
      <c r="A20" s="21">
        <f t="shared" si="0"/>
        <v>43877</v>
      </c>
      <c r="B20" s="38">
        <v>0</v>
      </c>
      <c r="C20" s="38"/>
      <c r="D20" s="24">
        <f t="shared" si="1"/>
        <v>0</v>
      </c>
      <c r="E20" s="40"/>
      <c r="F20" s="35"/>
      <c r="G20" s="27"/>
      <c r="H20" s="216">
        <f t="shared" si="2"/>
        <v>0</v>
      </c>
      <c r="I20" s="35"/>
      <c r="J20" s="41"/>
      <c r="K20" s="29"/>
      <c r="L20" s="1"/>
      <c r="M20" s="51"/>
      <c r="N20" s="7"/>
      <c r="O20" s="1"/>
      <c r="P20" s="55">
        <v>43846</v>
      </c>
      <c r="Q20" s="35"/>
      <c r="R20" s="138"/>
      <c r="S20" s="139"/>
      <c r="T20" s="138"/>
      <c r="U20" s="139"/>
      <c r="V20" s="138"/>
      <c r="W20" s="139"/>
      <c r="X20" s="138"/>
      <c r="Y20" s="138"/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0</v>
      </c>
      <c r="AY20" s="1"/>
      <c r="AZ20" s="1"/>
      <c r="BA20" s="1"/>
    </row>
    <row r="21" spans="1:53">
      <c r="A21" s="21">
        <f t="shared" si="0"/>
        <v>43878</v>
      </c>
      <c r="B21" s="38">
        <v>0</v>
      </c>
      <c r="C21" s="38"/>
      <c r="D21" s="24">
        <f t="shared" si="1"/>
        <v>0</v>
      </c>
      <c r="E21" s="40"/>
      <c r="F21" s="35"/>
      <c r="G21" s="27"/>
      <c r="H21" s="216">
        <f t="shared" si="2"/>
        <v>0</v>
      </c>
      <c r="I21" s="35"/>
      <c r="J21" s="41"/>
      <c r="K21" s="29"/>
      <c r="L21" s="1"/>
      <c r="M21" s="1"/>
      <c r="N21" s="1"/>
      <c r="O21" s="1"/>
      <c r="P21" s="55">
        <v>43847</v>
      </c>
      <c r="Q21" s="35"/>
      <c r="R21" s="138"/>
      <c r="S21" s="139"/>
      <c r="T21" s="138"/>
      <c r="U21" s="139"/>
      <c r="V21" s="138"/>
      <c r="W21" s="139"/>
      <c r="X21" s="138"/>
      <c r="Y21" s="138"/>
      <c r="Z21" s="139"/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0</v>
      </c>
      <c r="AY21" s="1"/>
      <c r="AZ21" s="1"/>
      <c r="BA21" s="1"/>
    </row>
    <row r="22" spans="1:53">
      <c r="A22" s="21">
        <f t="shared" si="0"/>
        <v>43879</v>
      </c>
      <c r="B22" s="38">
        <v>32000</v>
      </c>
      <c r="C22" s="38">
        <v>9000</v>
      </c>
      <c r="D22" s="24">
        <f t="shared" si="1"/>
        <v>41000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55">
        <v>43848</v>
      </c>
      <c r="Q22" s="35"/>
      <c r="R22" s="138"/>
      <c r="S22" s="139"/>
      <c r="T22" s="138"/>
      <c r="U22" s="139">
        <v>25000</v>
      </c>
      <c r="V22" s="138"/>
      <c r="W22" s="139">
        <v>10000</v>
      </c>
      <c r="X22" s="138"/>
      <c r="Y22" s="375"/>
      <c r="Z22" s="153"/>
      <c r="AA22" s="138"/>
      <c r="AB22" s="139">
        <v>3000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>
        <v>3000</v>
      </c>
      <c r="AQ22" s="160"/>
      <c r="AR22" s="158"/>
      <c r="AS22" s="158"/>
      <c r="AT22" s="158"/>
      <c r="AU22" s="158"/>
      <c r="AV22" s="145"/>
      <c r="AW22" s="138"/>
      <c r="AX22" s="2">
        <f t="shared" si="3"/>
        <v>41000</v>
      </c>
      <c r="AY22" s="1"/>
      <c r="AZ22" s="1"/>
      <c r="BA22" s="1"/>
    </row>
    <row r="23" spans="1:53">
      <c r="A23" s="21">
        <f t="shared" si="0"/>
        <v>43880</v>
      </c>
      <c r="B23" s="38">
        <v>65000</v>
      </c>
      <c r="C23" s="38">
        <v>22000</v>
      </c>
      <c r="D23" s="24">
        <f t="shared" si="1"/>
        <v>87000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43849</v>
      </c>
      <c r="Q23" s="35"/>
      <c r="R23" s="138"/>
      <c r="S23" s="139">
        <v>4000</v>
      </c>
      <c r="T23" s="138"/>
      <c r="U23" s="139">
        <v>33000</v>
      </c>
      <c r="V23" s="138"/>
      <c r="W23" s="139">
        <v>50000</v>
      </c>
      <c r="X23" s="138"/>
      <c r="Y23" s="138"/>
      <c r="Z23" s="139"/>
      <c r="AA23" s="138"/>
      <c r="AB23" s="139"/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87000</v>
      </c>
      <c r="AY23" s="1"/>
      <c r="AZ23" s="1"/>
      <c r="BA23" s="1"/>
    </row>
    <row r="24" spans="1:53">
      <c r="A24" s="21">
        <f t="shared" si="0"/>
        <v>43881</v>
      </c>
      <c r="B24" s="38">
        <v>266000</v>
      </c>
      <c r="C24" s="38">
        <v>10000</v>
      </c>
      <c r="D24" s="24">
        <f t="shared" si="1"/>
        <v>276000</v>
      </c>
      <c r="E24" s="40">
        <f>2304+1790+9676+2740</f>
        <v>16510</v>
      </c>
      <c r="F24" s="35">
        <v>7007</v>
      </c>
      <c r="G24" s="408">
        <f>5955+884</f>
        <v>6839</v>
      </c>
      <c r="H24" s="216">
        <f t="shared" si="2"/>
        <v>30356</v>
      </c>
      <c r="I24" s="35"/>
      <c r="J24" s="41"/>
      <c r="K24" s="29"/>
      <c r="L24" s="1"/>
      <c r="M24" s="53" t="s">
        <v>34</v>
      </c>
      <c r="N24" s="38">
        <f>D37</f>
        <v>2387200</v>
      </c>
      <c r="O24" s="1"/>
      <c r="P24" s="55">
        <v>43850</v>
      </c>
      <c r="Q24" s="35"/>
      <c r="R24" s="138"/>
      <c r="S24" s="139">
        <v>4000</v>
      </c>
      <c r="T24" s="138"/>
      <c r="U24" s="139">
        <v>65000</v>
      </c>
      <c r="V24" s="138"/>
      <c r="W24" s="139">
        <v>9000</v>
      </c>
      <c r="X24" s="138"/>
      <c r="Y24" s="138">
        <v>5000</v>
      </c>
      <c r="Z24" s="139"/>
      <c r="AA24" s="138"/>
      <c r="AB24" s="139">
        <v>31000</v>
      </c>
      <c r="AC24" s="138"/>
      <c r="AD24" s="151">
        <v>7000</v>
      </c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>
        <v>15000</v>
      </c>
      <c r="AR24" s="158"/>
      <c r="AS24" s="158"/>
      <c r="AT24" s="158"/>
      <c r="AU24" s="158"/>
      <c r="AV24" s="145"/>
      <c r="AW24" s="138"/>
      <c r="AX24" s="2">
        <f t="shared" si="3"/>
        <v>136000</v>
      </c>
      <c r="AY24" s="1"/>
      <c r="AZ24" s="1"/>
      <c r="BA24" s="1"/>
    </row>
    <row r="25" spans="1:53">
      <c r="A25" s="21">
        <f t="shared" si="0"/>
        <v>43882</v>
      </c>
      <c r="B25" s="38">
        <v>121000</v>
      </c>
      <c r="C25" s="38">
        <v>25000</v>
      </c>
      <c r="D25" s="24">
        <f t="shared" si="1"/>
        <v>146000</v>
      </c>
      <c r="E25" s="40"/>
      <c r="F25" s="35"/>
      <c r="G25" s="27">
        <v>654</v>
      </c>
      <c r="H25" s="216">
        <f t="shared" si="2"/>
        <v>654</v>
      </c>
      <c r="I25" s="35"/>
      <c r="J25" s="41"/>
      <c r="K25" s="29"/>
      <c r="L25" s="1"/>
      <c r="M25" s="53" t="s">
        <v>35</v>
      </c>
      <c r="N25" s="38">
        <f>H37</f>
        <v>295011</v>
      </c>
      <c r="O25" s="1"/>
      <c r="P25" s="55">
        <v>43851</v>
      </c>
      <c r="Q25" s="35"/>
      <c r="R25" s="138"/>
      <c r="S25" s="139"/>
      <c r="T25" s="138"/>
      <c r="U25" s="139">
        <v>77000</v>
      </c>
      <c r="V25" s="138"/>
      <c r="W25" s="139">
        <v>21000</v>
      </c>
      <c r="X25" s="138"/>
      <c r="Y25" s="138"/>
      <c r="Z25" s="139"/>
      <c r="AA25" s="138"/>
      <c r="AB25" s="139">
        <v>25000</v>
      </c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>
        <v>23000</v>
      </c>
      <c r="AS25" s="158"/>
      <c r="AT25" s="158"/>
      <c r="AU25" s="158"/>
      <c r="AV25" s="145"/>
      <c r="AW25" s="138"/>
      <c r="AX25" s="2">
        <f t="shared" si="3"/>
        <v>146000</v>
      </c>
      <c r="AY25" s="1"/>
      <c r="AZ25" s="1"/>
      <c r="BA25" s="1"/>
    </row>
    <row r="26" spans="1:53">
      <c r="A26" s="21">
        <f t="shared" si="0"/>
        <v>43883</v>
      </c>
      <c r="B26" s="38">
        <v>200000</v>
      </c>
      <c r="C26" s="38">
        <v>13500</v>
      </c>
      <c r="D26" s="24">
        <f t="shared" si="1"/>
        <v>213500</v>
      </c>
      <c r="E26" s="40">
        <f>6200+11324+11420+2663</f>
        <v>31607</v>
      </c>
      <c r="F26" s="35"/>
      <c r="G26" s="27"/>
      <c r="H26" s="216">
        <f t="shared" si="2"/>
        <v>31607</v>
      </c>
      <c r="I26" s="35"/>
      <c r="J26" s="41"/>
      <c r="K26" s="29"/>
      <c r="L26" s="1"/>
      <c r="M26" s="53" t="s">
        <v>36</v>
      </c>
      <c r="N26" s="38">
        <f>N20</f>
        <v>0</v>
      </c>
      <c r="O26" s="1"/>
      <c r="P26" s="55">
        <v>43852</v>
      </c>
      <c r="Q26" s="35"/>
      <c r="R26" s="138"/>
      <c r="S26" s="139"/>
      <c r="T26" s="138"/>
      <c r="U26" s="139">
        <v>138500</v>
      </c>
      <c r="V26" s="138"/>
      <c r="W26" s="139">
        <v>26000</v>
      </c>
      <c r="X26" s="138"/>
      <c r="Y26" s="138"/>
      <c r="Z26" s="139">
        <v>11000</v>
      </c>
      <c r="AA26" s="138"/>
      <c r="AB26" s="139">
        <v>17000</v>
      </c>
      <c r="AC26" s="138"/>
      <c r="AD26" s="151">
        <v>6000</v>
      </c>
      <c r="AE26" s="138"/>
      <c r="AF26" s="149"/>
      <c r="AG26" s="138"/>
      <c r="AH26" s="149"/>
      <c r="AI26" s="138"/>
      <c r="AJ26" s="149"/>
      <c r="AK26" s="138"/>
      <c r="AL26" s="149"/>
      <c r="AM26" s="138"/>
      <c r="AN26" s="138">
        <v>15000</v>
      </c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213500</v>
      </c>
      <c r="AY26" s="1"/>
      <c r="AZ26" s="1"/>
      <c r="BA26" s="1"/>
    </row>
    <row r="27" spans="1:53">
      <c r="A27" s="21">
        <f t="shared" si="0"/>
        <v>43884</v>
      </c>
      <c r="B27" s="38">
        <v>17000</v>
      </c>
      <c r="C27" s="38"/>
      <c r="D27" s="24">
        <f t="shared" si="1"/>
        <v>17000</v>
      </c>
      <c r="E27" s="40"/>
      <c r="F27" s="35"/>
      <c r="G27" s="27"/>
      <c r="H27" s="216">
        <f t="shared" si="2"/>
        <v>0</v>
      </c>
      <c r="I27" s="35"/>
      <c r="J27" s="41"/>
      <c r="K27" s="29"/>
      <c r="L27" s="1"/>
      <c r="M27" s="60" t="s">
        <v>37</v>
      </c>
      <c r="N27" s="61">
        <f>IFERROR(N24-N25-N26, "")</f>
        <v>2092189</v>
      </c>
      <c r="O27" s="1"/>
      <c r="P27" s="55">
        <v>43853</v>
      </c>
      <c r="Q27" s="35"/>
      <c r="R27" s="138"/>
      <c r="S27" s="139"/>
      <c r="T27" s="138"/>
      <c r="U27" s="139">
        <v>10000</v>
      </c>
      <c r="V27" s="138"/>
      <c r="W27" s="139"/>
      <c r="X27" s="138"/>
      <c r="Y27" s="138"/>
      <c r="Z27" s="139"/>
      <c r="AA27" s="138"/>
      <c r="AB27" s="139">
        <v>7000</v>
      </c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17000</v>
      </c>
      <c r="AY27" s="1"/>
      <c r="AZ27" s="1"/>
      <c r="BA27" s="1"/>
    </row>
    <row r="28" spans="1:53">
      <c r="A28" s="21">
        <f t="shared" si="0"/>
        <v>43885</v>
      </c>
      <c r="B28" s="38">
        <v>0</v>
      </c>
      <c r="C28" s="38"/>
      <c r="D28" s="24">
        <f t="shared" si="1"/>
        <v>0</v>
      </c>
      <c r="E28" s="299"/>
      <c r="F28" s="35"/>
      <c r="G28" s="27"/>
      <c r="H28" s="216">
        <f t="shared" si="2"/>
        <v>0</v>
      </c>
      <c r="I28" s="35"/>
      <c r="J28" s="41"/>
      <c r="K28" s="29"/>
      <c r="L28" s="1"/>
      <c r="M28" s="1"/>
      <c r="N28" s="1"/>
      <c r="O28" s="1"/>
      <c r="P28" s="55">
        <v>43854</v>
      </c>
      <c r="Q28" s="35"/>
      <c r="R28" s="138"/>
      <c r="S28" s="139"/>
      <c r="T28" s="138"/>
      <c r="U28" s="139"/>
      <c r="V28" s="138"/>
      <c r="W28" s="139"/>
      <c r="X28" s="138"/>
      <c r="Y28" s="138"/>
      <c r="Z28" s="139"/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0</v>
      </c>
      <c r="AY28" s="1"/>
      <c r="AZ28" s="1"/>
      <c r="BA28" s="1"/>
    </row>
    <row r="29" spans="1:53">
      <c r="A29" s="21">
        <f t="shared" si="0"/>
        <v>43886</v>
      </c>
      <c r="B29" s="38">
        <v>151000</v>
      </c>
      <c r="C29" s="38">
        <v>20000</v>
      </c>
      <c r="D29" s="24">
        <f t="shared" si="1"/>
        <v>171000</v>
      </c>
      <c r="E29" s="40"/>
      <c r="F29" s="35"/>
      <c r="G29" s="27"/>
      <c r="H29" s="216">
        <f t="shared" si="2"/>
        <v>0</v>
      </c>
      <c r="I29" s="35"/>
      <c r="J29" s="41"/>
      <c r="K29" s="29"/>
      <c r="L29" s="1"/>
      <c r="M29" s="1"/>
      <c r="N29" s="1"/>
      <c r="O29" s="1"/>
      <c r="P29" s="55">
        <v>43855</v>
      </c>
      <c r="Q29" s="35"/>
      <c r="R29" s="138"/>
      <c r="S29" s="139"/>
      <c r="T29" s="138"/>
      <c r="U29" s="139">
        <v>14000</v>
      </c>
      <c r="V29" s="138"/>
      <c r="W29" s="139">
        <v>141000</v>
      </c>
      <c r="X29" s="138"/>
      <c r="Y29" s="138"/>
      <c r="Z29" s="139"/>
      <c r="AA29" s="138"/>
      <c r="AB29" s="139">
        <v>16000</v>
      </c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171000</v>
      </c>
      <c r="AY29" s="1"/>
      <c r="AZ29" s="1"/>
      <c r="BA29" s="1"/>
    </row>
    <row r="30" spans="1:53">
      <c r="A30" s="21">
        <f t="shared" si="0"/>
        <v>43887</v>
      </c>
      <c r="B30" s="38">
        <v>96000</v>
      </c>
      <c r="C30" s="38">
        <v>48000</v>
      </c>
      <c r="D30" s="24">
        <f t="shared" si="1"/>
        <v>144000</v>
      </c>
      <c r="E30" s="40">
        <f>1200+1440+15642</f>
        <v>18282</v>
      </c>
      <c r="F30" s="35">
        <f>3916+7007</f>
        <v>10923</v>
      </c>
      <c r="G30" s="27"/>
      <c r="H30" s="216">
        <f t="shared" si="2"/>
        <v>29205</v>
      </c>
      <c r="I30" s="35"/>
      <c r="J30" s="41"/>
      <c r="K30" s="29"/>
      <c r="L30" s="1"/>
      <c r="M30" s="1"/>
      <c r="N30" s="1"/>
      <c r="O30" s="1"/>
      <c r="P30" s="55">
        <v>43856</v>
      </c>
      <c r="Q30" s="35"/>
      <c r="R30" s="138"/>
      <c r="S30" s="139"/>
      <c r="T30" s="138"/>
      <c r="U30" s="139">
        <v>64000</v>
      </c>
      <c r="V30" s="138"/>
      <c r="W30" s="139">
        <v>63000</v>
      </c>
      <c r="X30" s="138"/>
      <c r="Y30" s="138">
        <v>2000</v>
      </c>
      <c r="Z30" s="139"/>
      <c r="AA30" s="138"/>
      <c r="AB30" s="139">
        <v>15000</v>
      </c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144000</v>
      </c>
      <c r="AY30" s="1"/>
      <c r="AZ30" s="1"/>
      <c r="BA30" s="1"/>
    </row>
    <row r="31" spans="1:53">
      <c r="A31" s="21">
        <f t="shared" si="0"/>
        <v>43888</v>
      </c>
      <c r="B31" s="38">
        <v>137000</v>
      </c>
      <c r="C31" s="38">
        <v>20000</v>
      </c>
      <c r="D31" s="24">
        <f t="shared" si="1"/>
        <v>157000</v>
      </c>
      <c r="E31" s="40">
        <f>5284+6180+1290</f>
        <v>12754</v>
      </c>
      <c r="F31" s="35"/>
      <c r="G31" s="27"/>
      <c r="H31" s="216">
        <f t="shared" si="2"/>
        <v>12754</v>
      </c>
      <c r="I31" s="35"/>
      <c r="J31" s="41"/>
      <c r="K31" s="29"/>
      <c r="L31" s="1"/>
      <c r="M31" s="1"/>
      <c r="N31" s="1"/>
      <c r="O31" s="1"/>
      <c r="P31" s="55">
        <v>43857</v>
      </c>
      <c r="Q31" s="35"/>
      <c r="R31" s="138"/>
      <c r="S31" s="139"/>
      <c r="T31" s="138"/>
      <c r="U31" s="139">
        <v>29000</v>
      </c>
      <c r="V31" s="138"/>
      <c r="W31" s="139">
        <v>88000</v>
      </c>
      <c r="X31" s="138"/>
      <c r="Y31" s="138"/>
      <c r="Z31" s="139"/>
      <c r="AA31" s="138"/>
      <c r="AB31" s="139"/>
      <c r="AC31" s="138"/>
      <c r="AD31" s="151">
        <v>12000</v>
      </c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>
        <v>28000</v>
      </c>
      <c r="AT31" s="138"/>
      <c r="AU31" s="138"/>
      <c r="AV31" s="149"/>
      <c r="AW31" s="138"/>
      <c r="AX31" s="2">
        <f t="shared" si="3"/>
        <v>157000</v>
      </c>
      <c r="AY31" s="1"/>
      <c r="AZ31" s="1"/>
      <c r="BA31" s="1"/>
    </row>
    <row r="32" spans="1:53">
      <c r="A32" s="21">
        <f t="shared" si="0"/>
        <v>43889</v>
      </c>
      <c r="B32" s="38">
        <v>16000</v>
      </c>
      <c r="C32" s="38"/>
      <c r="D32" s="24">
        <f t="shared" si="1"/>
        <v>16000</v>
      </c>
      <c r="E32" s="40"/>
      <c r="F32" s="35"/>
      <c r="G32" s="27"/>
      <c r="H32" s="216">
        <f t="shared" si="2"/>
        <v>0</v>
      </c>
      <c r="I32" s="35"/>
      <c r="J32" s="41"/>
      <c r="K32" s="29"/>
      <c r="L32" s="1"/>
      <c r="M32" s="1"/>
      <c r="N32" s="1"/>
      <c r="O32" s="1"/>
      <c r="P32" s="55">
        <v>43858</v>
      </c>
      <c r="Q32" s="35"/>
      <c r="R32" s="138"/>
      <c r="S32" s="139"/>
      <c r="T32" s="138"/>
      <c r="U32" s="139"/>
      <c r="V32" s="138"/>
      <c r="W32" s="139"/>
      <c r="X32" s="138"/>
      <c r="Y32" s="138"/>
      <c r="Z32" s="139">
        <v>16000</v>
      </c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16000</v>
      </c>
      <c r="AY32" s="1"/>
      <c r="AZ32" s="1"/>
      <c r="BA32" s="1"/>
    </row>
    <row r="33" spans="1:53">
      <c r="A33" s="21">
        <f t="shared" si="0"/>
        <v>43890</v>
      </c>
      <c r="B33" s="38"/>
      <c r="C33" s="38"/>
      <c r="D33" s="24">
        <f t="shared" si="1"/>
        <v>0</v>
      </c>
      <c r="E33" s="40"/>
      <c r="F33" s="35"/>
      <c r="G33" s="27"/>
      <c r="H33" s="216">
        <f t="shared" si="2"/>
        <v>0</v>
      </c>
      <c r="I33" s="35"/>
      <c r="J33" s="41"/>
      <c r="K33" s="29"/>
      <c r="L33" s="1"/>
      <c r="M33" s="1"/>
      <c r="N33" s="1"/>
      <c r="O33" s="1"/>
      <c r="P33" s="55">
        <v>43859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0</v>
      </c>
      <c r="AY33" s="1"/>
      <c r="AZ33" s="1"/>
      <c r="BA33" s="1"/>
    </row>
    <row r="34" spans="1:53">
      <c r="A34" s="21" t="str">
        <f t="shared" si="0"/>
        <v/>
      </c>
      <c r="B34" s="38"/>
      <c r="C34" s="38"/>
      <c r="D34" s="24">
        <f t="shared" si="1"/>
        <v>0</v>
      </c>
      <c r="E34" s="40"/>
      <c r="F34" s="35"/>
      <c r="G34" s="27"/>
      <c r="H34" s="216">
        <f t="shared" si="2"/>
        <v>0</v>
      </c>
      <c r="I34" s="35"/>
      <c r="J34" s="41"/>
      <c r="K34" s="29"/>
      <c r="L34" s="1"/>
      <c r="M34" s="1"/>
      <c r="N34" s="1"/>
      <c r="O34" s="1"/>
      <c r="P34" s="55">
        <v>43860</v>
      </c>
      <c r="Q34" s="137"/>
      <c r="R34" s="154"/>
      <c r="S34" s="155"/>
      <c r="T34" s="154"/>
      <c r="U34" s="155"/>
      <c r="V34" s="154"/>
      <c r="W34" s="155"/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0</v>
      </c>
      <c r="AY34" s="1"/>
      <c r="AZ34" s="1"/>
      <c r="BA34" s="1"/>
    </row>
    <row r="35" spans="1:53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>
        <v>43861</v>
      </c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0</v>
      </c>
      <c r="AY35" s="1"/>
      <c r="AZ35" s="1"/>
      <c r="BA35" s="1"/>
    </row>
    <row r="36" spans="1:53" ht="2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8000</v>
      </c>
      <c r="T36" s="115">
        <f t="shared" si="4"/>
        <v>0</v>
      </c>
      <c r="U36" s="115">
        <f t="shared" si="4"/>
        <v>926200</v>
      </c>
      <c r="V36" s="115">
        <f t="shared" si="4"/>
        <v>0</v>
      </c>
      <c r="W36" s="115">
        <f>SUM(W5:W35)</f>
        <v>561000</v>
      </c>
      <c r="X36" s="115">
        <f t="shared" si="4"/>
        <v>0</v>
      </c>
      <c r="Y36" s="115">
        <f t="shared" si="4"/>
        <v>94000</v>
      </c>
      <c r="Z36" s="115">
        <f t="shared" si="4"/>
        <v>34000</v>
      </c>
      <c r="AA36" s="115">
        <f t="shared" si="4"/>
        <v>0</v>
      </c>
      <c r="AB36" s="115">
        <f t="shared" si="4"/>
        <v>396000</v>
      </c>
      <c r="AC36" s="115">
        <f t="shared" si="4"/>
        <v>0</v>
      </c>
      <c r="AD36" s="115">
        <f t="shared" si="4"/>
        <v>46000</v>
      </c>
      <c r="AE36" s="115">
        <f t="shared" si="4"/>
        <v>0</v>
      </c>
      <c r="AF36" s="115">
        <f t="shared" si="4"/>
        <v>67000</v>
      </c>
      <c r="AG36" s="115">
        <f t="shared" si="4"/>
        <v>0</v>
      </c>
      <c r="AH36" s="115">
        <f t="shared" si="4"/>
        <v>26000</v>
      </c>
      <c r="AI36" s="115">
        <f t="shared" si="4"/>
        <v>0</v>
      </c>
      <c r="AJ36" s="115">
        <f t="shared" si="4"/>
        <v>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19000</v>
      </c>
      <c r="AO36" s="115">
        <f t="shared" si="4"/>
        <v>1000</v>
      </c>
      <c r="AP36" s="115">
        <f t="shared" si="4"/>
        <v>3000</v>
      </c>
      <c r="AQ36" s="115">
        <f t="shared" si="4"/>
        <v>15000</v>
      </c>
      <c r="AR36" s="115">
        <f t="shared" si="4"/>
        <v>23000</v>
      </c>
      <c r="AS36" s="115">
        <f t="shared" si="4"/>
        <v>28000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>SUM(Q36:AW36)</f>
        <v>2247200</v>
      </c>
      <c r="AY36" s="1"/>
      <c r="AZ36" s="1"/>
      <c r="BA36" s="1"/>
    </row>
    <row r="37" spans="1:53" ht="22" thickTop="1" thickBot="1">
      <c r="A37" s="81" t="s">
        <v>33</v>
      </c>
      <c r="B37" s="82">
        <f t="shared" ref="B37:I37" si="5">SUM(B5:B35)</f>
        <v>2062000</v>
      </c>
      <c r="C37" s="82">
        <f t="shared" si="5"/>
        <v>325200</v>
      </c>
      <c r="D37" s="82">
        <f t="shared" si="5"/>
        <v>2387200</v>
      </c>
      <c r="E37" s="83">
        <f t="shared" si="5"/>
        <v>222035</v>
      </c>
      <c r="F37" s="84">
        <f t="shared" si="5"/>
        <v>54073</v>
      </c>
      <c r="G37" s="84">
        <f t="shared" si="5"/>
        <v>18903</v>
      </c>
      <c r="H37" s="132">
        <f t="shared" si="5"/>
        <v>295011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1"/>
      <c r="B38" s="91"/>
      <c r="C38" s="181" t="s">
        <v>278</v>
      </c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2800</v>
      </c>
      <c r="T38" s="544">
        <f>T36*0.3</f>
        <v>0</v>
      </c>
      <c r="U38" s="532">
        <f>U36*0.35</f>
        <v>324170</v>
      </c>
      <c r="V38" s="532">
        <f>V36*0.3</f>
        <v>0</v>
      </c>
      <c r="W38" s="534">
        <f>W36*0.35</f>
        <v>196350</v>
      </c>
      <c r="X38" s="534">
        <f>X36*0.3</f>
        <v>0</v>
      </c>
      <c r="Y38" s="538">
        <f>Y36</f>
        <v>94000</v>
      </c>
      <c r="Z38" s="536">
        <f>Z36*0.35</f>
        <v>11900</v>
      </c>
      <c r="AA38" s="530">
        <f>AA36*0.3</f>
        <v>0</v>
      </c>
      <c r="AB38" s="530">
        <f>AB36*0.35</f>
        <v>138600</v>
      </c>
      <c r="AC38" s="530">
        <f>AC36*0.3</f>
        <v>0</v>
      </c>
      <c r="AD38" s="530">
        <f>AD36*0.35</f>
        <v>16099.999999999998</v>
      </c>
      <c r="AE38" s="530">
        <f>AE36*0.3</f>
        <v>0</v>
      </c>
      <c r="AF38" s="530">
        <f>AF36*0.35</f>
        <v>23450</v>
      </c>
      <c r="AG38" s="530">
        <f>AG36*0.3</f>
        <v>0</v>
      </c>
      <c r="AH38" s="530">
        <f>AH36*0.35</f>
        <v>9100</v>
      </c>
      <c r="AI38" s="530">
        <f>AI36*0.3</f>
        <v>0</v>
      </c>
      <c r="AJ38" s="530">
        <f>AJ36*0.35</f>
        <v>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6650</v>
      </c>
      <c r="AO38" s="530">
        <f t="shared" si="6"/>
        <v>350</v>
      </c>
      <c r="AP38" s="530">
        <f t="shared" si="6"/>
        <v>1050</v>
      </c>
      <c r="AQ38" s="530">
        <f t="shared" si="6"/>
        <v>5250</v>
      </c>
      <c r="AR38" s="530">
        <f t="shared" si="6"/>
        <v>8049.9999999999991</v>
      </c>
      <c r="AS38" s="530">
        <f t="shared" si="6"/>
        <v>9800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  <c r="AY38" s="182"/>
      <c r="AZ38" s="182"/>
      <c r="BA38" s="182"/>
    </row>
    <row r="39" spans="1:53">
      <c r="A39" s="391" t="s">
        <v>244</v>
      </c>
      <c r="B39" s="391" t="s">
        <v>245</v>
      </c>
      <c r="C39" s="399">
        <f>B37-B46</f>
        <v>1987000</v>
      </c>
      <c r="D39" s="398">
        <v>155000</v>
      </c>
      <c r="E39" s="2">
        <v>188000</v>
      </c>
      <c r="F39" s="2"/>
      <c r="G39" s="378" t="s">
        <v>249</v>
      </c>
      <c r="H39" s="135">
        <f>F37+G37-B46</f>
        <v>-2024</v>
      </c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  <c r="AY39" s="182"/>
      <c r="AZ39" s="182"/>
      <c r="BA39" s="182"/>
    </row>
    <row r="40" spans="1:53">
      <c r="A40" s="306">
        <v>44228</v>
      </c>
      <c r="B40" s="135">
        <v>1000</v>
      </c>
      <c r="C40" s="402">
        <v>500000</v>
      </c>
      <c r="D40" s="390">
        <v>44243</v>
      </c>
      <c r="E40" s="1"/>
      <c r="F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  <c r="AY40" s="182"/>
      <c r="AZ40" s="182"/>
      <c r="BA40" s="182"/>
    </row>
    <row r="41" spans="1:53">
      <c r="A41" s="306">
        <v>44232</v>
      </c>
      <c r="B41" s="135">
        <v>14000</v>
      </c>
      <c r="C41" s="398">
        <v>1000000</v>
      </c>
      <c r="D41" s="1"/>
      <c r="E41" s="1"/>
      <c r="F41" s="1"/>
      <c r="G41" s="296" t="s">
        <v>279</v>
      </c>
      <c r="H41" s="115">
        <f>B37-B46+H39</f>
        <v>1984976</v>
      </c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  <c r="AY41" s="182"/>
      <c r="AZ41" s="182"/>
      <c r="BA41" s="182"/>
    </row>
    <row r="42" spans="1:53">
      <c r="A42" s="306">
        <v>44233</v>
      </c>
      <c r="B42" s="135">
        <v>20000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306">
        <v>44241</v>
      </c>
      <c r="B43" s="135">
        <v>30000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312">
        <v>44253</v>
      </c>
      <c r="B44" s="135">
        <v>10000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A46" s="296" t="s">
        <v>246</v>
      </c>
      <c r="B46" s="135">
        <f>SUM(B40:B45)</f>
        <v>75000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</sheetData>
  <mergeCells count="77">
    <mergeCell ref="I3:I4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N11:N12"/>
    <mergeCell ref="P38:P39"/>
    <mergeCell ref="Q38:Q39"/>
    <mergeCell ref="R38:R39"/>
    <mergeCell ref="S38:S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</mergeCells>
  <phoneticPr fontId="7"/>
  <dataValidations count="2">
    <dataValidation type="list" allowBlank="1" showErrorMessage="1" sqref="Q3:Q4 AD3:AD4 S3:S4 U3:U4 AL3:AL4 AH3:AH4 Z3:Z4 AF3:AF4 AJ3:AJ4 W3:W4 AB3:AB4 AV3:AV4 AN3:AN4 AO3:AU3" xr:uid="{240D31E5-ED08-E348-A20B-BA485E42FFDB}">
      <formula1>名前</formula1>
    </dataValidation>
    <dataValidation allowBlank="1" showErrorMessage="1" sqref="R3:R4 AI3:AI4 T3:T4 AC3:AC4 AA3:AA4 AE3:AE4 AG3:AG4 AK3:AK4 AW3:AW4 V3:V4 AM3:AM4 X3:X4 Y3" xr:uid="{703ADA4C-75A2-0F4A-9E76-62C81C054F8A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85B8-A07E-BF44-B2BC-E4512A4217F9}">
  <dimension ref="A1:AX48"/>
  <sheetViews>
    <sheetView topLeftCell="M21" zoomScale="144" zoomScaleNormal="70" workbookViewId="0">
      <selection activeCell="B46" sqref="B46"/>
    </sheetView>
  </sheetViews>
  <sheetFormatPr baseColWidth="10" defaultRowHeight="20"/>
  <cols>
    <col min="1" max="1" width="13.7109375" bestFit="1" customWidth="1"/>
    <col min="42" max="42" width="13.7109375" bestFit="1" customWidth="1"/>
  </cols>
  <sheetData>
    <row r="1" spans="1:50">
      <c r="A1" s="614" t="s">
        <v>281</v>
      </c>
      <c r="B1" s="616">
        <v>3</v>
      </c>
      <c r="C1" s="310"/>
      <c r="D1" s="310"/>
      <c r="E1" s="411"/>
      <c r="F1" s="411"/>
      <c r="G1" s="411"/>
      <c r="H1" s="411"/>
      <c r="I1" s="411"/>
      <c r="J1" s="411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</row>
    <row r="2" spans="1:50" ht="21" thickBot="1">
      <c r="A2" s="615"/>
      <c r="B2" s="617"/>
      <c r="C2" s="310"/>
      <c r="D2" s="310"/>
      <c r="E2" s="411"/>
      <c r="F2" s="411"/>
      <c r="G2" s="411"/>
      <c r="H2" s="411"/>
      <c r="I2" s="411"/>
      <c r="J2" s="411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</row>
    <row r="3" spans="1:50" ht="21" thickBot="1">
      <c r="A3" s="501" t="s">
        <v>0</v>
      </c>
      <c r="B3" s="503"/>
      <c r="C3" s="619"/>
      <c r="D3" s="620"/>
      <c r="E3" s="506" t="s">
        <v>2</v>
      </c>
      <c r="F3" s="599"/>
      <c r="G3" s="599"/>
      <c r="H3" s="621"/>
      <c r="I3" s="508" t="s">
        <v>3</v>
      </c>
      <c r="J3" s="510" t="s">
        <v>4</v>
      </c>
      <c r="K3" s="4"/>
      <c r="L3" s="310"/>
      <c r="M3" s="310"/>
      <c r="N3" s="310"/>
      <c r="O3" s="310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282</v>
      </c>
      <c r="Z3" s="496" t="s">
        <v>252</v>
      </c>
      <c r="AA3" s="609">
        <v>0.3</v>
      </c>
      <c r="AB3" s="496" t="s">
        <v>262</v>
      </c>
      <c r="AC3" s="606">
        <v>0.3</v>
      </c>
      <c r="AD3" s="496" t="s">
        <v>248</v>
      </c>
      <c r="AE3" s="494">
        <v>0.3</v>
      </c>
      <c r="AF3" s="496" t="s">
        <v>248</v>
      </c>
      <c r="AG3" s="494">
        <v>0.3</v>
      </c>
      <c r="AH3" s="496" t="s">
        <v>248</v>
      </c>
      <c r="AI3" s="606">
        <v>0.3</v>
      </c>
      <c r="AJ3" s="496" t="s">
        <v>248</v>
      </c>
      <c r="AK3" s="606">
        <v>0.3</v>
      </c>
      <c r="AL3" s="496" t="s">
        <v>248</v>
      </c>
      <c r="AM3" s="606">
        <v>0.3</v>
      </c>
      <c r="AN3" s="496" t="s">
        <v>234</v>
      </c>
      <c r="AO3" s="496" t="s">
        <v>199</v>
      </c>
      <c r="AP3" s="496" t="s">
        <v>240</v>
      </c>
      <c r="AQ3" s="496" t="s">
        <v>139</v>
      </c>
      <c r="AR3" s="496" t="s">
        <v>287</v>
      </c>
      <c r="AS3" s="496" t="s">
        <v>193</v>
      </c>
      <c r="AT3" s="496" t="s">
        <v>188</v>
      </c>
      <c r="AU3" s="496" t="s">
        <v>289</v>
      </c>
      <c r="AV3" s="496" t="s">
        <v>273</v>
      </c>
      <c r="AW3" s="494">
        <v>0.3</v>
      </c>
    </row>
    <row r="4" spans="1:50" ht="21" thickBot="1">
      <c r="A4" s="618"/>
      <c r="B4" s="412" t="s">
        <v>38</v>
      </c>
      <c r="C4" s="412" t="s">
        <v>13</v>
      </c>
      <c r="D4" s="413" t="s">
        <v>14</v>
      </c>
      <c r="E4" s="414" t="s">
        <v>285</v>
      </c>
      <c r="F4" s="415" t="s">
        <v>286</v>
      </c>
      <c r="G4" s="416" t="s">
        <v>277</v>
      </c>
      <c r="H4" s="417" t="s">
        <v>17</v>
      </c>
      <c r="I4" s="613"/>
      <c r="J4" s="611"/>
      <c r="K4" s="15" t="s">
        <v>18</v>
      </c>
      <c r="L4" s="310"/>
      <c r="M4" s="310"/>
      <c r="N4" s="310"/>
      <c r="O4" s="310"/>
      <c r="P4" s="612"/>
      <c r="Q4" s="495"/>
      <c r="R4" s="529"/>
      <c r="S4" s="495"/>
      <c r="T4" s="529"/>
      <c r="U4" s="495"/>
      <c r="V4" s="529"/>
      <c r="W4" s="608"/>
      <c r="X4" s="529"/>
      <c r="Y4" s="529"/>
      <c r="Z4" s="497"/>
      <c r="AA4" s="610"/>
      <c r="AB4" s="497"/>
      <c r="AC4" s="607"/>
      <c r="AD4" s="497"/>
      <c r="AE4" s="529"/>
      <c r="AF4" s="497"/>
      <c r="AG4" s="529"/>
      <c r="AH4" s="497"/>
      <c r="AI4" s="607"/>
      <c r="AJ4" s="497"/>
      <c r="AK4" s="607"/>
      <c r="AL4" s="497"/>
      <c r="AM4" s="607"/>
      <c r="AN4" s="497"/>
      <c r="AO4" s="497"/>
      <c r="AP4" s="497"/>
      <c r="AQ4" s="497"/>
      <c r="AR4" s="497"/>
      <c r="AS4" s="497"/>
      <c r="AT4" s="497"/>
      <c r="AU4" s="497"/>
      <c r="AV4" s="497"/>
      <c r="AW4" s="529"/>
    </row>
    <row r="5" spans="1:50">
      <c r="A5" s="418">
        <v>43891</v>
      </c>
      <c r="B5" s="419">
        <v>46000</v>
      </c>
      <c r="C5" s="419"/>
      <c r="D5" s="420">
        <f>SUM(B5:C5)</f>
        <v>46000</v>
      </c>
      <c r="E5" s="421">
        <f>14424+14180+400</f>
        <v>29004</v>
      </c>
      <c r="F5" s="422"/>
      <c r="G5" s="423"/>
      <c r="H5" s="424">
        <v>0</v>
      </c>
      <c r="I5" s="425"/>
      <c r="J5" s="426"/>
      <c r="K5" s="228"/>
      <c r="L5" s="310"/>
      <c r="M5" s="310"/>
      <c r="N5" s="310"/>
      <c r="O5" s="310"/>
      <c r="P5" s="427">
        <v>44197</v>
      </c>
      <c r="Q5" s="422"/>
      <c r="R5" s="422"/>
      <c r="S5" s="422">
        <v>10000</v>
      </c>
      <c r="T5" s="422"/>
      <c r="U5" s="428">
        <v>20000</v>
      </c>
      <c r="V5" s="429"/>
      <c r="W5" s="407">
        <v>16000</v>
      </c>
      <c r="X5" s="422"/>
      <c r="Y5" s="422"/>
      <c r="Z5" s="422"/>
      <c r="AA5" s="422"/>
      <c r="AB5" s="423"/>
      <c r="AC5" s="429"/>
      <c r="AD5" s="430"/>
      <c r="AE5" s="422"/>
      <c r="AF5" s="431"/>
      <c r="AG5" s="422"/>
      <c r="AH5" s="432"/>
      <c r="AI5" s="429"/>
      <c r="AJ5" s="430"/>
      <c r="AK5" s="422"/>
      <c r="AL5" s="430"/>
      <c r="AM5" s="423"/>
      <c r="AN5" s="433"/>
      <c r="AO5" s="434"/>
      <c r="AP5" s="434"/>
      <c r="AQ5" s="434"/>
      <c r="AR5" s="434"/>
      <c r="AS5" s="434"/>
      <c r="AT5" s="434"/>
      <c r="AU5" s="434"/>
      <c r="AV5" s="430"/>
      <c r="AW5" s="422"/>
      <c r="AX5" s="2">
        <f>SUM(Q5:AW5)</f>
        <v>46000</v>
      </c>
    </row>
    <row r="6" spans="1:50">
      <c r="A6" s="418">
        <v>43892</v>
      </c>
      <c r="B6" s="419"/>
      <c r="C6" s="419"/>
      <c r="D6" s="420">
        <f t="shared" ref="D6:D35" si="0">SUM(B6:C6)</f>
        <v>0</v>
      </c>
      <c r="E6" s="421"/>
      <c r="F6" s="422"/>
      <c r="G6" s="423"/>
      <c r="H6" s="424">
        <v>0</v>
      </c>
      <c r="I6" s="429"/>
      <c r="J6" s="435"/>
      <c r="K6" s="228"/>
      <c r="L6" s="310"/>
      <c r="M6" s="310"/>
      <c r="N6" s="310"/>
      <c r="O6" s="310"/>
      <c r="P6" s="427">
        <v>44198</v>
      </c>
      <c r="Q6" s="422"/>
      <c r="R6" s="422"/>
      <c r="S6" s="422"/>
      <c r="T6" s="422"/>
      <c r="U6" s="423"/>
      <c r="V6" s="429"/>
      <c r="W6" s="434"/>
      <c r="X6" s="422"/>
      <c r="Y6" s="422"/>
      <c r="Z6" s="422"/>
      <c r="AA6" s="422"/>
      <c r="AB6" s="423"/>
      <c r="AC6" s="429"/>
      <c r="AD6" s="434"/>
      <c r="AE6" s="422"/>
      <c r="AF6" s="431"/>
      <c r="AG6" s="422"/>
      <c r="AH6" s="432"/>
      <c r="AI6" s="429"/>
      <c r="AJ6" s="430"/>
      <c r="AK6" s="422"/>
      <c r="AL6" s="430"/>
      <c r="AM6" s="423"/>
      <c r="AN6" s="436"/>
      <c r="AO6" s="436"/>
      <c r="AP6" s="433"/>
      <c r="AQ6" s="434"/>
      <c r="AR6" s="434"/>
      <c r="AS6" s="434"/>
      <c r="AT6" s="434"/>
      <c r="AU6" s="434"/>
      <c r="AV6" s="430"/>
      <c r="AW6" s="422"/>
      <c r="AX6" s="2">
        <f t="shared" ref="AX6:AX35" si="1">SUM(Q6:AW6)</f>
        <v>0</v>
      </c>
    </row>
    <row r="7" spans="1:50">
      <c r="A7" s="418">
        <v>43893</v>
      </c>
      <c r="B7" s="419">
        <v>65000</v>
      </c>
      <c r="C7" s="419">
        <v>16000</v>
      </c>
      <c r="D7" s="420">
        <f t="shared" si="0"/>
        <v>81000</v>
      </c>
      <c r="E7" s="421"/>
      <c r="F7" s="422"/>
      <c r="G7" s="423">
        <f>726</f>
        <v>726</v>
      </c>
      <c r="H7" s="424">
        <v>0</v>
      </c>
      <c r="I7" s="429"/>
      <c r="J7" s="435"/>
      <c r="K7" s="228"/>
      <c r="L7" s="310"/>
      <c r="M7" s="310"/>
      <c r="N7" s="310"/>
      <c r="O7" s="310"/>
      <c r="P7" s="427">
        <v>44199</v>
      </c>
      <c r="Q7" s="422"/>
      <c r="R7" s="422"/>
      <c r="S7" s="422"/>
      <c r="T7" s="422"/>
      <c r="U7" s="423">
        <v>44000</v>
      </c>
      <c r="V7" s="429"/>
      <c r="W7" s="434">
        <v>16000</v>
      </c>
      <c r="X7" s="422"/>
      <c r="Y7" s="422">
        <v>3000</v>
      </c>
      <c r="Z7" s="422">
        <v>18000</v>
      </c>
      <c r="AA7" s="422"/>
      <c r="AB7" s="422"/>
      <c r="AC7" s="422"/>
      <c r="AD7" s="423"/>
      <c r="AE7" s="429"/>
      <c r="AF7" s="431"/>
      <c r="AG7" s="422"/>
      <c r="AH7" s="431"/>
      <c r="AI7" s="422"/>
      <c r="AJ7" s="431"/>
      <c r="AK7" s="422"/>
      <c r="AL7" s="431"/>
      <c r="AM7" s="423"/>
      <c r="AN7" s="436"/>
      <c r="AO7" s="436"/>
      <c r="AP7" s="433"/>
      <c r="AQ7" s="434"/>
      <c r="AR7" s="434"/>
      <c r="AS7" s="434"/>
      <c r="AT7" s="434"/>
      <c r="AU7" s="434"/>
      <c r="AV7" s="431"/>
      <c r="AW7" s="422"/>
      <c r="AX7" s="2">
        <f t="shared" si="1"/>
        <v>81000</v>
      </c>
    </row>
    <row r="8" spans="1:50">
      <c r="A8" s="418">
        <v>43894</v>
      </c>
      <c r="B8" s="419">
        <v>54000</v>
      </c>
      <c r="C8" s="419"/>
      <c r="D8" s="420">
        <f t="shared" si="0"/>
        <v>54000</v>
      </c>
      <c r="E8" s="421"/>
      <c r="F8" s="422"/>
      <c r="G8" s="423"/>
      <c r="H8" s="424">
        <v>0</v>
      </c>
      <c r="I8" s="429"/>
      <c r="J8" s="435"/>
      <c r="K8" s="228"/>
      <c r="L8" s="310"/>
      <c r="M8" s="310"/>
      <c r="N8" s="310"/>
      <c r="O8" s="310"/>
      <c r="P8" s="427">
        <v>44200</v>
      </c>
      <c r="Q8" s="422"/>
      <c r="R8" s="422"/>
      <c r="S8" s="422"/>
      <c r="T8" s="422"/>
      <c r="U8" s="423">
        <v>12000</v>
      </c>
      <c r="V8" s="429"/>
      <c r="W8" s="434"/>
      <c r="X8" s="422"/>
      <c r="Y8" s="422">
        <v>10000</v>
      </c>
      <c r="Z8" s="422">
        <v>6000</v>
      </c>
      <c r="AA8" s="422"/>
      <c r="AB8" s="422">
        <v>26000</v>
      </c>
      <c r="AC8" s="422"/>
      <c r="AD8" s="423"/>
      <c r="AE8" s="429"/>
      <c r="AF8" s="431"/>
      <c r="AG8" s="422"/>
      <c r="AH8" s="431"/>
      <c r="AI8" s="422"/>
      <c r="AJ8" s="431"/>
      <c r="AK8" s="422"/>
      <c r="AL8" s="431"/>
      <c r="AM8" s="422"/>
      <c r="AN8" s="423"/>
      <c r="AO8" s="433"/>
      <c r="AP8" s="437"/>
      <c r="AQ8" s="433"/>
      <c r="AR8" s="434"/>
      <c r="AS8" s="434"/>
      <c r="AT8" s="434"/>
      <c r="AU8" s="434"/>
      <c r="AV8" s="431"/>
      <c r="AW8" s="422"/>
      <c r="AX8" s="2">
        <f t="shared" si="1"/>
        <v>54000</v>
      </c>
    </row>
    <row r="9" spans="1:50">
      <c r="A9" s="418">
        <v>43895</v>
      </c>
      <c r="B9" s="419">
        <v>47000</v>
      </c>
      <c r="C9" s="419"/>
      <c r="D9" s="420">
        <f t="shared" si="0"/>
        <v>47000</v>
      </c>
      <c r="E9" s="421">
        <f>12872+6168</f>
        <v>19040</v>
      </c>
      <c r="F9" s="422"/>
      <c r="G9" s="423"/>
      <c r="H9" s="424">
        <v>0</v>
      </c>
      <c r="I9" s="429"/>
      <c r="J9" s="435"/>
      <c r="K9" s="228"/>
      <c r="L9" s="310"/>
      <c r="M9" s="310"/>
      <c r="N9" s="310"/>
      <c r="O9" s="310"/>
      <c r="P9" s="427">
        <v>44201</v>
      </c>
      <c r="Q9" s="422"/>
      <c r="R9" s="422"/>
      <c r="S9" s="422"/>
      <c r="T9" s="422"/>
      <c r="U9" s="422">
        <v>47000</v>
      </c>
      <c r="V9" s="422"/>
      <c r="W9" s="422"/>
      <c r="X9" s="422"/>
      <c r="Y9" s="422"/>
      <c r="Z9" s="422"/>
      <c r="AA9" s="422"/>
      <c r="AB9" s="422"/>
      <c r="AC9" s="422"/>
      <c r="AD9" s="423"/>
      <c r="AE9" s="429"/>
      <c r="AF9" s="431"/>
      <c r="AG9" s="422"/>
      <c r="AH9" s="431"/>
      <c r="AI9" s="422"/>
      <c r="AJ9" s="431"/>
      <c r="AK9" s="422"/>
      <c r="AL9" s="431"/>
      <c r="AM9" s="422"/>
      <c r="AN9" s="423"/>
      <c r="AO9" s="433"/>
      <c r="AP9" s="437"/>
      <c r="AQ9" s="436"/>
      <c r="AR9" s="433"/>
      <c r="AS9" s="434"/>
      <c r="AT9" s="434"/>
      <c r="AU9" s="434"/>
      <c r="AV9" s="431"/>
      <c r="AW9" s="422"/>
      <c r="AX9" s="2">
        <f t="shared" si="1"/>
        <v>47000</v>
      </c>
    </row>
    <row r="10" spans="1:50">
      <c r="A10" s="418">
        <v>43896</v>
      </c>
      <c r="B10" s="419">
        <v>180000</v>
      </c>
      <c r="C10" s="419">
        <v>13000</v>
      </c>
      <c r="D10" s="420">
        <f t="shared" si="0"/>
        <v>193000</v>
      </c>
      <c r="E10" s="421">
        <f>2580+3900</f>
        <v>6480</v>
      </c>
      <c r="F10" s="422"/>
      <c r="G10" s="423">
        <v>550</v>
      </c>
      <c r="H10" s="424">
        <v>0</v>
      </c>
      <c r="I10" s="429"/>
      <c r="J10" s="435"/>
      <c r="K10" s="228"/>
      <c r="L10" s="310"/>
      <c r="M10" s="572" t="s">
        <v>26</v>
      </c>
      <c r="N10" s="573"/>
      <c r="O10" s="310"/>
      <c r="P10" s="427">
        <v>44202</v>
      </c>
      <c r="Q10" s="422"/>
      <c r="R10" s="422"/>
      <c r="S10" s="422"/>
      <c r="T10" s="422"/>
      <c r="U10" s="422">
        <v>150000</v>
      </c>
      <c r="V10" s="422"/>
      <c r="W10" s="422">
        <v>13000</v>
      </c>
      <c r="X10" s="422"/>
      <c r="Y10" s="422"/>
      <c r="Z10" s="422"/>
      <c r="AA10" s="422"/>
      <c r="AB10" s="422">
        <v>12000</v>
      </c>
      <c r="AC10" s="422"/>
      <c r="AD10" s="423"/>
      <c r="AE10" s="429"/>
      <c r="AF10" s="431"/>
      <c r="AG10" s="422"/>
      <c r="AH10" s="431"/>
      <c r="AI10" s="422"/>
      <c r="AJ10" s="431"/>
      <c r="AK10" s="422"/>
      <c r="AL10" s="431"/>
      <c r="AM10" s="422"/>
      <c r="AN10" s="423">
        <v>3000</v>
      </c>
      <c r="AO10" s="433">
        <v>15000</v>
      </c>
      <c r="AP10" s="437"/>
      <c r="AQ10" s="436"/>
      <c r="AR10" s="433"/>
      <c r="AS10" s="434"/>
      <c r="AT10" s="434"/>
      <c r="AU10" s="434"/>
      <c r="AV10" s="431"/>
      <c r="AW10" s="422"/>
      <c r="AX10" s="2">
        <f t="shared" si="1"/>
        <v>193000</v>
      </c>
    </row>
    <row r="11" spans="1:50">
      <c r="A11" s="418">
        <v>43897</v>
      </c>
      <c r="B11" s="419">
        <v>50000</v>
      </c>
      <c r="C11" s="419">
        <v>20000</v>
      </c>
      <c r="D11" s="420">
        <f t="shared" si="0"/>
        <v>70000</v>
      </c>
      <c r="E11" s="421"/>
      <c r="F11" s="422">
        <v>2703</v>
      </c>
      <c r="G11" s="423"/>
      <c r="H11" s="424">
        <v>0</v>
      </c>
      <c r="I11" s="429"/>
      <c r="J11" s="435"/>
      <c r="K11" s="228"/>
      <c r="L11" s="310"/>
      <c r="M11" s="438" t="s">
        <v>27</v>
      </c>
      <c r="N11" s="602"/>
      <c r="O11" s="310"/>
      <c r="P11" s="427">
        <v>44203</v>
      </c>
      <c r="Q11" s="422"/>
      <c r="R11" s="422"/>
      <c r="S11" s="422"/>
      <c r="T11" s="422"/>
      <c r="U11" s="422">
        <v>34000</v>
      </c>
      <c r="V11" s="422"/>
      <c r="W11" s="422"/>
      <c r="X11" s="422"/>
      <c r="Y11" s="422"/>
      <c r="Z11" s="422">
        <v>17000</v>
      </c>
      <c r="AA11" s="422"/>
      <c r="AB11" s="422">
        <v>15000</v>
      </c>
      <c r="AC11" s="422"/>
      <c r="AD11" s="423"/>
      <c r="AE11" s="429"/>
      <c r="AF11" s="431"/>
      <c r="AG11" s="422"/>
      <c r="AH11" s="431"/>
      <c r="AI11" s="422"/>
      <c r="AJ11" s="431"/>
      <c r="AK11" s="422"/>
      <c r="AL11" s="431"/>
      <c r="AM11" s="422"/>
      <c r="AN11" s="423">
        <v>4000</v>
      </c>
      <c r="AO11" s="433"/>
      <c r="AP11" s="437"/>
      <c r="AQ11" s="436"/>
      <c r="AR11" s="433"/>
      <c r="AS11" s="434"/>
      <c r="AT11" s="434"/>
      <c r="AU11" s="434"/>
      <c r="AV11" s="431"/>
      <c r="AW11" s="422"/>
      <c r="AX11" s="2">
        <f t="shared" si="1"/>
        <v>70000</v>
      </c>
    </row>
    <row r="12" spans="1:50">
      <c r="A12" s="418">
        <v>43898</v>
      </c>
      <c r="B12" s="419">
        <v>36000</v>
      </c>
      <c r="C12" s="419">
        <v>36000</v>
      </c>
      <c r="D12" s="420">
        <f t="shared" si="0"/>
        <v>72000</v>
      </c>
      <c r="E12" s="421">
        <f>8350+1200+13892</f>
        <v>23442</v>
      </c>
      <c r="F12" s="422"/>
      <c r="G12" s="423"/>
      <c r="H12" s="424">
        <v>0</v>
      </c>
      <c r="I12" s="429"/>
      <c r="J12" s="435"/>
      <c r="K12" s="228"/>
      <c r="L12" s="310"/>
      <c r="M12" s="438" t="s">
        <v>28</v>
      </c>
      <c r="N12" s="603"/>
      <c r="O12" s="310"/>
      <c r="P12" s="427">
        <v>44204</v>
      </c>
      <c r="Q12" s="422"/>
      <c r="R12" s="422"/>
      <c r="S12" s="422"/>
      <c r="T12" s="422"/>
      <c r="U12" s="422">
        <v>16000</v>
      </c>
      <c r="V12" s="422"/>
      <c r="W12" s="422">
        <v>56000</v>
      </c>
      <c r="X12" s="422"/>
      <c r="Y12" s="422"/>
      <c r="Z12" s="422"/>
      <c r="AA12" s="422"/>
      <c r="AB12" s="422"/>
      <c r="AC12" s="422"/>
      <c r="AD12" s="423"/>
      <c r="AE12" s="429"/>
      <c r="AF12" s="431"/>
      <c r="AG12" s="422"/>
      <c r="AH12" s="431"/>
      <c r="AI12" s="422"/>
      <c r="AJ12" s="431"/>
      <c r="AK12" s="422"/>
      <c r="AL12" s="431"/>
      <c r="AM12" s="422"/>
      <c r="AN12" s="423"/>
      <c r="AO12" s="433"/>
      <c r="AP12" s="437"/>
      <c r="AQ12" s="436"/>
      <c r="AR12" s="433"/>
      <c r="AS12" s="434"/>
      <c r="AT12" s="434"/>
      <c r="AU12" s="434"/>
      <c r="AV12" s="431"/>
      <c r="AW12" s="422"/>
      <c r="AX12" s="2">
        <f t="shared" si="1"/>
        <v>72000</v>
      </c>
    </row>
    <row r="13" spans="1:50">
      <c r="A13" s="418">
        <v>43899</v>
      </c>
      <c r="B13" s="419">
        <v>0</v>
      </c>
      <c r="C13" s="419"/>
      <c r="D13" s="420">
        <f t="shared" si="0"/>
        <v>0</v>
      </c>
      <c r="E13" s="421"/>
      <c r="F13" s="422"/>
      <c r="G13" s="423"/>
      <c r="H13" s="424">
        <v>0</v>
      </c>
      <c r="I13" s="429"/>
      <c r="J13" s="435"/>
      <c r="K13" s="228"/>
      <c r="L13" s="310"/>
      <c r="M13" s="438" t="s">
        <v>29</v>
      </c>
      <c r="N13" s="422"/>
      <c r="O13" s="310"/>
      <c r="P13" s="427">
        <v>44205</v>
      </c>
      <c r="Q13" s="422"/>
      <c r="R13" s="422"/>
      <c r="S13" s="422"/>
      <c r="T13" s="422"/>
      <c r="U13" s="422"/>
      <c r="V13" s="422"/>
      <c r="W13" s="422"/>
      <c r="X13" s="422"/>
      <c r="Y13" s="422"/>
      <c r="Z13" s="422"/>
      <c r="AA13" s="422"/>
      <c r="AB13" s="422"/>
      <c r="AC13" s="422"/>
      <c r="AD13" s="423"/>
      <c r="AE13" s="429"/>
      <c r="AF13" s="431"/>
      <c r="AG13" s="422"/>
      <c r="AH13" s="431"/>
      <c r="AI13" s="422"/>
      <c r="AJ13" s="431"/>
      <c r="AK13" s="422"/>
      <c r="AL13" s="431"/>
      <c r="AM13" s="422"/>
      <c r="AN13" s="423"/>
      <c r="AO13" s="433"/>
      <c r="AP13" s="437"/>
      <c r="AQ13" s="436"/>
      <c r="AR13" s="433"/>
      <c r="AS13" s="434"/>
      <c r="AT13" s="434"/>
      <c r="AU13" s="434"/>
      <c r="AV13" s="431"/>
      <c r="AW13" s="422"/>
      <c r="AX13" s="2">
        <f t="shared" si="1"/>
        <v>0</v>
      </c>
    </row>
    <row r="14" spans="1:50">
      <c r="A14" s="418">
        <v>43900</v>
      </c>
      <c r="B14" s="419">
        <v>65000</v>
      </c>
      <c r="C14" s="419">
        <v>33000</v>
      </c>
      <c r="D14" s="420">
        <f t="shared" si="0"/>
        <v>98000</v>
      </c>
      <c r="E14" s="421">
        <f>6270+3884</f>
        <v>10154</v>
      </c>
      <c r="F14" s="439"/>
      <c r="G14" s="423"/>
      <c r="H14" s="424">
        <v>0</v>
      </c>
      <c r="I14" s="429"/>
      <c r="J14" s="435"/>
      <c r="K14" s="228"/>
      <c r="L14" s="310"/>
      <c r="M14" s="438" t="s">
        <v>30</v>
      </c>
      <c r="N14" s="422"/>
      <c r="O14" s="310"/>
      <c r="P14" s="427">
        <v>44206</v>
      </c>
      <c r="Q14" s="422"/>
      <c r="R14" s="422"/>
      <c r="S14" s="422"/>
      <c r="T14" s="422"/>
      <c r="U14" s="422">
        <v>55000</v>
      </c>
      <c r="V14" s="422"/>
      <c r="W14" s="422"/>
      <c r="X14" s="422"/>
      <c r="Y14" s="422"/>
      <c r="Z14" s="422"/>
      <c r="AA14" s="422"/>
      <c r="AB14" s="422">
        <v>33000</v>
      </c>
      <c r="AC14" s="422"/>
      <c r="AD14" s="423"/>
      <c r="AE14" s="429"/>
      <c r="AF14" s="431"/>
      <c r="AG14" s="422"/>
      <c r="AH14" s="431"/>
      <c r="AI14" s="422"/>
      <c r="AJ14" s="431"/>
      <c r="AK14" s="422"/>
      <c r="AL14" s="431"/>
      <c r="AM14" s="422"/>
      <c r="AN14" s="423"/>
      <c r="AO14" s="433"/>
      <c r="AP14" s="423">
        <v>10000</v>
      </c>
      <c r="AQ14" s="436"/>
      <c r="AR14" s="433"/>
      <c r="AS14" s="434"/>
      <c r="AT14" s="434"/>
      <c r="AU14" s="434"/>
      <c r="AV14" s="431"/>
      <c r="AW14" s="422"/>
      <c r="AX14" s="2">
        <f t="shared" si="1"/>
        <v>98000</v>
      </c>
    </row>
    <row r="15" spans="1:50">
      <c r="A15" s="418">
        <v>43901</v>
      </c>
      <c r="B15" s="419">
        <v>2000</v>
      </c>
      <c r="C15" s="419"/>
      <c r="D15" s="420">
        <f t="shared" si="0"/>
        <v>2000</v>
      </c>
      <c r="E15" s="421"/>
      <c r="F15" s="422">
        <v>63250</v>
      </c>
      <c r="G15" s="423"/>
      <c r="H15" s="424">
        <v>0</v>
      </c>
      <c r="I15" s="429"/>
      <c r="J15" s="435"/>
      <c r="K15" s="228"/>
      <c r="L15" s="310"/>
      <c r="M15" s="438" t="s">
        <v>31</v>
      </c>
      <c r="N15" s="422"/>
      <c r="O15" s="310"/>
      <c r="P15" s="427">
        <v>44207</v>
      </c>
      <c r="Q15" s="422"/>
      <c r="R15" s="422"/>
      <c r="S15" s="422"/>
      <c r="T15" s="422"/>
      <c r="U15" s="422">
        <v>2000</v>
      </c>
      <c r="V15" s="422"/>
      <c r="W15" s="422"/>
      <c r="X15" s="422"/>
      <c r="Y15" s="422"/>
      <c r="Z15" s="422"/>
      <c r="AA15" s="422"/>
      <c r="AB15" s="422"/>
      <c r="AC15" s="422"/>
      <c r="AD15" s="423"/>
      <c r="AE15" s="429"/>
      <c r="AF15" s="431"/>
      <c r="AG15" s="422"/>
      <c r="AH15" s="431"/>
      <c r="AI15" s="422"/>
      <c r="AJ15" s="431"/>
      <c r="AK15" s="422"/>
      <c r="AL15" s="431"/>
      <c r="AM15" s="422"/>
      <c r="AN15" s="423"/>
      <c r="AO15" s="433"/>
      <c r="AP15" s="423"/>
      <c r="AQ15" s="436"/>
      <c r="AR15" s="433"/>
      <c r="AS15" s="434"/>
      <c r="AT15" s="434"/>
      <c r="AU15" s="434"/>
      <c r="AV15" s="431"/>
      <c r="AW15" s="422"/>
      <c r="AX15" s="2">
        <f t="shared" si="1"/>
        <v>2000</v>
      </c>
    </row>
    <row r="16" spans="1:50">
      <c r="A16" s="418">
        <v>43902</v>
      </c>
      <c r="B16" s="419">
        <v>64000</v>
      </c>
      <c r="C16" s="419">
        <v>12000</v>
      </c>
      <c r="D16" s="420">
        <f t="shared" si="0"/>
        <v>76000</v>
      </c>
      <c r="E16" s="421">
        <v>15974</v>
      </c>
      <c r="F16" s="422"/>
      <c r="G16" s="423"/>
      <c r="H16" s="424">
        <v>0</v>
      </c>
      <c r="I16" s="429"/>
      <c r="J16" s="435"/>
      <c r="K16" s="228"/>
      <c r="L16" s="310"/>
      <c r="M16" s="438" t="s">
        <v>32</v>
      </c>
      <c r="N16" s="422"/>
      <c r="O16" s="310"/>
      <c r="P16" s="427">
        <v>44208</v>
      </c>
      <c r="Q16" s="422"/>
      <c r="R16" s="422"/>
      <c r="S16" s="422"/>
      <c r="T16" s="422"/>
      <c r="U16" s="422">
        <v>27000</v>
      </c>
      <c r="V16" s="422"/>
      <c r="W16" s="422">
        <v>36000</v>
      </c>
      <c r="X16" s="422"/>
      <c r="Y16" s="422"/>
      <c r="Z16" s="422"/>
      <c r="AA16" s="422"/>
      <c r="AB16" s="422">
        <v>13000</v>
      </c>
      <c r="AC16" s="422"/>
      <c r="AD16" s="423"/>
      <c r="AE16" s="429"/>
      <c r="AF16" s="431"/>
      <c r="AG16" s="422"/>
      <c r="AH16" s="431"/>
      <c r="AI16" s="422"/>
      <c r="AJ16" s="431"/>
      <c r="AK16" s="422"/>
      <c r="AL16" s="431"/>
      <c r="AM16" s="422"/>
      <c r="AN16" s="422"/>
      <c r="AO16" s="422"/>
      <c r="AP16" s="423"/>
      <c r="AQ16" s="436"/>
      <c r="AR16" s="433"/>
      <c r="AS16" s="434"/>
      <c r="AT16" s="434"/>
      <c r="AU16" s="434"/>
      <c r="AV16" s="431"/>
      <c r="AW16" s="422"/>
      <c r="AX16" s="2">
        <f t="shared" si="1"/>
        <v>76000</v>
      </c>
    </row>
    <row r="17" spans="1:50">
      <c r="A17" s="418">
        <v>43903</v>
      </c>
      <c r="B17" s="419">
        <v>79000</v>
      </c>
      <c r="C17" s="419">
        <v>42000</v>
      </c>
      <c r="D17" s="420">
        <f t="shared" si="0"/>
        <v>121000</v>
      </c>
      <c r="E17" s="421"/>
      <c r="F17" s="422"/>
      <c r="G17" s="423"/>
      <c r="H17" s="424">
        <v>0</v>
      </c>
      <c r="I17" s="429"/>
      <c r="J17" s="435"/>
      <c r="K17" s="228"/>
      <c r="L17" s="310"/>
      <c r="M17" s="438"/>
      <c r="N17" s="422"/>
      <c r="O17" s="310"/>
      <c r="P17" s="427">
        <v>44209</v>
      </c>
      <c r="Q17" s="422"/>
      <c r="R17" s="422"/>
      <c r="S17" s="422"/>
      <c r="T17" s="422"/>
      <c r="U17" s="422">
        <v>32000</v>
      </c>
      <c r="V17" s="422"/>
      <c r="W17" s="422">
        <v>52000</v>
      </c>
      <c r="X17" s="422"/>
      <c r="Y17" s="422"/>
      <c r="Z17" s="422"/>
      <c r="AA17" s="422"/>
      <c r="AB17" s="422">
        <v>37000</v>
      </c>
      <c r="AC17" s="422"/>
      <c r="AD17" s="423"/>
      <c r="AE17" s="429"/>
      <c r="AF17" s="431"/>
      <c r="AG17" s="422"/>
      <c r="AH17" s="431"/>
      <c r="AI17" s="422"/>
      <c r="AJ17" s="431"/>
      <c r="AK17" s="422"/>
      <c r="AL17" s="431"/>
      <c r="AM17" s="422"/>
      <c r="AN17" s="422"/>
      <c r="AO17" s="422"/>
      <c r="AP17" s="423"/>
      <c r="AQ17" s="436"/>
      <c r="AR17" s="433"/>
      <c r="AS17" s="434"/>
      <c r="AT17" s="434"/>
      <c r="AU17" s="434"/>
      <c r="AV17" s="431"/>
      <c r="AW17" s="422"/>
      <c r="AX17" s="2">
        <f t="shared" si="1"/>
        <v>121000</v>
      </c>
    </row>
    <row r="18" spans="1:50">
      <c r="A18" s="418">
        <v>43904</v>
      </c>
      <c r="B18" s="419">
        <v>22000</v>
      </c>
      <c r="C18" s="419"/>
      <c r="D18" s="420">
        <f t="shared" si="0"/>
        <v>22000</v>
      </c>
      <c r="E18" s="421"/>
      <c r="F18" s="422">
        <v>14524</v>
      </c>
      <c r="G18" s="423"/>
      <c r="H18" s="424">
        <v>0</v>
      </c>
      <c r="I18" s="429"/>
      <c r="J18" s="435"/>
      <c r="K18" s="228"/>
      <c r="L18" s="310"/>
      <c r="M18" s="438"/>
      <c r="N18" s="422"/>
      <c r="O18" s="310"/>
      <c r="P18" s="427">
        <v>44210</v>
      </c>
      <c r="Q18" s="422"/>
      <c r="R18" s="422"/>
      <c r="S18" s="422"/>
      <c r="T18" s="422"/>
      <c r="U18" s="422">
        <v>3000</v>
      </c>
      <c r="V18" s="422"/>
      <c r="W18" s="422"/>
      <c r="X18" s="422"/>
      <c r="Y18" s="422">
        <v>2000</v>
      </c>
      <c r="Z18" s="422"/>
      <c r="AA18" s="422"/>
      <c r="AB18" s="422">
        <v>10000</v>
      </c>
      <c r="AC18" s="422"/>
      <c r="AD18" s="423"/>
      <c r="AE18" s="429"/>
      <c r="AF18" s="431"/>
      <c r="AG18" s="422"/>
      <c r="AH18" s="431"/>
      <c r="AI18" s="422"/>
      <c r="AJ18" s="431"/>
      <c r="AK18" s="422"/>
      <c r="AL18" s="431"/>
      <c r="AM18" s="422"/>
      <c r="AN18" s="422"/>
      <c r="AO18" s="422"/>
      <c r="AP18" s="423"/>
      <c r="AQ18" s="436">
        <v>7000</v>
      </c>
      <c r="AR18" s="433"/>
      <c r="AS18" s="434"/>
      <c r="AT18" s="434"/>
      <c r="AU18" s="434"/>
      <c r="AV18" s="431"/>
      <c r="AW18" s="422"/>
      <c r="AX18" s="2">
        <f t="shared" si="1"/>
        <v>22000</v>
      </c>
    </row>
    <row r="19" spans="1:50">
      <c r="A19" s="418">
        <v>43905</v>
      </c>
      <c r="B19" s="419">
        <v>4000</v>
      </c>
      <c r="C19" s="419">
        <v>54000</v>
      </c>
      <c r="D19" s="420">
        <f t="shared" si="0"/>
        <v>58000</v>
      </c>
      <c r="E19" s="421"/>
      <c r="F19" s="422"/>
      <c r="G19" s="423"/>
      <c r="H19" s="424">
        <v>0</v>
      </c>
      <c r="I19" s="429"/>
      <c r="J19" s="435"/>
      <c r="K19" s="228"/>
      <c r="L19" s="310"/>
      <c r="M19" s="440" t="s">
        <v>33</v>
      </c>
      <c r="N19" s="441">
        <v>0</v>
      </c>
      <c r="O19" s="310"/>
      <c r="P19" s="427">
        <v>44211</v>
      </c>
      <c r="Q19" s="422"/>
      <c r="R19" s="422"/>
      <c r="S19" s="422"/>
      <c r="T19" s="422"/>
      <c r="U19" s="422"/>
      <c r="V19" s="422"/>
      <c r="W19" s="422">
        <v>18000</v>
      </c>
      <c r="X19" s="422"/>
      <c r="Y19" s="422"/>
      <c r="Z19" s="422"/>
      <c r="AA19" s="422"/>
      <c r="AB19" s="422"/>
      <c r="AC19" s="422"/>
      <c r="AD19" s="423"/>
      <c r="AE19" s="429"/>
      <c r="AF19" s="431"/>
      <c r="AG19" s="422"/>
      <c r="AH19" s="431"/>
      <c r="AI19" s="422"/>
      <c r="AJ19" s="431"/>
      <c r="AK19" s="422"/>
      <c r="AL19" s="431"/>
      <c r="AM19" s="422"/>
      <c r="AN19" s="422"/>
      <c r="AO19" s="422"/>
      <c r="AP19" s="423"/>
      <c r="AQ19" s="436"/>
      <c r="AR19" s="433">
        <v>40000</v>
      </c>
      <c r="AS19" s="434"/>
      <c r="AT19" s="434"/>
      <c r="AU19" s="434"/>
      <c r="AV19" s="431"/>
      <c r="AW19" s="422"/>
      <c r="AX19" s="2">
        <f t="shared" si="1"/>
        <v>58000</v>
      </c>
    </row>
    <row r="20" spans="1:50">
      <c r="A20" s="418">
        <v>43906</v>
      </c>
      <c r="B20" s="419"/>
      <c r="C20" s="419"/>
      <c r="D20" s="420">
        <f t="shared" si="0"/>
        <v>0</v>
      </c>
      <c r="E20" s="421"/>
      <c r="F20" s="422"/>
      <c r="G20" s="423"/>
      <c r="H20" s="424">
        <v>0</v>
      </c>
      <c r="I20" s="429"/>
      <c r="J20" s="435"/>
      <c r="K20" s="228"/>
      <c r="L20" s="310"/>
      <c r="M20" s="442"/>
      <c r="N20" s="295"/>
      <c r="O20" s="310"/>
      <c r="P20" s="427">
        <v>44212</v>
      </c>
      <c r="Q20" s="422"/>
      <c r="R20" s="422"/>
      <c r="S20" s="422"/>
      <c r="T20" s="422"/>
      <c r="U20" s="422"/>
      <c r="V20" s="422"/>
      <c r="W20" s="422"/>
      <c r="X20" s="422"/>
      <c r="Y20" s="422"/>
      <c r="Z20" s="422"/>
      <c r="AA20" s="422"/>
      <c r="AB20" s="422"/>
      <c r="AC20" s="422"/>
      <c r="AD20" s="423"/>
      <c r="AE20" s="429"/>
      <c r="AF20" s="431"/>
      <c r="AG20" s="422"/>
      <c r="AH20" s="431"/>
      <c r="AI20" s="422"/>
      <c r="AJ20" s="431"/>
      <c r="AK20" s="422"/>
      <c r="AL20" s="431"/>
      <c r="AM20" s="422"/>
      <c r="AN20" s="422"/>
      <c r="AO20" s="422"/>
      <c r="AP20" s="423"/>
      <c r="AQ20" s="436"/>
      <c r="AS20" s="434"/>
      <c r="AT20" s="434"/>
      <c r="AU20" s="434"/>
      <c r="AV20" s="431"/>
      <c r="AW20" s="422"/>
      <c r="AX20" s="2">
        <f t="shared" si="1"/>
        <v>0</v>
      </c>
    </row>
    <row r="21" spans="1:50">
      <c r="A21" s="418">
        <v>43907</v>
      </c>
      <c r="B21" s="419">
        <v>57000</v>
      </c>
      <c r="C21" s="419"/>
      <c r="D21" s="420">
        <f t="shared" si="0"/>
        <v>57000</v>
      </c>
      <c r="E21" s="421">
        <v>5600</v>
      </c>
      <c r="F21" s="422">
        <v>2585</v>
      </c>
      <c r="G21" s="423">
        <v>654</v>
      </c>
      <c r="H21" s="424">
        <v>0</v>
      </c>
      <c r="I21" s="429"/>
      <c r="J21" s="435"/>
      <c r="K21" s="228"/>
      <c r="L21" s="310"/>
      <c r="M21" s="310"/>
      <c r="N21" s="310"/>
      <c r="O21" s="310"/>
      <c r="P21" s="427">
        <v>44213</v>
      </c>
      <c r="Q21" s="422"/>
      <c r="R21" s="422"/>
      <c r="S21" s="422"/>
      <c r="T21" s="422"/>
      <c r="U21" s="422">
        <v>15000</v>
      </c>
      <c r="V21" s="422"/>
      <c r="W21" s="422">
        <v>42000</v>
      </c>
      <c r="X21" s="422"/>
      <c r="Y21" s="422"/>
      <c r="Z21" s="422"/>
      <c r="AA21" s="422"/>
      <c r="AB21" s="422"/>
      <c r="AC21" s="422"/>
      <c r="AD21" s="423"/>
      <c r="AE21" s="429"/>
      <c r="AF21" s="431"/>
      <c r="AG21" s="422"/>
      <c r="AH21" s="431"/>
      <c r="AI21" s="422"/>
      <c r="AJ21" s="431"/>
      <c r="AK21" s="422"/>
      <c r="AL21" s="431"/>
      <c r="AM21" s="422"/>
      <c r="AN21" s="422"/>
      <c r="AO21" s="422"/>
      <c r="AP21" s="422"/>
      <c r="AQ21" s="423"/>
      <c r="AR21" s="433"/>
      <c r="AS21" s="434"/>
      <c r="AT21" s="434"/>
      <c r="AU21" s="434"/>
      <c r="AV21" s="431"/>
      <c r="AW21" s="422"/>
      <c r="AX21" s="2">
        <f t="shared" si="1"/>
        <v>57000</v>
      </c>
    </row>
    <row r="22" spans="1:50">
      <c r="A22" s="418">
        <v>43908</v>
      </c>
      <c r="B22" s="419"/>
      <c r="C22" s="419"/>
      <c r="D22" s="420">
        <f t="shared" si="0"/>
        <v>0</v>
      </c>
      <c r="E22" s="421"/>
      <c r="F22" s="422"/>
      <c r="G22" s="423"/>
      <c r="H22" s="424">
        <v>0</v>
      </c>
      <c r="I22" s="429"/>
      <c r="J22" s="435"/>
      <c r="K22" s="228"/>
      <c r="L22" s="310"/>
      <c r="M22" s="310"/>
      <c r="N22" s="310"/>
      <c r="O22" s="310"/>
      <c r="P22" s="427">
        <v>44214</v>
      </c>
      <c r="Q22" s="422"/>
      <c r="R22" s="422"/>
      <c r="S22" s="422"/>
      <c r="T22" s="422"/>
      <c r="U22" s="422"/>
      <c r="V22" s="422"/>
      <c r="W22" s="422"/>
      <c r="X22" s="422"/>
      <c r="Y22" s="443"/>
      <c r="Z22" s="443"/>
      <c r="AA22" s="422"/>
      <c r="AB22" s="422"/>
      <c r="AC22" s="422"/>
      <c r="AD22" s="423"/>
      <c r="AE22" s="429"/>
      <c r="AF22" s="422"/>
      <c r="AG22" s="422"/>
      <c r="AH22" s="422"/>
      <c r="AI22" s="422"/>
      <c r="AJ22" s="431"/>
      <c r="AK22" s="422"/>
      <c r="AL22" s="431"/>
      <c r="AM22" s="422"/>
      <c r="AN22" s="422"/>
      <c r="AO22" s="422"/>
      <c r="AP22" s="422"/>
      <c r="AQ22" s="423"/>
      <c r="AR22" s="433"/>
      <c r="AS22" s="434"/>
      <c r="AT22" s="434"/>
      <c r="AU22" s="434"/>
      <c r="AV22" s="431"/>
      <c r="AW22" s="422"/>
      <c r="AX22" s="2">
        <f t="shared" si="1"/>
        <v>0</v>
      </c>
    </row>
    <row r="23" spans="1:50">
      <c r="A23" s="418">
        <v>43909</v>
      </c>
      <c r="B23" s="419">
        <v>57000</v>
      </c>
      <c r="C23" s="419"/>
      <c r="D23" s="420">
        <f t="shared" si="0"/>
        <v>57000</v>
      </c>
      <c r="E23" s="421"/>
      <c r="F23" s="422"/>
      <c r="G23" s="423"/>
      <c r="H23" s="424">
        <v>0</v>
      </c>
      <c r="I23" s="429"/>
      <c r="J23" s="435"/>
      <c r="K23" s="228"/>
      <c r="L23" s="310"/>
      <c r="M23" s="310"/>
      <c r="N23" s="310"/>
      <c r="O23" s="310"/>
      <c r="P23" s="427">
        <v>44215</v>
      </c>
      <c r="Q23" s="422"/>
      <c r="R23" s="422"/>
      <c r="S23" s="422"/>
      <c r="T23" s="422"/>
      <c r="U23" s="422">
        <v>50000</v>
      </c>
      <c r="V23" s="422"/>
      <c r="W23" s="422"/>
      <c r="X23" s="422"/>
      <c r="Y23" s="444"/>
      <c r="Z23" s="444"/>
      <c r="AA23" s="422"/>
      <c r="AB23" s="422"/>
      <c r="AC23" s="422"/>
      <c r="AD23" s="423"/>
      <c r="AE23" s="429"/>
      <c r="AF23" s="431"/>
      <c r="AG23" s="422"/>
      <c r="AH23" s="431"/>
      <c r="AI23" s="422"/>
      <c r="AJ23" s="431"/>
      <c r="AK23" s="422"/>
      <c r="AL23" s="431"/>
      <c r="AM23" s="422"/>
      <c r="AN23" s="422"/>
      <c r="AO23" s="422"/>
      <c r="AP23" s="422"/>
      <c r="AQ23" s="423"/>
      <c r="AR23" s="433"/>
      <c r="AS23" s="434"/>
      <c r="AT23" s="434">
        <v>7000</v>
      </c>
      <c r="AU23" s="434"/>
      <c r="AV23" s="431"/>
      <c r="AW23" s="422"/>
      <c r="AX23" s="2">
        <f t="shared" si="1"/>
        <v>57000</v>
      </c>
    </row>
    <row r="24" spans="1:50">
      <c r="A24" s="418">
        <v>43910</v>
      </c>
      <c r="B24" s="419">
        <v>158000</v>
      </c>
      <c r="C24" s="419">
        <v>15000</v>
      </c>
      <c r="D24" s="420">
        <f t="shared" si="0"/>
        <v>173000</v>
      </c>
      <c r="E24" s="421">
        <f>7856+6270</f>
        <v>14126</v>
      </c>
      <c r="F24" s="422"/>
      <c r="G24" s="423"/>
      <c r="H24" s="424">
        <v>0</v>
      </c>
      <c r="I24" s="429"/>
      <c r="J24" s="435"/>
      <c r="K24" s="228"/>
      <c r="L24" s="310"/>
      <c r="M24" s="53" t="s">
        <v>34</v>
      </c>
      <c r="N24" s="445">
        <v>0</v>
      </c>
      <c r="O24" s="310"/>
      <c r="P24" s="427">
        <v>44216</v>
      </c>
      <c r="Q24" s="422"/>
      <c r="R24" s="422"/>
      <c r="S24" s="422"/>
      <c r="T24" s="422"/>
      <c r="U24" s="422">
        <v>93000</v>
      </c>
      <c r="V24" s="422"/>
      <c r="W24" s="422">
        <v>10000</v>
      </c>
      <c r="X24" s="422"/>
      <c r="Y24" s="422">
        <v>10000</v>
      </c>
      <c r="Z24" s="422"/>
      <c r="AA24" s="422"/>
      <c r="AB24" s="422">
        <v>40000</v>
      </c>
      <c r="AC24" s="422"/>
      <c r="AD24" s="423"/>
      <c r="AE24" s="429"/>
      <c r="AF24" s="431"/>
      <c r="AG24" s="422"/>
      <c r="AH24" s="431"/>
      <c r="AI24" s="422"/>
      <c r="AJ24" s="431"/>
      <c r="AK24" s="422"/>
      <c r="AL24" s="431"/>
      <c r="AM24" s="422"/>
      <c r="AN24" s="422"/>
      <c r="AO24" s="422">
        <v>5000</v>
      </c>
      <c r="AP24" s="422"/>
      <c r="AQ24" s="423"/>
      <c r="AR24" s="433"/>
      <c r="AS24" s="434">
        <v>15000</v>
      </c>
      <c r="AT24" s="434"/>
      <c r="AU24" s="434"/>
      <c r="AV24" s="431"/>
      <c r="AW24" s="422"/>
      <c r="AX24" s="2">
        <f t="shared" si="1"/>
        <v>173000</v>
      </c>
    </row>
    <row r="25" spans="1:50">
      <c r="A25" s="418">
        <v>43911</v>
      </c>
      <c r="B25" s="419">
        <v>98000</v>
      </c>
      <c r="C25" s="419"/>
      <c r="D25" s="420">
        <f t="shared" si="0"/>
        <v>98000</v>
      </c>
      <c r="E25" s="421"/>
      <c r="F25" s="422"/>
      <c r="G25" s="423">
        <f>999+1998</f>
        <v>2997</v>
      </c>
      <c r="H25" s="424">
        <v>0</v>
      </c>
      <c r="I25" s="429"/>
      <c r="J25" s="435"/>
      <c r="K25" s="228"/>
      <c r="L25" s="310"/>
      <c r="M25" s="73" t="s">
        <v>35</v>
      </c>
      <c r="N25" s="419">
        <v>0</v>
      </c>
      <c r="O25" s="310"/>
      <c r="P25" s="427">
        <v>44217</v>
      </c>
      <c r="Q25" s="422"/>
      <c r="R25" s="422"/>
      <c r="S25" s="422">
        <v>5000</v>
      </c>
      <c r="T25" s="422"/>
      <c r="U25" s="422">
        <v>23000</v>
      </c>
      <c r="V25" s="422"/>
      <c r="W25" s="422">
        <v>10000</v>
      </c>
      <c r="X25" s="422"/>
      <c r="Y25" s="422"/>
      <c r="Z25" s="422">
        <v>60000</v>
      </c>
      <c r="AA25" s="422"/>
      <c r="AB25" s="422"/>
      <c r="AC25" s="422"/>
      <c r="AD25" s="423"/>
      <c r="AE25" s="429"/>
      <c r="AF25" s="431"/>
      <c r="AG25" s="422"/>
      <c r="AH25" s="431"/>
      <c r="AI25" s="422"/>
      <c r="AJ25" s="431"/>
      <c r="AK25" s="422"/>
      <c r="AL25" s="431"/>
      <c r="AM25" s="422"/>
      <c r="AN25" s="422"/>
      <c r="AO25" s="422"/>
      <c r="AP25" s="422"/>
      <c r="AQ25" s="423"/>
      <c r="AR25" s="433"/>
      <c r="AS25" s="434"/>
      <c r="AT25" s="434"/>
      <c r="AU25" s="434"/>
      <c r="AV25" s="431"/>
      <c r="AW25" s="422"/>
      <c r="AX25" s="2">
        <f t="shared" si="1"/>
        <v>98000</v>
      </c>
    </row>
    <row r="26" spans="1:50">
      <c r="A26" s="418">
        <v>43912</v>
      </c>
      <c r="B26" s="419"/>
      <c r="C26" s="419"/>
      <c r="D26" s="420">
        <f t="shared" si="0"/>
        <v>0</v>
      </c>
      <c r="E26" s="421">
        <v>8624</v>
      </c>
      <c r="F26" s="422">
        <v>7007</v>
      </c>
      <c r="G26" s="423"/>
      <c r="H26" s="424">
        <v>0</v>
      </c>
      <c r="I26" s="429"/>
      <c r="J26" s="435"/>
      <c r="K26" s="228"/>
      <c r="L26" s="310"/>
      <c r="M26" s="73" t="s">
        <v>36</v>
      </c>
      <c r="N26" s="419">
        <v>0</v>
      </c>
      <c r="O26" s="310"/>
      <c r="P26" s="427">
        <v>44218</v>
      </c>
      <c r="Q26" s="422"/>
      <c r="R26" s="422"/>
      <c r="S26" s="422"/>
      <c r="T26" s="422"/>
      <c r="U26" s="422"/>
      <c r="V26" s="422"/>
      <c r="W26" s="422"/>
      <c r="X26" s="422"/>
      <c r="Y26" s="422"/>
      <c r="Z26" s="422"/>
      <c r="AA26" s="422"/>
      <c r="AB26" s="422"/>
      <c r="AC26" s="422"/>
      <c r="AD26" s="423"/>
      <c r="AE26" s="429"/>
      <c r="AF26" s="431"/>
      <c r="AG26" s="422"/>
      <c r="AH26" s="431"/>
      <c r="AI26" s="422"/>
      <c r="AJ26" s="431"/>
      <c r="AK26" s="422"/>
      <c r="AL26" s="431"/>
      <c r="AM26" s="422"/>
      <c r="AN26" s="422"/>
      <c r="AO26" s="422"/>
      <c r="AP26" s="422"/>
      <c r="AQ26" s="423"/>
      <c r="AR26" s="433"/>
      <c r="AS26" s="434"/>
      <c r="AT26" s="434"/>
      <c r="AU26" s="434"/>
      <c r="AV26" s="431"/>
      <c r="AW26" s="422"/>
      <c r="AX26" s="2">
        <f t="shared" si="1"/>
        <v>0</v>
      </c>
    </row>
    <row r="27" spans="1:50">
      <c r="A27" s="418">
        <v>43913</v>
      </c>
      <c r="B27" s="419"/>
      <c r="C27" s="419"/>
      <c r="D27" s="420">
        <f t="shared" si="0"/>
        <v>0</v>
      </c>
      <c r="E27" s="421"/>
      <c r="F27" s="422"/>
      <c r="G27" s="423"/>
      <c r="H27" s="424">
        <v>0</v>
      </c>
      <c r="I27" s="429"/>
      <c r="J27" s="435"/>
      <c r="K27" s="228"/>
      <c r="L27" s="310"/>
      <c r="M27" s="446" t="s">
        <v>37</v>
      </c>
      <c r="N27" s="447">
        <v>0</v>
      </c>
      <c r="O27" s="310"/>
      <c r="P27" s="427">
        <v>44219</v>
      </c>
      <c r="Q27" s="422"/>
      <c r="R27" s="422"/>
      <c r="S27" s="422"/>
      <c r="T27" s="422"/>
      <c r="U27" s="422"/>
      <c r="V27" s="422"/>
      <c r="W27" s="422"/>
      <c r="X27" s="422"/>
      <c r="Y27" s="422"/>
      <c r="Z27" s="422"/>
      <c r="AA27" s="422"/>
      <c r="AB27" s="422"/>
      <c r="AC27" s="422"/>
      <c r="AD27" s="423"/>
      <c r="AE27" s="429"/>
      <c r="AF27" s="431"/>
      <c r="AG27" s="422"/>
      <c r="AH27" s="431"/>
      <c r="AI27" s="422"/>
      <c r="AJ27" s="431"/>
      <c r="AK27" s="422"/>
      <c r="AL27" s="431"/>
      <c r="AM27" s="422"/>
      <c r="AN27" s="422"/>
      <c r="AO27" s="422"/>
      <c r="AP27" s="422"/>
      <c r="AQ27" s="423"/>
      <c r="AR27" s="433"/>
      <c r="AS27" s="434"/>
      <c r="AT27" s="434"/>
      <c r="AU27" s="434"/>
      <c r="AV27" s="431"/>
      <c r="AW27" s="422"/>
      <c r="AX27" s="2">
        <f t="shared" si="1"/>
        <v>0</v>
      </c>
    </row>
    <row r="28" spans="1:50">
      <c r="A28" s="418">
        <v>43914</v>
      </c>
      <c r="B28" s="419">
        <v>137000</v>
      </c>
      <c r="C28" s="419">
        <v>80000</v>
      </c>
      <c r="D28" s="420">
        <f t="shared" si="0"/>
        <v>217000</v>
      </c>
      <c r="E28" s="421"/>
      <c r="F28" s="422"/>
      <c r="G28" s="423">
        <v>6520</v>
      </c>
      <c r="H28" s="424">
        <v>0</v>
      </c>
      <c r="I28" s="429"/>
      <c r="J28" s="435"/>
      <c r="K28" s="228"/>
      <c r="L28" s="310"/>
      <c r="M28" s="310"/>
      <c r="N28" s="310"/>
      <c r="O28" s="310"/>
      <c r="P28" s="427">
        <v>44220</v>
      </c>
      <c r="Q28" s="422"/>
      <c r="R28" s="422"/>
      <c r="S28" s="422"/>
      <c r="T28" s="422"/>
      <c r="U28" s="422">
        <v>35000</v>
      </c>
      <c r="V28" s="422"/>
      <c r="W28" s="422">
        <v>20000</v>
      </c>
      <c r="X28" s="422"/>
      <c r="Y28" s="422"/>
      <c r="Z28" s="422">
        <v>60000</v>
      </c>
      <c r="AA28" s="422"/>
      <c r="AB28" s="422">
        <v>22000</v>
      </c>
      <c r="AC28" s="422"/>
      <c r="AD28" s="423"/>
      <c r="AE28" s="429"/>
      <c r="AF28" s="431"/>
      <c r="AG28" s="422"/>
      <c r="AH28" s="431"/>
      <c r="AI28" s="422"/>
      <c r="AJ28" s="431"/>
      <c r="AK28" s="422"/>
      <c r="AL28" s="431"/>
      <c r="AM28" s="422"/>
      <c r="AN28" s="422"/>
      <c r="AO28" s="422"/>
      <c r="AP28" s="422"/>
      <c r="AQ28" s="422"/>
      <c r="AR28" s="422"/>
      <c r="AS28" s="422"/>
      <c r="AT28" s="422"/>
      <c r="AU28" s="422"/>
      <c r="AV28" s="431"/>
      <c r="AW28" s="422"/>
      <c r="AX28" s="2">
        <f t="shared" si="1"/>
        <v>137000</v>
      </c>
    </row>
    <row r="29" spans="1:50">
      <c r="A29" s="418">
        <v>43915</v>
      </c>
      <c r="B29" s="419">
        <v>67000</v>
      </c>
      <c r="C29" s="419"/>
      <c r="D29" s="420">
        <f t="shared" si="0"/>
        <v>67000</v>
      </c>
      <c r="E29" s="421">
        <f>2360+4124+10970</f>
        <v>17454</v>
      </c>
      <c r="F29" s="422"/>
      <c r="G29" s="423"/>
      <c r="H29" s="424">
        <v>0</v>
      </c>
      <c r="I29" s="429"/>
      <c r="J29" s="435"/>
      <c r="K29" s="228"/>
      <c r="L29" s="310"/>
      <c r="M29" s="310"/>
      <c r="N29" s="310"/>
      <c r="O29" s="310"/>
      <c r="P29" s="427">
        <v>44221</v>
      </c>
      <c r="Q29" s="422"/>
      <c r="R29" s="422"/>
      <c r="S29" s="422"/>
      <c r="T29" s="422"/>
      <c r="U29" s="422">
        <v>29000</v>
      </c>
      <c r="V29" s="422"/>
      <c r="W29" s="422">
        <v>11000</v>
      </c>
      <c r="X29" s="422"/>
      <c r="Y29" s="422"/>
      <c r="Z29" s="422"/>
      <c r="AA29" s="422"/>
      <c r="AB29" s="422"/>
      <c r="AC29" s="422"/>
      <c r="AD29" s="423"/>
      <c r="AE29" s="429"/>
      <c r="AF29" s="431"/>
      <c r="AG29" s="422"/>
      <c r="AH29" s="431"/>
      <c r="AI29" s="422"/>
      <c r="AJ29" s="431"/>
      <c r="AK29" s="422"/>
      <c r="AL29" s="431"/>
      <c r="AM29" s="422"/>
      <c r="AN29" s="422"/>
      <c r="AO29" s="422"/>
      <c r="AP29" s="422"/>
      <c r="AQ29" s="422"/>
      <c r="AR29" s="422"/>
      <c r="AS29" s="422"/>
      <c r="AT29" s="422"/>
      <c r="AU29" s="422">
        <v>27000</v>
      </c>
      <c r="AV29" s="431"/>
      <c r="AW29" s="422"/>
      <c r="AX29" s="2">
        <f t="shared" si="1"/>
        <v>67000</v>
      </c>
    </row>
    <row r="30" spans="1:50">
      <c r="A30" s="418">
        <v>43916</v>
      </c>
      <c r="B30" s="419">
        <v>271000</v>
      </c>
      <c r="C30" s="419"/>
      <c r="D30" s="420">
        <f t="shared" si="0"/>
        <v>271000</v>
      </c>
      <c r="E30" s="421"/>
      <c r="F30" s="422"/>
      <c r="G30" s="423"/>
      <c r="H30" s="424">
        <v>0</v>
      </c>
      <c r="I30" s="429"/>
      <c r="J30" s="435"/>
      <c r="K30" s="228"/>
      <c r="L30" s="310"/>
      <c r="M30" s="310"/>
      <c r="N30" s="310"/>
      <c r="O30" s="310"/>
      <c r="P30" s="427">
        <v>44222</v>
      </c>
      <c r="Q30" s="422"/>
      <c r="R30" s="422"/>
      <c r="S30" s="422"/>
      <c r="T30" s="422"/>
      <c r="U30" s="422">
        <v>186000</v>
      </c>
      <c r="V30" s="422"/>
      <c r="W30" s="422"/>
      <c r="X30" s="422"/>
      <c r="Y30" s="422"/>
      <c r="Z30" s="422">
        <v>60000</v>
      </c>
      <c r="AA30" s="422"/>
      <c r="AB30" s="422">
        <v>10000</v>
      </c>
      <c r="AC30" s="422"/>
      <c r="AD30" s="423"/>
      <c r="AE30" s="429"/>
      <c r="AF30" s="431"/>
      <c r="AG30" s="422"/>
      <c r="AH30" s="431"/>
      <c r="AI30" s="422"/>
      <c r="AJ30" s="431"/>
      <c r="AK30" s="422"/>
      <c r="AL30" s="431"/>
      <c r="AM30" s="422"/>
      <c r="AN30" s="422"/>
      <c r="AO30" s="422"/>
      <c r="AP30" s="422"/>
      <c r="AQ30" s="422"/>
      <c r="AR30" s="422"/>
      <c r="AS30" s="422"/>
      <c r="AT30" s="422"/>
      <c r="AU30" s="422"/>
      <c r="AV30" s="431">
        <v>15000</v>
      </c>
      <c r="AW30" s="422"/>
      <c r="AX30" s="2">
        <f t="shared" si="1"/>
        <v>271000</v>
      </c>
    </row>
    <row r="31" spans="1:50">
      <c r="A31" s="418">
        <v>43917</v>
      </c>
      <c r="B31" s="419">
        <v>144000</v>
      </c>
      <c r="C31" s="419">
        <v>7000</v>
      </c>
      <c r="D31" s="420">
        <f t="shared" si="0"/>
        <v>151000</v>
      </c>
      <c r="E31" s="421">
        <v>7838</v>
      </c>
      <c r="F31" s="422"/>
      <c r="G31" s="423">
        <v>654</v>
      </c>
      <c r="H31" s="424">
        <v>0</v>
      </c>
      <c r="I31" s="429"/>
      <c r="J31" s="435"/>
      <c r="K31" s="228"/>
      <c r="L31" s="310"/>
      <c r="M31" s="310"/>
      <c r="N31" s="310"/>
      <c r="O31" s="310"/>
      <c r="P31" s="427">
        <v>44223</v>
      </c>
      <c r="Q31" s="422"/>
      <c r="R31" s="422"/>
      <c r="S31" s="422">
        <v>10000</v>
      </c>
      <c r="T31" s="422"/>
      <c r="U31" s="422">
        <v>82000</v>
      </c>
      <c r="V31" s="422"/>
      <c r="W31" s="422">
        <v>10000</v>
      </c>
      <c r="X31" s="422"/>
      <c r="Y31" s="422"/>
      <c r="Z31" s="422"/>
      <c r="AA31" s="422"/>
      <c r="AB31" s="422">
        <v>49000</v>
      </c>
      <c r="AC31" s="422"/>
      <c r="AD31" s="423"/>
      <c r="AE31" s="429"/>
      <c r="AF31" s="431"/>
      <c r="AG31" s="422"/>
      <c r="AH31" s="431"/>
      <c r="AI31" s="422"/>
      <c r="AJ31" s="431"/>
      <c r="AK31" s="422"/>
      <c r="AL31" s="431"/>
      <c r="AM31" s="422"/>
      <c r="AN31" s="422"/>
      <c r="AO31" s="422"/>
      <c r="AP31" s="422"/>
      <c r="AQ31" s="422"/>
      <c r="AR31" s="422"/>
      <c r="AS31" s="422"/>
      <c r="AT31" s="422"/>
      <c r="AU31" s="422"/>
      <c r="AV31" s="431"/>
      <c r="AW31" s="422"/>
      <c r="AX31" s="2">
        <f t="shared" si="1"/>
        <v>151000</v>
      </c>
    </row>
    <row r="32" spans="1:50">
      <c r="A32" s="418">
        <v>43918</v>
      </c>
      <c r="B32" s="419">
        <v>87000</v>
      </c>
      <c r="C32" s="419">
        <v>18000</v>
      </c>
      <c r="D32" s="420">
        <f t="shared" si="0"/>
        <v>105000</v>
      </c>
      <c r="E32" s="421"/>
      <c r="F32" s="422">
        <f>78000+13851</f>
        <v>91851</v>
      </c>
      <c r="G32" s="423"/>
      <c r="H32" s="424">
        <v>0</v>
      </c>
      <c r="I32" s="429"/>
      <c r="J32" s="435"/>
      <c r="K32" s="228"/>
      <c r="L32" s="310"/>
      <c r="M32" s="310"/>
      <c r="N32" s="310"/>
      <c r="O32" s="310"/>
      <c r="P32" s="427">
        <v>44224</v>
      </c>
      <c r="Q32" s="422"/>
      <c r="R32" s="422"/>
      <c r="S32" s="422"/>
      <c r="T32" s="422"/>
      <c r="U32" s="422">
        <v>66000</v>
      </c>
      <c r="V32" s="422"/>
      <c r="W32" s="422"/>
      <c r="X32" s="422"/>
      <c r="Y32" s="422">
        <v>5000</v>
      </c>
      <c r="Z32" s="422">
        <v>21000</v>
      </c>
      <c r="AA32" s="422"/>
      <c r="AB32" s="422">
        <v>13000</v>
      </c>
      <c r="AC32" s="422"/>
      <c r="AD32" s="423"/>
      <c r="AE32" s="429"/>
      <c r="AF32" s="431"/>
      <c r="AG32" s="422"/>
      <c r="AH32" s="431"/>
      <c r="AI32" s="422"/>
      <c r="AJ32" s="431"/>
      <c r="AK32" s="422"/>
      <c r="AL32" s="431"/>
      <c r="AM32" s="422"/>
      <c r="AN32" s="422"/>
      <c r="AO32" s="422"/>
      <c r="AP32" s="422"/>
      <c r="AQ32" s="422"/>
      <c r="AR32" s="422"/>
      <c r="AS32" s="422"/>
      <c r="AT32" s="422"/>
      <c r="AU32" s="422"/>
      <c r="AV32" s="431"/>
      <c r="AW32" s="422"/>
      <c r="AX32" s="2">
        <f t="shared" si="1"/>
        <v>105000</v>
      </c>
    </row>
    <row r="33" spans="1:50">
      <c r="A33" s="418">
        <v>43919</v>
      </c>
      <c r="B33" s="419">
        <v>95000</v>
      </c>
      <c r="C33" s="419">
        <v>9000</v>
      </c>
      <c r="D33" s="420">
        <f t="shared" si="0"/>
        <v>104000</v>
      </c>
      <c r="E33" s="421">
        <v>4082</v>
      </c>
      <c r="F33" s="422"/>
      <c r="G33" s="423"/>
      <c r="H33" s="424">
        <v>0</v>
      </c>
      <c r="I33" s="429"/>
      <c r="J33" s="435"/>
      <c r="K33" s="228"/>
      <c r="L33" s="310"/>
      <c r="M33" s="310"/>
      <c r="N33" s="310"/>
      <c r="O33" s="310"/>
      <c r="P33" s="427">
        <v>44225</v>
      </c>
      <c r="Q33" s="422"/>
      <c r="R33" s="422"/>
      <c r="S33" s="422">
        <v>23000</v>
      </c>
      <c r="T33" s="422"/>
      <c r="U33" s="422">
        <v>41000</v>
      </c>
      <c r="V33" s="422"/>
      <c r="W33" s="422"/>
      <c r="X33" s="422"/>
      <c r="Y33" s="422"/>
      <c r="Z33" s="422">
        <v>40000</v>
      </c>
      <c r="AA33" s="422"/>
      <c r="AB33" s="422"/>
      <c r="AC33" s="422"/>
      <c r="AD33" s="423"/>
      <c r="AE33" s="429"/>
      <c r="AF33" s="431"/>
      <c r="AG33" s="422"/>
      <c r="AH33" s="431"/>
      <c r="AI33" s="422"/>
      <c r="AJ33" s="431"/>
      <c r="AK33" s="422"/>
      <c r="AL33" s="431"/>
      <c r="AM33" s="422"/>
      <c r="AN33" s="422"/>
      <c r="AO33" s="422"/>
      <c r="AP33" s="422"/>
      <c r="AQ33" s="422"/>
      <c r="AR33" s="422"/>
      <c r="AS33" s="422"/>
      <c r="AT33" s="422"/>
      <c r="AU33" s="422"/>
      <c r="AV33" s="431"/>
      <c r="AW33" s="422"/>
      <c r="AX33" s="2">
        <f t="shared" si="1"/>
        <v>104000</v>
      </c>
    </row>
    <row r="34" spans="1:50">
      <c r="A34" s="418">
        <v>43920</v>
      </c>
      <c r="B34" s="419">
        <v>3000</v>
      </c>
      <c r="C34" s="419"/>
      <c r="D34" s="420">
        <f t="shared" si="0"/>
        <v>3000</v>
      </c>
      <c r="E34" s="421"/>
      <c r="F34" s="422"/>
      <c r="G34" s="423">
        <v>774</v>
      </c>
      <c r="H34" s="424">
        <v>0</v>
      </c>
      <c r="I34" s="429"/>
      <c r="J34" s="435"/>
      <c r="K34" s="228"/>
      <c r="L34" s="310"/>
      <c r="M34" s="310"/>
      <c r="N34" s="310"/>
      <c r="O34" s="310"/>
      <c r="P34" s="427">
        <v>44226</v>
      </c>
      <c r="Q34" s="443"/>
      <c r="R34" s="443"/>
      <c r="S34" s="443"/>
      <c r="T34" s="443"/>
      <c r="U34" s="443">
        <v>3000</v>
      </c>
      <c r="V34" s="443"/>
      <c r="W34" s="443"/>
      <c r="X34" s="443"/>
      <c r="Y34" s="443"/>
      <c r="Z34" s="443"/>
      <c r="AA34" s="443"/>
      <c r="AB34" s="443"/>
      <c r="AC34" s="443"/>
      <c r="AD34" s="411"/>
      <c r="AE34" s="448"/>
      <c r="AF34" s="449"/>
      <c r="AG34" s="443"/>
      <c r="AH34" s="449"/>
      <c r="AI34" s="443"/>
      <c r="AJ34" s="449"/>
      <c r="AK34" s="443"/>
      <c r="AL34" s="449"/>
      <c r="AM34" s="443"/>
      <c r="AN34" s="443"/>
      <c r="AO34" s="443"/>
      <c r="AP34" s="443"/>
      <c r="AQ34" s="443"/>
      <c r="AR34" s="443"/>
      <c r="AS34" s="443"/>
      <c r="AT34" s="443"/>
      <c r="AU34" s="443"/>
      <c r="AV34" s="449"/>
      <c r="AW34" s="443"/>
      <c r="AX34" s="2">
        <f t="shared" si="1"/>
        <v>3000</v>
      </c>
    </row>
    <row r="35" spans="1:50" ht="21" thickBot="1">
      <c r="A35" s="418">
        <v>43921</v>
      </c>
      <c r="B35" s="419">
        <v>192000</v>
      </c>
      <c r="C35" s="419"/>
      <c r="D35" s="420">
        <f t="shared" si="0"/>
        <v>192000</v>
      </c>
      <c r="E35" s="421">
        <v>10076</v>
      </c>
      <c r="F35" s="422"/>
      <c r="G35" s="423">
        <v>1229</v>
      </c>
      <c r="H35" s="424">
        <v>0</v>
      </c>
      <c r="I35" s="450"/>
      <c r="J35" s="451"/>
      <c r="K35" s="406"/>
      <c r="L35" s="310"/>
      <c r="M35" s="310"/>
      <c r="N35" s="310"/>
      <c r="O35" s="310"/>
      <c r="P35" s="427">
        <v>44227</v>
      </c>
      <c r="Q35" s="452"/>
      <c r="R35" s="452"/>
      <c r="S35" s="452">
        <v>80000</v>
      </c>
      <c r="T35" s="452"/>
      <c r="U35" s="452">
        <v>87000</v>
      </c>
      <c r="V35" s="452"/>
      <c r="W35" s="452"/>
      <c r="X35" s="452"/>
      <c r="Y35" s="452"/>
      <c r="Z35" s="452">
        <v>25000</v>
      </c>
      <c r="AA35" s="452"/>
      <c r="AB35" s="452"/>
      <c r="AC35" s="452"/>
      <c r="AD35" s="452"/>
      <c r="AE35" s="452"/>
      <c r="AF35" s="452"/>
      <c r="AG35" s="452"/>
      <c r="AH35" s="452"/>
      <c r="AI35" s="452"/>
      <c r="AJ35" s="452"/>
      <c r="AK35" s="452"/>
      <c r="AL35" s="452"/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52"/>
      <c r="AX35" s="2">
        <f t="shared" si="1"/>
        <v>192000</v>
      </c>
    </row>
    <row r="36" spans="1:50" ht="21" thickBot="1">
      <c r="A36" s="453"/>
      <c r="B36" s="66" t="s">
        <v>38</v>
      </c>
      <c r="C36" s="454" t="s">
        <v>39</v>
      </c>
      <c r="D36" s="455" t="s">
        <v>34</v>
      </c>
      <c r="E36" s="68" t="s">
        <v>40</v>
      </c>
      <c r="F36" s="397" t="s">
        <v>16</v>
      </c>
      <c r="G36" s="456" t="s">
        <v>5</v>
      </c>
      <c r="H36" s="71" t="s">
        <v>41</v>
      </c>
      <c r="I36" s="72" t="s">
        <v>42</v>
      </c>
      <c r="J36" s="457" t="s">
        <v>43</v>
      </c>
      <c r="K36" s="458"/>
      <c r="L36" s="310"/>
      <c r="M36" s="310"/>
      <c r="N36" s="310"/>
      <c r="O36" s="310"/>
      <c r="P36" s="80"/>
      <c r="Q36" s="433">
        <f>SUM(Q5:Q35)</f>
        <v>0</v>
      </c>
      <c r="R36" s="433">
        <f t="shared" ref="R36:AW36" si="2">SUM(R5:R35)</f>
        <v>0</v>
      </c>
      <c r="S36" s="433">
        <f t="shared" si="2"/>
        <v>128000</v>
      </c>
      <c r="T36" s="433">
        <f t="shared" si="2"/>
        <v>0</v>
      </c>
      <c r="U36" s="433">
        <f t="shared" si="2"/>
        <v>1152000</v>
      </c>
      <c r="V36" s="433">
        <f t="shared" si="2"/>
        <v>0</v>
      </c>
      <c r="W36" s="433">
        <f t="shared" si="2"/>
        <v>310000</v>
      </c>
      <c r="X36" s="433">
        <f t="shared" si="2"/>
        <v>0</v>
      </c>
      <c r="Y36" s="433">
        <f t="shared" si="2"/>
        <v>30000</v>
      </c>
      <c r="Z36" s="433">
        <f t="shared" si="2"/>
        <v>307000</v>
      </c>
      <c r="AA36" s="433">
        <f t="shared" si="2"/>
        <v>0</v>
      </c>
      <c r="AB36" s="433">
        <f t="shared" si="2"/>
        <v>280000</v>
      </c>
      <c r="AC36" s="433">
        <f t="shared" si="2"/>
        <v>0</v>
      </c>
      <c r="AD36" s="433">
        <f t="shared" si="2"/>
        <v>0</v>
      </c>
      <c r="AE36" s="433">
        <f t="shared" si="2"/>
        <v>0</v>
      </c>
      <c r="AF36" s="433">
        <f t="shared" si="2"/>
        <v>0</v>
      </c>
      <c r="AG36" s="433">
        <f t="shared" si="2"/>
        <v>0</v>
      </c>
      <c r="AH36" s="433">
        <f t="shared" si="2"/>
        <v>0</v>
      </c>
      <c r="AI36" s="433">
        <f t="shared" si="2"/>
        <v>0</v>
      </c>
      <c r="AJ36" s="433">
        <f t="shared" si="2"/>
        <v>0</v>
      </c>
      <c r="AK36" s="433">
        <f t="shared" si="2"/>
        <v>0</v>
      </c>
      <c r="AL36" s="433">
        <f t="shared" si="2"/>
        <v>0</v>
      </c>
      <c r="AM36" s="433">
        <f t="shared" si="2"/>
        <v>0</v>
      </c>
      <c r="AN36" s="433">
        <f t="shared" si="2"/>
        <v>7000</v>
      </c>
      <c r="AO36" s="433">
        <f t="shared" si="2"/>
        <v>20000</v>
      </c>
      <c r="AP36" s="433">
        <f t="shared" si="2"/>
        <v>10000</v>
      </c>
      <c r="AQ36" s="433">
        <f t="shared" si="2"/>
        <v>7000</v>
      </c>
      <c r="AR36" s="433">
        <f t="shared" si="2"/>
        <v>40000</v>
      </c>
      <c r="AS36" s="433">
        <f t="shared" si="2"/>
        <v>15000</v>
      </c>
      <c r="AT36" s="433">
        <f t="shared" si="2"/>
        <v>7000</v>
      </c>
      <c r="AU36" s="433">
        <f t="shared" si="2"/>
        <v>27000</v>
      </c>
      <c r="AV36" s="433">
        <f t="shared" si="2"/>
        <v>15000</v>
      </c>
      <c r="AW36" s="433">
        <f t="shared" si="2"/>
        <v>0</v>
      </c>
      <c r="AX36">
        <f>SUM(AX5:AX35)</f>
        <v>2355000</v>
      </c>
    </row>
    <row r="37" spans="1:50" ht="22" thickTop="1" thickBot="1">
      <c r="A37" s="459" t="s">
        <v>33</v>
      </c>
      <c r="B37" s="460">
        <f>SUM(B5:B35)</f>
        <v>2080000</v>
      </c>
      <c r="C37" s="460">
        <f>SUM(C5:C35)</f>
        <v>355000</v>
      </c>
      <c r="D37" s="460">
        <f t="shared" ref="D37:J37" si="3">SUM(D5:D35)</f>
        <v>2435000</v>
      </c>
      <c r="E37" s="460">
        <f t="shared" si="3"/>
        <v>171894</v>
      </c>
      <c r="F37" s="460">
        <f t="shared" si="3"/>
        <v>181920</v>
      </c>
      <c r="G37" s="460">
        <f t="shared" si="3"/>
        <v>14104</v>
      </c>
      <c r="H37" s="460">
        <f t="shared" si="3"/>
        <v>0</v>
      </c>
      <c r="I37" s="460">
        <f t="shared" si="3"/>
        <v>0</v>
      </c>
      <c r="J37" s="460">
        <f t="shared" si="3"/>
        <v>0</v>
      </c>
      <c r="K37" s="458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</row>
    <row r="38" spans="1:50" ht="21" thickBot="1">
      <c r="A38" s="310"/>
      <c r="B38" s="461"/>
      <c r="C38" s="310"/>
      <c r="D38" s="310"/>
      <c r="E38" s="411"/>
      <c r="F38" s="411"/>
      <c r="G38" s="411"/>
      <c r="H38" s="411"/>
      <c r="I38" s="411"/>
      <c r="J38" s="411"/>
      <c r="K38" s="310"/>
      <c r="L38" s="310"/>
      <c r="M38" s="310"/>
      <c r="N38" s="310"/>
      <c r="O38" s="310"/>
      <c r="P38" s="604" t="s">
        <v>283</v>
      </c>
      <c r="Q38" s="600">
        <f>Q36 * 0.35</f>
        <v>0</v>
      </c>
      <c r="R38" s="600">
        <f>R36 * 0.35</f>
        <v>0</v>
      </c>
      <c r="S38" s="600">
        <f>S36 * 0.35</f>
        <v>44800</v>
      </c>
      <c r="T38" s="600">
        <f>T36 * 0.35</f>
        <v>0</v>
      </c>
      <c r="U38" s="600">
        <f t="shared" ref="U38:AW38" si="4">U36 * 0.35</f>
        <v>403200</v>
      </c>
      <c r="V38" s="600">
        <f t="shared" si="4"/>
        <v>0</v>
      </c>
      <c r="W38" s="600">
        <f t="shared" si="4"/>
        <v>108500</v>
      </c>
      <c r="X38" s="600">
        <f t="shared" si="4"/>
        <v>0</v>
      </c>
      <c r="Y38" s="600">
        <f t="shared" si="4"/>
        <v>10500</v>
      </c>
      <c r="Z38" s="600">
        <f t="shared" si="4"/>
        <v>107450</v>
      </c>
      <c r="AA38" s="600">
        <f t="shared" si="4"/>
        <v>0</v>
      </c>
      <c r="AB38" s="600">
        <f t="shared" si="4"/>
        <v>98000</v>
      </c>
      <c r="AC38" s="600">
        <f t="shared" si="4"/>
        <v>0</v>
      </c>
      <c r="AD38" s="600">
        <f t="shared" si="4"/>
        <v>0</v>
      </c>
      <c r="AE38" s="600">
        <f t="shared" si="4"/>
        <v>0</v>
      </c>
      <c r="AF38" s="600">
        <f t="shared" si="4"/>
        <v>0</v>
      </c>
      <c r="AG38" s="600">
        <f t="shared" si="4"/>
        <v>0</v>
      </c>
      <c r="AH38" s="600">
        <f t="shared" si="4"/>
        <v>0</v>
      </c>
      <c r="AI38" s="600">
        <f t="shared" si="4"/>
        <v>0</v>
      </c>
      <c r="AJ38" s="600">
        <f t="shared" si="4"/>
        <v>0</v>
      </c>
      <c r="AK38" s="600">
        <f t="shared" si="4"/>
        <v>0</v>
      </c>
      <c r="AL38" s="600">
        <f t="shared" si="4"/>
        <v>0</v>
      </c>
      <c r="AM38" s="600">
        <f t="shared" si="4"/>
        <v>0</v>
      </c>
      <c r="AN38" s="600">
        <f t="shared" si="4"/>
        <v>2450</v>
      </c>
      <c r="AO38" s="600">
        <f t="shared" si="4"/>
        <v>7000</v>
      </c>
      <c r="AP38" s="600">
        <f t="shared" si="4"/>
        <v>3500</v>
      </c>
      <c r="AQ38" s="600">
        <f t="shared" si="4"/>
        <v>2450</v>
      </c>
      <c r="AR38" s="600">
        <f t="shared" si="4"/>
        <v>14000</v>
      </c>
      <c r="AS38" s="600">
        <f t="shared" si="4"/>
        <v>5250</v>
      </c>
      <c r="AT38" s="600">
        <f t="shared" si="4"/>
        <v>2450</v>
      </c>
      <c r="AU38" s="600">
        <f t="shared" si="4"/>
        <v>9450</v>
      </c>
      <c r="AV38" s="600">
        <f t="shared" si="4"/>
        <v>5250</v>
      </c>
      <c r="AW38" s="600">
        <f t="shared" si="4"/>
        <v>0</v>
      </c>
    </row>
    <row r="39" spans="1:50" ht="21" thickBot="1">
      <c r="A39" s="403" t="s">
        <v>2</v>
      </c>
      <c r="B39" s="405" t="s">
        <v>47</v>
      </c>
      <c r="C39" s="461">
        <f>B37-B46</f>
        <v>1890000</v>
      </c>
      <c r="D39" s="310"/>
      <c r="E39" s="411"/>
      <c r="F39" s="411"/>
      <c r="G39" s="468" t="s">
        <v>284</v>
      </c>
      <c r="H39" s="469">
        <f>F37+G37-B46</f>
        <v>6024</v>
      </c>
      <c r="I39" s="467"/>
      <c r="J39" s="411"/>
      <c r="K39" s="310"/>
      <c r="L39" s="310"/>
      <c r="M39" s="310"/>
      <c r="N39" s="310"/>
      <c r="O39" s="310"/>
      <c r="P39" s="605"/>
      <c r="Q39" s="601"/>
      <c r="R39" s="601"/>
      <c r="S39" s="601"/>
      <c r="T39" s="601"/>
      <c r="U39" s="601"/>
      <c r="V39" s="601"/>
      <c r="W39" s="601"/>
      <c r="X39" s="601"/>
      <c r="Y39" s="601"/>
      <c r="Z39" s="601"/>
      <c r="AA39" s="601"/>
      <c r="AB39" s="601"/>
      <c r="AC39" s="601"/>
      <c r="AD39" s="601"/>
      <c r="AE39" s="601"/>
      <c r="AF39" s="601"/>
      <c r="AG39" s="601"/>
      <c r="AH39" s="601"/>
      <c r="AI39" s="601"/>
      <c r="AJ39" s="601"/>
      <c r="AK39" s="601"/>
      <c r="AL39" s="601"/>
      <c r="AM39" s="601"/>
      <c r="AN39" s="601"/>
      <c r="AO39" s="601"/>
      <c r="AP39" s="601"/>
      <c r="AQ39" s="601"/>
      <c r="AR39" s="601"/>
      <c r="AS39" s="601"/>
      <c r="AT39" s="601"/>
      <c r="AU39" s="601"/>
      <c r="AV39" s="601"/>
      <c r="AW39" s="601"/>
    </row>
    <row r="40" spans="1:50">
      <c r="A40" s="466">
        <v>44258</v>
      </c>
      <c r="B40" s="463">
        <v>5000</v>
      </c>
      <c r="C40" s="310"/>
      <c r="D40" s="310"/>
      <c r="E40" s="310"/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464"/>
      <c r="R40" s="465"/>
      <c r="S40" s="465"/>
      <c r="T40" s="465"/>
      <c r="U40" s="465"/>
      <c r="V40" s="465"/>
      <c r="W40" s="465"/>
      <c r="X40" s="465"/>
      <c r="Y40" s="465"/>
      <c r="Z40" s="465"/>
      <c r="AA40" s="465"/>
      <c r="AB40" s="465"/>
      <c r="AC40" s="465"/>
      <c r="AD40" s="465"/>
      <c r="AE40" s="465"/>
      <c r="AF40" s="465"/>
      <c r="AG40" s="465"/>
      <c r="AH40" s="465"/>
      <c r="AI40" s="465"/>
      <c r="AJ40" s="465"/>
      <c r="AK40" s="465"/>
      <c r="AL40" s="465"/>
      <c r="AM40" s="465"/>
      <c r="AN40" s="465"/>
      <c r="AO40" s="465"/>
      <c r="AP40" s="465"/>
      <c r="AQ40" s="465"/>
      <c r="AR40" s="465"/>
      <c r="AS40" s="465"/>
      <c r="AT40" s="465"/>
      <c r="AU40" s="465"/>
      <c r="AV40" s="465"/>
      <c r="AW40" s="465"/>
    </row>
    <row r="41" spans="1:50">
      <c r="A41" s="466">
        <v>44266</v>
      </c>
      <c r="B41" s="463">
        <v>100000</v>
      </c>
      <c r="C41" s="310"/>
      <c r="D41" s="310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464"/>
      <c r="R41" s="465"/>
      <c r="S41" s="465"/>
      <c r="T41" s="465"/>
      <c r="U41" s="465"/>
      <c r="V41" s="465"/>
      <c r="W41" s="465"/>
      <c r="X41" s="465"/>
      <c r="Y41" s="465"/>
      <c r="Z41" s="465"/>
      <c r="AA41" s="465"/>
      <c r="AB41" s="465"/>
      <c r="AC41" s="465"/>
      <c r="AD41" s="465"/>
      <c r="AE41" s="465"/>
      <c r="AF41" s="465"/>
      <c r="AG41" s="465"/>
      <c r="AH41" s="465"/>
      <c r="AI41" s="465"/>
      <c r="AJ41" s="465"/>
      <c r="AK41" s="465"/>
      <c r="AL41" s="465"/>
      <c r="AM41" s="465"/>
      <c r="AN41" s="465"/>
      <c r="AO41" s="465"/>
      <c r="AP41" s="465"/>
      <c r="AQ41" s="465"/>
      <c r="AR41" s="465"/>
      <c r="AS41" s="465"/>
      <c r="AT41" s="465"/>
      <c r="AU41" s="465"/>
      <c r="AV41" s="465"/>
      <c r="AW41" s="465"/>
    </row>
    <row r="42" spans="1:50">
      <c r="A42" s="466">
        <v>44283</v>
      </c>
      <c r="B42" s="463">
        <v>80000</v>
      </c>
      <c r="C42" s="310" t="s">
        <v>290</v>
      </c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310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</row>
    <row r="43" spans="1:50">
      <c r="A43" s="466">
        <v>44286</v>
      </c>
      <c r="B43" s="463">
        <v>5000</v>
      </c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0"/>
      <c r="AC43" s="310"/>
      <c r="AD43" s="310"/>
      <c r="AE43" s="310"/>
      <c r="AF43" s="310"/>
      <c r="AG43" s="310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</row>
    <row r="44" spans="1:50">
      <c r="A44" s="462"/>
      <c r="B44" s="463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</row>
    <row r="45" spans="1:50">
      <c r="A45" s="462"/>
      <c r="B45" s="463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  <c r="Y45" s="310"/>
      <c r="Z45" s="310"/>
      <c r="AA45" s="310"/>
      <c r="AB45" s="310"/>
      <c r="AC45" s="310"/>
      <c r="AD45" s="310"/>
      <c r="AE45" s="310"/>
      <c r="AF45" s="310"/>
      <c r="AG45" s="310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</row>
    <row r="46" spans="1:50">
      <c r="A46" s="462" t="s">
        <v>33</v>
      </c>
      <c r="B46" s="463">
        <f>SUM(B40:B45)</f>
        <v>190000</v>
      </c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310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</row>
    <row r="47" spans="1:50">
      <c r="A47" s="310"/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10"/>
      <c r="S47" s="310"/>
      <c r="T47" s="310"/>
      <c r="U47" s="310"/>
      <c r="V47" s="310"/>
      <c r="W47" s="310"/>
      <c r="X47" s="310"/>
      <c r="Y47" s="310"/>
      <c r="Z47" s="310"/>
      <c r="AA47" s="310"/>
      <c r="AB47" s="310"/>
      <c r="AC47" s="310"/>
      <c r="AD47" s="310"/>
      <c r="AE47" s="310"/>
      <c r="AF47" s="310"/>
      <c r="AG47" s="310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</row>
    <row r="48" spans="1:50">
      <c r="A48" s="310"/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0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</row>
  </sheetData>
  <mergeCells count="77">
    <mergeCell ref="I3:I4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N11:N12"/>
    <mergeCell ref="P38:P39"/>
    <mergeCell ref="Q38:Q39"/>
    <mergeCell ref="R38:R39"/>
    <mergeCell ref="S38:S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</mergeCells>
  <phoneticPr fontId="7"/>
  <dataValidations count="1">
    <dataValidation type="list" allowBlank="1" showErrorMessage="1" sqref="Z3:Z4 AB3:AB4 AD3:AD4 AF3:AF4 AH3:AH4 AJ3:AJ4 AL3:AL4 AN3:AV4" xr:uid="{A1036F09-05D1-5048-A7D5-431E73DED3D0}">
      <formula1>名前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DC55-5B0C-A941-9533-044A073A3DB9}">
  <dimension ref="A1:AX51"/>
  <sheetViews>
    <sheetView topLeftCell="L13" zoomScale="99" workbookViewId="0">
      <selection activeCell="C39" sqref="C39"/>
    </sheetView>
  </sheetViews>
  <sheetFormatPr baseColWidth="10" defaultRowHeight="20"/>
  <cols>
    <col min="1" max="1" width="14.7109375" bestFit="1" customWidth="1"/>
    <col min="45" max="45" width="14.28515625" bestFit="1" customWidth="1"/>
  </cols>
  <sheetData>
    <row r="1" spans="1:50">
      <c r="A1" s="498">
        <v>2020</v>
      </c>
      <c r="B1" s="500">
        <v>4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252</v>
      </c>
      <c r="AA3" s="494">
        <v>0.3</v>
      </c>
      <c r="AB3" s="492" t="s">
        <v>262</v>
      </c>
      <c r="AC3" s="494">
        <v>0.3</v>
      </c>
      <c r="AD3" s="496" t="s">
        <v>234</v>
      </c>
      <c r="AE3" s="494">
        <v>0.3</v>
      </c>
      <c r="AF3" s="527" t="s">
        <v>248</v>
      </c>
      <c r="AG3" s="494">
        <v>0.3</v>
      </c>
      <c r="AH3" s="492" t="s">
        <v>248</v>
      </c>
      <c r="AI3" s="494">
        <v>0.3</v>
      </c>
      <c r="AJ3" s="496" t="s">
        <v>248</v>
      </c>
      <c r="AK3" s="494">
        <v>0.3</v>
      </c>
      <c r="AL3" s="496" t="s">
        <v>248</v>
      </c>
      <c r="AM3" s="523">
        <v>0.3</v>
      </c>
      <c r="AN3" s="496" t="s">
        <v>273</v>
      </c>
      <c r="AO3" s="520" t="s">
        <v>190</v>
      </c>
      <c r="AP3" s="520" t="s">
        <v>240</v>
      </c>
      <c r="AQ3" s="520" t="s">
        <v>139</v>
      </c>
      <c r="AR3" s="525" t="s">
        <v>120</v>
      </c>
      <c r="AS3" s="520" t="s">
        <v>291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277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43922</v>
      </c>
      <c r="B5" s="23">
        <v>36000</v>
      </c>
      <c r="C5" s="23"/>
      <c r="D5" s="24">
        <f t="shared" ref="D5:D35" si="1">SUM(B5:C5)</f>
        <v>36000</v>
      </c>
      <c r="E5" s="25">
        <v>29496</v>
      </c>
      <c r="F5" s="26"/>
      <c r="G5" s="27"/>
      <c r="H5" s="216">
        <f t="shared" ref="H5:H35" si="2">SUM(E5:G5)</f>
        <v>29496</v>
      </c>
      <c r="I5" s="27"/>
      <c r="J5" s="28"/>
      <c r="K5" s="29"/>
      <c r="L5" s="1"/>
      <c r="M5" s="1"/>
      <c r="N5" s="1"/>
      <c r="O5" s="1"/>
      <c r="P5" s="55">
        <v>43831</v>
      </c>
      <c r="Q5" s="35"/>
      <c r="R5" s="138"/>
      <c r="S5" s="139"/>
      <c r="T5" s="138"/>
      <c r="U5" s="190">
        <v>23000</v>
      </c>
      <c r="V5" s="138"/>
      <c r="W5" s="141">
        <v>10000</v>
      </c>
      <c r="X5" s="138"/>
      <c r="Y5" s="166">
        <v>3000</v>
      </c>
      <c r="Z5" s="142"/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176">
        <f>SUM(Q5:AW5)</f>
        <v>36000</v>
      </c>
    </row>
    <row r="6" spans="1:50">
      <c r="A6" s="21">
        <f t="shared" si="0"/>
        <v>43923</v>
      </c>
      <c r="B6" s="38">
        <v>114000</v>
      </c>
      <c r="C6" s="23">
        <v>60000</v>
      </c>
      <c r="D6" s="24">
        <f t="shared" si="1"/>
        <v>174000</v>
      </c>
      <c r="E6" s="40">
        <f>13940+3382</f>
        <v>17322</v>
      </c>
      <c r="F6" s="35"/>
      <c r="G6" s="27"/>
      <c r="H6" s="216">
        <f t="shared" si="2"/>
        <v>17322</v>
      </c>
      <c r="I6" s="35"/>
      <c r="J6" s="41"/>
      <c r="K6" s="29"/>
      <c r="L6" s="1"/>
      <c r="M6" s="1"/>
      <c r="N6" s="1"/>
      <c r="O6" s="1"/>
      <c r="P6" s="55">
        <v>43832</v>
      </c>
      <c r="Q6" s="35"/>
      <c r="R6" s="138"/>
      <c r="S6" s="139"/>
      <c r="T6" s="138"/>
      <c r="U6" s="143">
        <v>116000</v>
      </c>
      <c r="V6" s="138"/>
      <c r="W6" s="147"/>
      <c r="X6" s="138"/>
      <c r="Y6" s="166"/>
      <c r="Z6" s="142">
        <v>35000</v>
      </c>
      <c r="AA6" s="138"/>
      <c r="AB6" s="143">
        <v>23000</v>
      </c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176">
        <f t="shared" ref="AX6:AX35" si="3">SUM(Q6:AW6)</f>
        <v>174000</v>
      </c>
    </row>
    <row r="7" spans="1:50">
      <c r="A7" s="21">
        <f t="shared" si="0"/>
        <v>43924</v>
      </c>
      <c r="B7" s="38">
        <v>101000</v>
      </c>
      <c r="C7" s="23"/>
      <c r="D7" s="24">
        <f t="shared" si="1"/>
        <v>101000</v>
      </c>
      <c r="E7" s="40"/>
      <c r="F7" s="35"/>
      <c r="G7" s="27">
        <v>654</v>
      </c>
      <c r="H7" s="216">
        <f t="shared" si="2"/>
        <v>654</v>
      </c>
      <c r="I7" s="35"/>
      <c r="J7" s="41"/>
      <c r="K7" s="29"/>
      <c r="L7" s="1"/>
      <c r="M7" s="1"/>
      <c r="N7" s="1"/>
      <c r="O7" s="1"/>
      <c r="P7" s="55">
        <v>43833</v>
      </c>
      <c r="Q7" s="35"/>
      <c r="R7" s="138"/>
      <c r="S7" s="139"/>
      <c r="T7" s="138"/>
      <c r="U7" s="143">
        <v>46000</v>
      </c>
      <c r="V7" s="138"/>
      <c r="W7" s="147"/>
      <c r="X7" s="138"/>
      <c r="Y7" s="166"/>
      <c r="Z7" s="142">
        <v>11000</v>
      </c>
      <c r="AA7" s="138"/>
      <c r="AB7" s="139">
        <v>23000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>
        <v>21000</v>
      </c>
      <c r="AO7" s="168"/>
      <c r="AP7" s="158"/>
      <c r="AQ7" s="172"/>
      <c r="AR7" s="172"/>
      <c r="AS7" s="172"/>
      <c r="AT7" s="172"/>
      <c r="AU7" s="172"/>
      <c r="AV7" s="162"/>
      <c r="AW7" s="138"/>
      <c r="AX7" s="176">
        <f t="shared" si="3"/>
        <v>101000</v>
      </c>
    </row>
    <row r="8" spans="1:50">
      <c r="A8" s="21">
        <f t="shared" si="0"/>
        <v>43925</v>
      </c>
      <c r="B8" s="38">
        <v>115000</v>
      </c>
      <c r="C8" s="23"/>
      <c r="D8" s="24">
        <f t="shared" si="1"/>
        <v>115000</v>
      </c>
      <c r="E8" s="40"/>
      <c r="F8" s="35"/>
      <c r="G8" s="27"/>
      <c r="H8" s="216">
        <f t="shared" si="2"/>
        <v>0</v>
      </c>
      <c r="I8" s="35"/>
      <c r="J8" s="41"/>
      <c r="K8" s="29"/>
      <c r="L8" s="1"/>
      <c r="M8" s="1"/>
      <c r="N8" s="1"/>
      <c r="O8" s="1"/>
      <c r="P8" s="55">
        <v>43834</v>
      </c>
      <c r="Q8" s="35"/>
      <c r="R8" s="138"/>
      <c r="S8" s="139"/>
      <c r="T8" s="138"/>
      <c r="U8" s="143">
        <v>4000</v>
      </c>
      <c r="V8" s="138"/>
      <c r="W8" s="147">
        <v>75000</v>
      </c>
      <c r="X8" s="138"/>
      <c r="Y8" s="166"/>
      <c r="Z8" s="142"/>
      <c r="AA8" s="138"/>
      <c r="AB8" s="139">
        <v>36000</v>
      </c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176">
        <f t="shared" si="3"/>
        <v>115000</v>
      </c>
    </row>
    <row r="9" spans="1:50">
      <c r="A9" s="21">
        <f t="shared" si="0"/>
        <v>43926</v>
      </c>
      <c r="B9" s="38">
        <v>44000</v>
      </c>
      <c r="C9" s="23"/>
      <c r="D9" s="24">
        <f t="shared" si="1"/>
        <v>44000</v>
      </c>
      <c r="E9" s="40">
        <f>9792+7480+10180+13124</f>
        <v>40576</v>
      </c>
      <c r="F9" s="35">
        <v>8030</v>
      </c>
      <c r="G9" s="27">
        <v>999</v>
      </c>
      <c r="H9" s="216">
        <f t="shared" si="2"/>
        <v>49605</v>
      </c>
      <c r="I9" s="35"/>
      <c r="J9" s="41"/>
      <c r="K9" s="29"/>
      <c r="L9" s="1"/>
      <c r="M9" s="1"/>
      <c r="N9" s="1"/>
      <c r="O9" s="1"/>
      <c r="P9" s="55">
        <v>43835</v>
      </c>
      <c r="Q9" s="35"/>
      <c r="R9" s="138"/>
      <c r="S9" s="139"/>
      <c r="T9" s="138"/>
      <c r="U9" s="139">
        <v>22000</v>
      </c>
      <c r="V9" s="138"/>
      <c r="W9" s="152">
        <v>2000</v>
      </c>
      <c r="X9" s="138"/>
      <c r="Y9" s="138">
        <v>20000</v>
      </c>
      <c r="Z9" s="139"/>
      <c r="AA9" s="138"/>
      <c r="AB9" s="139"/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176">
        <f t="shared" si="3"/>
        <v>44000</v>
      </c>
    </row>
    <row r="10" spans="1:50">
      <c r="A10" s="21">
        <f t="shared" si="0"/>
        <v>43927</v>
      </c>
      <c r="B10" s="38">
        <v>0</v>
      </c>
      <c r="C10" s="23"/>
      <c r="D10" s="24">
        <f t="shared" si="1"/>
        <v>0</v>
      </c>
      <c r="E10" s="40"/>
      <c r="F10" s="35"/>
      <c r="G10" s="27"/>
      <c r="H10" s="216">
        <f t="shared" si="2"/>
        <v>0</v>
      </c>
      <c r="I10" s="35"/>
      <c r="J10" s="41"/>
      <c r="K10" s="29"/>
      <c r="L10" s="1"/>
      <c r="M10" s="516" t="s">
        <v>26</v>
      </c>
      <c r="N10" s="517"/>
      <c r="O10" s="1"/>
      <c r="P10" s="55">
        <v>43836</v>
      </c>
      <c r="Q10" s="35"/>
      <c r="R10" s="138"/>
      <c r="S10" s="139"/>
      <c r="U10" s="139"/>
      <c r="V10" s="138"/>
      <c r="W10" s="139"/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176">
        <f t="shared" si="3"/>
        <v>0</v>
      </c>
    </row>
    <row r="11" spans="1:50">
      <c r="A11" s="21">
        <f t="shared" si="0"/>
        <v>43928</v>
      </c>
      <c r="B11" s="38">
        <v>47000</v>
      </c>
      <c r="C11" s="23">
        <v>14000</v>
      </c>
      <c r="D11" s="24">
        <f t="shared" si="1"/>
        <v>61000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18"/>
      <c r="O11" s="1"/>
      <c r="P11" s="55">
        <v>43837</v>
      </c>
      <c r="Q11" s="35"/>
      <c r="R11" s="138"/>
      <c r="S11" s="139"/>
      <c r="T11" s="138"/>
      <c r="U11" s="139">
        <v>12000</v>
      </c>
      <c r="V11" s="138"/>
      <c r="W11" s="139">
        <v>10000</v>
      </c>
      <c r="X11" s="138"/>
      <c r="Y11" s="138"/>
      <c r="Z11" s="139"/>
      <c r="AA11" s="138"/>
      <c r="AB11" s="139">
        <v>39000</v>
      </c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176">
        <f t="shared" si="3"/>
        <v>61000</v>
      </c>
    </row>
    <row r="12" spans="1:50">
      <c r="A12" s="21">
        <f t="shared" si="0"/>
        <v>43929</v>
      </c>
      <c r="B12" s="38">
        <v>119000</v>
      </c>
      <c r="C12" s="23"/>
      <c r="D12" s="24">
        <f t="shared" si="1"/>
        <v>119000</v>
      </c>
      <c r="E12" s="40">
        <v>42142</v>
      </c>
      <c r="F12" s="35"/>
      <c r="G12" s="27">
        <v>220</v>
      </c>
      <c r="H12" s="216">
        <f t="shared" si="2"/>
        <v>42362</v>
      </c>
      <c r="I12" s="35"/>
      <c r="J12" s="41"/>
      <c r="K12" s="29"/>
      <c r="L12" s="1"/>
      <c r="M12" s="47" t="s">
        <v>28</v>
      </c>
      <c r="N12" s="519"/>
      <c r="O12" s="1"/>
      <c r="P12" s="55">
        <v>43838</v>
      </c>
      <c r="Q12" s="35"/>
      <c r="R12" s="138"/>
      <c r="S12" s="139"/>
      <c r="T12" s="138"/>
      <c r="U12" s="139">
        <v>57000</v>
      </c>
      <c r="V12" s="138"/>
      <c r="W12" s="139">
        <v>5000</v>
      </c>
      <c r="X12" s="138"/>
      <c r="Y12" s="138"/>
      <c r="Z12" s="139">
        <v>45000</v>
      </c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>
        <v>12000</v>
      </c>
      <c r="AP12" s="167"/>
      <c r="AQ12" s="168"/>
      <c r="AR12" s="158"/>
      <c r="AS12" s="158"/>
      <c r="AT12" s="158"/>
      <c r="AU12" s="158"/>
      <c r="AV12" s="145"/>
      <c r="AW12" s="138"/>
      <c r="AX12" s="176">
        <f t="shared" si="3"/>
        <v>119000</v>
      </c>
    </row>
    <row r="13" spans="1:50">
      <c r="A13" s="21">
        <f t="shared" si="0"/>
        <v>43930</v>
      </c>
      <c r="B13" s="38">
        <v>38000</v>
      </c>
      <c r="C13" s="23"/>
      <c r="D13" s="24">
        <f t="shared" si="1"/>
        <v>38000</v>
      </c>
      <c r="E13" s="40"/>
      <c r="F13" s="35"/>
      <c r="G13" s="27"/>
      <c r="H13" s="216">
        <f t="shared" si="2"/>
        <v>0</v>
      </c>
      <c r="I13" s="35"/>
      <c r="J13" s="41"/>
      <c r="K13" s="29"/>
      <c r="L13" s="1"/>
      <c r="M13" s="47" t="s">
        <v>29</v>
      </c>
      <c r="N13" s="35"/>
      <c r="O13" s="1"/>
      <c r="P13" s="55">
        <v>43839</v>
      </c>
      <c r="Q13" s="35"/>
      <c r="R13" s="138"/>
      <c r="S13" s="139">
        <v>3000</v>
      </c>
      <c r="T13" s="138"/>
      <c r="U13" s="139">
        <v>12000</v>
      </c>
      <c r="V13" s="138"/>
      <c r="W13" s="139"/>
      <c r="X13" s="138"/>
      <c r="Y13" s="138"/>
      <c r="Z13" s="139">
        <v>18000</v>
      </c>
      <c r="AA13" s="138"/>
      <c r="AB13" s="139">
        <v>5000</v>
      </c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176">
        <f t="shared" si="3"/>
        <v>38000</v>
      </c>
    </row>
    <row r="14" spans="1:50">
      <c r="A14" s="21">
        <f t="shared" si="0"/>
        <v>43931</v>
      </c>
      <c r="B14" s="38">
        <v>170000</v>
      </c>
      <c r="C14" s="23">
        <v>30000</v>
      </c>
      <c r="D14" s="24">
        <f t="shared" si="1"/>
        <v>200000</v>
      </c>
      <c r="E14" s="40">
        <v>4342</v>
      </c>
      <c r="F14" s="44">
        <v>7007</v>
      </c>
      <c r="G14" s="27">
        <v>368</v>
      </c>
      <c r="H14" s="216">
        <f t="shared" si="2"/>
        <v>11717</v>
      </c>
      <c r="I14" s="35"/>
      <c r="J14" s="41"/>
      <c r="K14" s="29"/>
      <c r="L14" s="1"/>
      <c r="M14" s="47" t="s">
        <v>30</v>
      </c>
      <c r="N14" s="35"/>
      <c r="O14" s="1"/>
      <c r="P14" s="55">
        <v>43840</v>
      </c>
      <c r="Q14" s="35"/>
      <c r="R14" s="138"/>
      <c r="S14" s="139"/>
      <c r="T14" s="138"/>
      <c r="U14" s="139">
        <v>177000</v>
      </c>
      <c r="V14" s="138"/>
      <c r="W14" s="139"/>
      <c r="X14" s="138"/>
      <c r="Y14" s="138"/>
      <c r="Z14" s="139">
        <v>18000</v>
      </c>
      <c r="AA14" s="138"/>
      <c r="AB14" s="139"/>
      <c r="AC14" s="138"/>
      <c r="AD14" s="151">
        <v>5000</v>
      </c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176">
        <f t="shared" si="3"/>
        <v>200000</v>
      </c>
    </row>
    <row r="15" spans="1:50">
      <c r="A15" s="21">
        <f t="shared" si="0"/>
        <v>43932</v>
      </c>
      <c r="B15" s="38">
        <v>68000</v>
      </c>
      <c r="C15" s="23"/>
      <c r="D15" s="24">
        <f t="shared" si="1"/>
        <v>68000</v>
      </c>
      <c r="E15" s="40"/>
      <c r="F15" s="35">
        <v>25499</v>
      </c>
      <c r="G15" s="27">
        <v>1743</v>
      </c>
      <c r="H15" s="216">
        <f t="shared" si="2"/>
        <v>27242</v>
      </c>
      <c r="I15" s="35"/>
      <c r="J15" s="41"/>
      <c r="K15" s="29"/>
      <c r="L15" s="1"/>
      <c r="M15" s="47" t="s">
        <v>31</v>
      </c>
      <c r="N15" s="35"/>
      <c r="O15" s="1"/>
      <c r="P15" s="55">
        <v>43841</v>
      </c>
      <c r="Q15" s="35"/>
      <c r="R15" s="138"/>
      <c r="S15" s="139"/>
      <c r="T15" s="138"/>
      <c r="U15" s="139">
        <v>22000</v>
      </c>
      <c r="V15" s="138"/>
      <c r="W15" s="139">
        <v>15000</v>
      </c>
      <c r="X15" s="138"/>
      <c r="Y15" s="138">
        <v>23000</v>
      </c>
      <c r="Z15" s="139"/>
      <c r="AA15" s="138"/>
      <c r="AB15" s="139">
        <v>4000</v>
      </c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>
        <v>4000</v>
      </c>
      <c r="AQ15" s="168"/>
      <c r="AR15" s="158"/>
      <c r="AS15" s="158"/>
      <c r="AT15" s="158"/>
      <c r="AU15" s="158"/>
      <c r="AV15" s="145"/>
      <c r="AW15" s="138"/>
      <c r="AX15" s="176">
        <f t="shared" si="3"/>
        <v>68000</v>
      </c>
    </row>
    <row r="16" spans="1:50">
      <c r="A16" s="21">
        <f t="shared" si="0"/>
        <v>43933</v>
      </c>
      <c r="B16" s="38">
        <v>10000</v>
      </c>
      <c r="C16" s="23"/>
      <c r="D16" s="24">
        <f t="shared" si="1"/>
        <v>10000</v>
      </c>
      <c r="E16" s="40">
        <v>2630</v>
      </c>
      <c r="F16" s="35"/>
      <c r="G16" s="27"/>
      <c r="H16" s="216">
        <f t="shared" si="2"/>
        <v>2630</v>
      </c>
      <c r="I16" s="35"/>
      <c r="J16" s="41"/>
      <c r="K16" s="29"/>
      <c r="L16" s="1"/>
      <c r="M16" s="47" t="s">
        <v>32</v>
      </c>
      <c r="N16" s="35"/>
      <c r="O16" s="1"/>
      <c r="P16" s="55">
        <v>43842</v>
      </c>
      <c r="Q16" s="35"/>
      <c r="R16" s="138"/>
      <c r="S16" s="139"/>
      <c r="T16" s="138"/>
      <c r="U16" s="139">
        <v>4000</v>
      </c>
      <c r="V16" s="138"/>
      <c r="W16" s="139">
        <v>6000</v>
      </c>
      <c r="X16" s="138"/>
      <c r="Y16" s="138"/>
      <c r="Z16" s="139"/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176">
        <f t="shared" si="3"/>
        <v>10000</v>
      </c>
    </row>
    <row r="17" spans="1:50">
      <c r="A17" s="21">
        <f t="shared" si="0"/>
        <v>43934</v>
      </c>
      <c r="B17" s="38">
        <v>0</v>
      </c>
      <c r="C17" s="23"/>
      <c r="D17" s="24">
        <f t="shared" si="1"/>
        <v>0</v>
      </c>
      <c r="E17" s="40"/>
      <c r="F17" s="35"/>
      <c r="G17" s="27">
        <v>330</v>
      </c>
      <c r="H17" s="216">
        <f t="shared" si="2"/>
        <v>330</v>
      </c>
      <c r="I17" s="35"/>
      <c r="J17" s="41"/>
      <c r="K17" s="29"/>
      <c r="L17" s="1"/>
      <c r="M17" s="47"/>
      <c r="N17" s="35"/>
      <c r="O17" s="1"/>
      <c r="P17" s="55">
        <v>43843</v>
      </c>
      <c r="Q17" s="35"/>
      <c r="R17" s="138"/>
      <c r="S17" s="139"/>
      <c r="T17" s="138"/>
      <c r="U17" s="139"/>
      <c r="V17" s="138"/>
      <c r="W17" s="139"/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176">
        <f t="shared" si="3"/>
        <v>0</v>
      </c>
    </row>
    <row r="18" spans="1:50">
      <c r="A18" s="21">
        <f t="shared" si="0"/>
        <v>43935</v>
      </c>
      <c r="B18" s="38">
        <v>48000</v>
      </c>
      <c r="C18" s="23"/>
      <c r="D18" s="24">
        <f t="shared" si="1"/>
        <v>48000</v>
      </c>
      <c r="E18" s="40"/>
      <c r="F18" s="35"/>
      <c r="G18" s="27"/>
      <c r="H18" s="216">
        <f t="shared" si="2"/>
        <v>0</v>
      </c>
      <c r="I18" s="35"/>
      <c r="J18" s="41"/>
      <c r="K18" s="29"/>
      <c r="L18" s="1"/>
      <c r="M18" s="47"/>
      <c r="N18" s="35"/>
      <c r="O18" s="1"/>
      <c r="P18" s="55">
        <v>43844</v>
      </c>
      <c r="Q18" s="35">
        <v>18000</v>
      </c>
      <c r="R18" s="138"/>
      <c r="S18" s="139"/>
      <c r="T18" s="138"/>
      <c r="U18" s="139">
        <v>3000</v>
      </c>
      <c r="V18" s="138"/>
      <c r="W18" s="139"/>
      <c r="X18" s="138"/>
      <c r="Y18" s="138">
        <v>4000</v>
      </c>
      <c r="Z18" s="139"/>
      <c r="AA18" s="138"/>
      <c r="AB18" s="139">
        <v>23000</v>
      </c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176">
        <f t="shared" si="3"/>
        <v>48000</v>
      </c>
    </row>
    <row r="19" spans="1:50">
      <c r="A19" s="21">
        <f t="shared" si="0"/>
        <v>43936</v>
      </c>
      <c r="B19" s="38">
        <v>90000</v>
      </c>
      <c r="C19" s="23"/>
      <c r="D19" s="24">
        <f t="shared" si="1"/>
        <v>90000</v>
      </c>
      <c r="E19" s="40"/>
      <c r="F19" s="35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0</v>
      </c>
      <c r="O19" s="1"/>
      <c r="P19" s="55">
        <v>43845</v>
      </c>
      <c r="Q19" s="35"/>
      <c r="R19" s="138"/>
      <c r="S19" s="139"/>
      <c r="T19" s="138"/>
      <c r="U19" s="139">
        <v>40000</v>
      </c>
      <c r="V19" s="138"/>
      <c r="W19" s="139">
        <v>17000</v>
      </c>
      <c r="X19" s="138"/>
      <c r="Y19" s="138">
        <v>5000</v>
      </c>
      <c r="Z19" s="139">
        <v>10000</v>
      </c>
      <c r="AA19" s="138"/>
      <c r="AB19" s="139">
        <v>6000</v>
      </c>
      <c r="AC19" s="138"/>
      <c r="AD19" s="151">
        <v>12000</v>
      </c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176">
        <f t="shared" si="3"/>
        <v>90000</v>
      </c>
    </row>
    <row r="20" spans="1:50">
      <c r="A20" s="21">
        <f t="shared" si="0"/>
        <v>43937</v>
      </c>
      <c r="B20" s="38">
        <v>193000</v>
      </c>
      <c r="C20" s="474">
        <v>60000</v>
      </c>
      <c r="D20" s="24">
        <f t="shared" si="1"/>
        <v>253000</v>
      </c>
      <c r="E20" s="299">
        <f>9930+1290</f>
        <v>11220</v>
      </c>
      <c r="F20" s="35"/>
      <c r="G20" s="27">
        <v>836</v>
      </c>
      <c r="H20" s="216">
        <f t="shared" si="2"/>
        <v>12056</v>
      </c>
      <c r="I20" s="35"/>
      <c r="J20" s="41"/>
      <c r="K20" s="29"/>
      <c r="L20" s="1"/>
      <c r="M20" s="51"/>
      <c r="N20" s="7"/>
      <c r="O20" s="1"/>
      <c r="P20" s="55">
        <v>43846</v>
      </c>
      <c r="Q20" s="35"/>
      <c r="R20" s="138"/>
      <c r="S20" s="139">
        <v>15000</v>
      </c>
      <c r="T20" s="138"/>
      <c r="U20" s="139">
        <v>23000</v>
      </c>
      <c r="V20" s="138"/>
      <c r="W20" s="139">
        <v>21000</v>
      </c>
      <c r="X20" s="138"/>
      <c r="Y20" s="138"/>
      <c r="Z20" s="139">
        <v>10000</v>
      </c>
      <c r="AA20" s="138">
        <v>100000</v>
      </c>
      <c r="AB20" s="139">
        <v>80000</v>
      </c>
      <c r="AC20" s="138"/>
      <c r="AD20" s="151">
        <v>4000</v>
      </c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176">
        <f t="shared" si="3"/>
        <v>253000</v>
      </c>
    </row>
    <row r="21" spans="1:50">
      <c r="A21" s="21">
        <f t="shared" si="0"/>
        <v>43938</v>
      </c>
      <c r="B21" s="38">
        <v>82000</v>
      </c>
      <c r="C21" s="38">
        <v>17500</v>
      </c>
      <c r="D21" s="24">
        <f t="shared" si="1"/>
        <v>99500</v>
      </c>
      <c r="E21" s="40">
        <f>18040+10316</f>
        <v>28356</v>
      </c>
      <c r="F21" s="35"/>
      <c r="G21" s="408">
        <f>1998+654</f>
        <v>2652</v>
      </c>
      <c r="H21" s="216">
        <f t="shared" si="2"/>
        <v>31008</v>
      </c>
      <c r="I21" s="35"/>
      <c r="J21" s="41"/>
      <c r="K21" s="29"/>
      <c r="L21" s="1"/>
      <c r="M21" s="1"/>
      <c r="N21" s="1"/>
      <c r="O21" s="1"/>
      <c r="P21" s="55">
        <v>43847</v>
      </c>
      <c r="Q21" s="35"/>
      <c r="R21" s="138"/>
      <c r="S21" s="139"/>
      <c r="T21" s="138"/>
      <c r="U21" s="139">
        <v>8000</v>
      </c>
      <c r="V21" s="138"/>
      <c r="W21" s="139">
        <v>34500</v>
      </c>
      <c r="X21" s="138"/>
      <c r="Y21" s="138">
        <v>20000</v>
      </c>
      <c r="Z21" s="139"/>
      <c r="AA21" s="138"/>
      <c r="AB21" s="139">
        <v>37000</v>
      </c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176">
        <f t="shared" si="3"/>
        <v>99500</v>
      </c>
    </row>
    <row r="22" spans="1:50">
      <c r="A22" s="21">
        <f t="shared" si="0"/>
        <v>43939</v>
      </c>
      <c r="B22" s="38">
        <v>111000</v>
      </c>
      <c r="C22" s="38">
        <v>8000</v>
      </c>
      <c r="D22" s="24">
        <f t="shared" si="1"/>
        <v>119000</v>
      </c>
      <c r="E22" s="40"/>
      <c r="F22" s="35">
        <v>4268</v>
      </c>
      <c r="G22" s="27">
        <f>1998+316</f>
        <v>2314</v>
      </c>
      <c r="H22" s="216">
        <f t="shared" si="2"/>
        <v>6582</v>
      </c>
      <c r="I22" s="35"/>
      <c r="J22" s="41"/>
      <c r="K22" s="29"/>
      <c r="L22" s="1"/>
      <c r="M22" s="1"/>
      <c r="N22" s="1"/>
      <c r="O22" s="1"/>
      <c r="P22" s="55">
        <v>43848</v>
      </c>
      <c r="Q22" s="35"/>
      <c r="R22" s="138"/>
      <c r="S22" s="139"/>
      <c r="T22" s="138"/>
      <c r="U22" s="139">
        <v>46000</v>
      </c>
      <c r="V22" s="138"/>
      <c r="W22" s="139">
        <v>29000</v>
      </c>
      <c r="X22" s="138"/>
      <c r="Y22" s="375">
        <v>2000</v>
      </c>
      <c r="Z22" s="153"/>
      <c r="AA22" s="138"/>
      <c r="AB22" s="139">
        <v>32000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>
        <v>10000</v>
      </c>
      <c r="AQ22" s="160"/>
      <c r="AR22" s="158"/>
      <c r="AS22" s="158"/>
      <c r="AT22" s="158"/>
      <c r="AU22" s="158"/>
      <c r="AV22" s="145"/>
      <c r="AW22" s="138"/>
      <c r="AX22" s="176">
        <f t="shared" si="3"/>
        <v>119000</v>
      </c>
    </row>
    <row r="23" spans="1:50">
      <c r="A23" s="21">
        <f t="shared" si="0"/>
        <v>43940</v>
      </c>
      <c r="B23" s="38">
        <v>32000</v>
      </c>
      <c r="C23" s="38"/>
      <c r="D23" s="24">
        <f t="shared" si="1"/>
        <v>32000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43849</v>
      </c>
      <c r="Q23" s="35"/>
      <c r="R23" s="138"/>
      <c r="S23" s="139"/>
      <c r="T23" s="138"/>
      <c r="U23" s="139">
        <v>6000</v>
      </c>
      <c r="V23" s="138"/>
      <c r="W23" s="139"/>
      <c r="X23" s="138"/>
      <c r="Y23" s="138"/>
      <c r="Z23" s="139"/>
      <c r="AA23" s="138"/>
      <c r="AB23" s="139">
        <v>17000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>
        <v>9000</v>
      </c>
      <c r="AR23" s="158"/>
      <c r="AS23" s="158"/>
      <c r="AT23" s="158"/>
      <c r="AU23" s="158"/>
      <c r="AV23" s="145"/>
      <c r="AW23" s="138"/>
      <c r="AX23" s="176">
        <f t="shared" si="3"/>
        <v>32000</v>
      </c>
    </row>
    <row r="24" spans="1:50">
      <c r="A24" s="21">
        <f t="shared" si="0"/>
        <v>43941</v>
      </c>
      <c r="B24" s="38"/>
      <c r="C24" s="38"/>
      <c r="D24" s="24">
        <f t="shared" si="1"/>
        <v>0</v>
      </c>
      <c r="E24" s="40"/>
      <c r="F24" s="35"/>
      <c r="G24" s="27"/>
      <c r="H24" s="216">
        <f t="shared" si="2"/>
        <v>0</v>
      </c>
      <c r="I24" s="35"/>
      <c r="J24" s="41"/>
      <c r="K24" s="29"/>
      <c r="L24" s="1"/>
      <c r="M24" s="53" t="s">
        <v>34</v>
      </c>
      <c r="N24" s="38">
        <f>D37</f>
        <v>2146500</v>
      </c>
      <c r="O24" s="1"/>
      <c r="P24" s="55">
        <v>43850</v>
      </c>
      <c r="Q24" s="35"/>
      <c r="R24" s="138"/>
      <c r="S24" s="139"/>
      <c r="T24" s="138"/>
      <c r="U24" s="139"/>
      <c r="V24" s="138"/>
      <c r="W24" s="139"/>
      <c r="X24" s="138"/>
      <c r="Y24" s="138"/>
      <c r="Z24" s="139"/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176">
        <f t="shared" si="3"/>
        <v>0</v>
      </c>
    </row>
    <row r="25" spans="1:50">
      <c r="A25" s="21">
        <f t="shared" si="0"/>
        <v>43942</v>
      </c>
      <c r="B25" s="38">
        <v>1000</v>
      </c>
      <c r="C25" s="38">
        <v>5000</v>
      </c>
      <c r="D25" s="24">
        <f t="shared" si="1"/>
        <v>6000</v>
      </c>
      <c r="E25" s="40"/>
      <c r="F25" s="35"/>
      <c r="G25" s="27"/>
      <c r="H25" s="216">
        <f t="shared" si="2"/>
        <v>0</v>
      </c>
      <c r="I25" s="35"/>
      <c r="J25" s="41"/>
      <c r="K25" s="29"/>
      <c r="L25" s="1"/>
      <c r="M25" s="53" t="s">
        <v>35</v>
      </c>
      <c r="N25" s="38">
        <f>H37</f>
        <v>289151</v>
      </c>
      <c r="O25" s="1"/>
      <c r="P25" s="55">
        <v>43851</v>
      </c>
      <c r="Q25" s="35"/>
      <c r="R25" s="138"/>
      <c r="S25" s="139"/>
      <c r="T25" s="138"/>
      <c r="U25" s="139"/>
      <c r="V25" s="138"/>
      <c r="W25" s="139">
        <v>1000</v>
      </c>
      <c r="X25" s="138"/>
      <c r="Y25" s="138"/>
      <c r="Z25" s="139"/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>
        <v>5000</v>
      </c>
      <c r="AO25" s="138"/>
      <c r="AP25" s="138"/>
      <c r="AQ25" s="160"/>
      <c r="AR25" s="158"/>
      <c r="AS25" s="158"/>
      <c r="AT25" s="158"/>
      <c r="AU25" s="158"/>
      <c r="AV25" s="145"/>
      <c r="AW25" s="138"/>
      <c r="AX25" s="176">
        <f t="shared" si="3"/>
        <v>6000</v>
      </c>
    </row>
    <row r="26" spans="1:50">
      <c r="A26" s="21">
        <f t="shared" si="0"/>
        <v>43943</v>
      </c>
      <c r="B26" s="38">
        <v>16000</v>
      </c>
      <c r="C26" s="38"/>
      <c r="D26" s="24">
        <f t="shared" si="1"/>
        <v>16000</v>
      </c>
      <c r="E26" s="40">
        <f>6980+4337</f>
        <v>11317</v>
      </c>
      <c r="F26" s="35">
        <v>7007</v>
      </c>
      <c r="G26" s="27"/>
      <c r="H26" s="216">
        <f t="shared" si="2"/>
        <v>18324</v>
      </c>
      <c r="I26" s="35"/>
      <c r="J26" s="41"/>
      <c r="K26" s="29"/>
      <c r="L26" s="1"/>
      <c r="M26" s="53" t="s">
        <v>36</v>
      </c>
      <c r="N26" s="38">
        <f>N20</f>
        <v>0</v>
      </c>
      <c r="O26" s="1"/>
      <c r="P26" s="55">
        <v>43852</v>
      </c>
      <c r="Q26" s="35">
        <v>10000</v>
      </c>
      <c r="R26" s="138"/>
      <c r="S26" s="139"/>
      <c r="T26" s="138"/>
      <c r="U26" s="139"/>
      <c r="V26" s="138"/>
      <c r="W26" s="139">
        <v>6000</v>
      </c>
      <c r="X26" s="138"/>
      <c r="Y26" s="138"/>
      <c r="Z26" s="139"/>
      <c r="AA26" s="138"/>
      <c r="AB26" s="139"/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>
        <v>8000</v>
      </c>
      <c r="AO26" s="138"/>
      <c r="AP26" s="138"/>
      <c r="AQ26" s="160"/>
      <c r="AR26" s="158"/>
      <c r="AS26" s="158"/>
      <c r="AT26" s="158"/>
      <c r="AU26" s="158"/>
      <c r="AV26" s="145"/>
      <c r="AW26" s="138"/>
      <c r="AX26" s="176">
        <f t="shared" si="3"/>
        <v>24000</v>
      </c>
    </row>
    <row r="27" spans="1:50">
      <c r="A27" s="21">
        <f t="shared" si="0"/>
        <v>43944</v>
      </c>
      <c r="B27" s="38">
        <v>97000</v>
      </c>
      <c r="C27" s="38">
        <v>38000</v>
      </c>
      <c r="D27" s="24">
        <f t="shared" si="1"/>
        <v>135000</v>
      </c>
      <c r="E27" s="40">
        <f>3000+3000</f>
        <v>6000</v>
      </c>
      <c r="F27" s="35"/>
      <c r="G27" s="27"/>
      <c r="H27" s="216">
        <f t="shared" si="2"/>
        <v>6000</v>
      </c>
      <c r="I27" s="35"/>
      <c r="J27" s="41"/>
      <c r="K27" s="29"/>
      <c r="L27" s="1"/>
      <c r="M27" s="60" t="s">
        <v>37</v>
      </c>
      <c r="N27" s="61">
        <f>IFERROR(N24-N25-N26, "")</f>
        <v>1857349</v>
      </c>
      <c r="O27" s="1"/>
      <c r="P27" s="55">
        <v>43853</v>
      </c>
      <c r="Q27" s="35"/>
      <c r="R27" s="138"/>
      <c r="S27" s="139"/>
      <c r="T27" s="138"/>
      <c r="U27" s="139">
        <v>64000</v>
      </c>
      <c r="V27" s="138"/>
      <c r="W27" s="139"/>
      <c r="X27" s="138"/>
      <c r="Y27" s="138"/>
      <c r="Z27" s="139"/>
      <c r="AA27" s="138"/>
      <c r="AB27" s="139">
        <v>55000</v>
      </c>
      <c r="AC27" s="138"/>
      <c r="AD27" s="151">
        <v>8000</v>
      </c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176">
        <f t="shared" si="3"/>
        <v>127000</v>
      </c>
    </row>
    <row r="28" spans="1:50">
      <c r="A28" s="21">
        <f t="shared" si="0"/>
        <v>43945</v>
      </c>
      <c r="B28" s="38">
        <v>81000</v>
      </c>
      <c r="C28" s="38"/>
      <c r="D28" s="24">
        <f t="shared" si="1"/>
        <v>81000</v>
      </c>
      <c r="E28" s="299"/>
      <c r="F28" s="35">
        <v>14159</v>
      </c>
      <c r="G28" s="27"/>
      <c r="H28" s="216">
        <f t="shared" si="2"/>
        <v>14159</v>
      </c>
      <c r="I28" s="35"/>
      <c r="J28" s="41"/>
      <c r="K28" s="29"/>
      <c r="L28" s="1"/>
      <c r="M28" s="1"/>
      <c r="N28" s="1"/>
      <c r="O28" s="1"/>
      <c r="P28" s="55">
        <v>43854</v>
      </c>
      <c r="Q28" s="35"/>
      <c r="R28" s="138"/>
      <c r="S28" s="139"/>
      <c r="T28" s="138"/>
      <c r="U28" s="139">
        <v>54000</v>
      </c>
      <c r="V28" s="138"/>
      <c r="W28" s="139"/>
      <c r="X28" s="138"/>
      <c r="Y28" s="138"/>
      <c r="Z28" s="139"/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>
        <v>12000</v>
      </c>
      <c r="AQ28" s="138"/>
      <c r="AR28" s="159">
        <v>15000</v>
      </c>
      <c r="AS28" s="159"/>
      <c r="AT28" s="159"/>
      <c r="AU28" s="159"/>
      <c r="AV28" s="149"/>
      <c r="AW28" s="138"/>
      <c r="AX28" s="176">
        <f t="shared" si="3"/>
        <v>81000</v>
      </c>
    </row>
    <row r="29" spans="1:50">
      <c r="A29" s="21">
        <f t="shared" si="0"/>
        <v>43946</v>
      </c>
      <c r="B29" s="38">
        <v>35000</v>
      </c>
      <c r="C29" s="38"/>
      <c r="D29" s="24">
        <f t="shared" si="1"/>
        <v>35000</v>
      </c>
      <c r="E29" s="40"/>
      <c r="F29" s="35"/>
      <c r="G29" s="27">
        <v>127</v>
      </c>
      <c r="H29" s="216">
        <f t="shared" si="2"/>
        <v>127</v>
      </c>
      <c r="I29" s="35"/>
      <c r="J29" s="41"/>
      <c r="K29" s="29"/>
      <c r="L29" s="1"/>
      <c r="M29" s="1"/>
      <c r="N29" s="1"/>
      <c r="O29" s="1"/>
      <c r="P29" s="55">
        <v>43855</v>
      </c>
      <c r="Q29" s="35"/>
      <c r="R29" s="138"/>
      <c r="S29" s="139"/>
      <c r="T29" s="138"/>
      <c r="U29" s="139">
        <v>9000</v>
      </c>
      <c r="V29" s="138"/>
      <c r="W29" s="139">
        <v>26000</v>
      </c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176">
        <f t="shared" si="3"/>
        <v>35000</v>
      </c>
    </row>
    <row r="30" spans="1:50">
      <c r="A30" s="21">
        <f t="shared" si="0"/>
        <v>43947</v>
      </c>
      <c r="B30" s="38">
        <v>46000</v>
      </c>
      <c r="C30" s="38"/>
      <c r="D30" s="24">
        <f t="shared" si="1"/>
        <v>46000</v>
      </c>
      <c r="E30" s="40">
        <v>7230</v>
      </c>
      <c r="F30" s="35"/>
      <c r="G30" s="27"/>
      <c r="H30" s="216">
        <f t="shared" si="2"/>
        <v>7230</v>
      </c>
      <c r="I30" s="35"/>
      <c r="J30" s="41"/>
      <c r="K30" s="29"/>
      <c r="L30" s="1"/>
      <c r="M30" s="1"/>
      <c r="N30" s="1"/>
      <c r="O30" s="1"/>
      <c r="P30" s="55">
        <v>43856</v>
      </c>
      <c r="Q30" s="35"/>
      <c r="R30" s="138"/>
      <c r="S30" s="139"/>
      <c r="T30" s="138"/>
      <c r="U30" s="139">
        <v>8000</v>
      </c>
      <c r="V30" s="138"/>
      <c r="W30" s="139">
        <v>30000</v>
      </c>
      <c r="X30" s="138"/>
      <c r="Y30" s="138"/>
      <c r="Z30" s="139">
        <v>3000</v>
      </c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>
        <v>5000</v>
      </c>
      <c r="AT30" s="138"/>
      <c r="AU30" s="138"/>
      <c r="AV30" s="149"/>
      <c r="AW30" s="138"/>
      <c r="AX30" s="176">
        <f t="shared" si="3"/>
        <v>46000</v>
      </c>
    </row>
    <row r="31" spans="1:50">
      <c r="A31" s="21">
        <f t="shared" si="0"/>
        <v>43948</v>
      </c>
      <c r="B31" s="38">
        <v>0</v>
      </c>
      <c r="C31" s="38"/>
      <c r="D31" s="24">
        <f t="shared" si="1"/>
        <v>0</v>
      </c>
      <c r="E31" s="40"/>
      <c r="F31" s="35"/>
      <c r="G31" s="27"/>
      <c r="H31" s="216">
        <f t="shared" si="2"/>
        <v>0</v>
      </c>
      <c r="I31" s="35"/>
      <c r="J31" s="41"/>
      <c r="K31" s="29"/>
      <c r="L31" s="1"/>
      <c r="M31" s="1"/>
      <c r="N31" s="1"/>
      <c r="O31" s="1"/>
      <c r="P31" s="55">
        <v>43857</v>
      </c>
      <c r="Q31" s="35"/>
      <c r="R31" s="138"/>
      <c r="S31" s="139"/>
      <c r="T31" s="138"/>
      <c r="U31" s="139"/>
      <c r="V31" s="138"/>
      <c r="W31" s="139"/>
      <c r="X31" s="138"/>
      <c r="Y31" s="138"/>
      <c r="Z31" s="139"/>
      <c r="AA31" s="138"/>
      <c r="AB31" s="139"/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176">
        <f t="shared" si="3"/>
        <v>0</v>
      </c>
    </row>
    <row r="32" spans="1:50">
      <c r="A32" s="21">
        <f t="shared" si="0"/>
        <v>43949</v>
      </c>
      <c r="B32" s="38">
        <v>76000</v>
      </c>
      <c r="C32" s="38"/>
      <c r="D32" s="24">
        <f t="shared" si="1"/>
        <v>76000</v>
      </c>
      <c r="E32" s="40"/>
      <c r="F32" s="35"/>
      <c r="G32" s="27"/>
      <c r="H32" s="216">
        <f t="shared" si="2"/>
        <v>0</v>
      </c>
      <c r="I32" s="35"/>
      <c r="J32" s="41"/>
      <c r="K32" s="29"/>
      <c r="L32" s="1"/>
      <c r="M32" s="1"/>
      <c r="N32" s="1"/>
      <c r="O32" s="1"/>
      <c r="P32" s="55">
        <v>43858</v>
      </c>
      <c r="Q32" s="35"/>
      <c r="R32" s="138"/>
      <c r="S32" s="139"/>
      <c r="T32" s="138"/>
      <c r="U32" s="139">
        <v>4000</v>
      </c>
      <c r="V32" s="138"/>
      <c r="W32" s="139">
        <v>15000</v>
      </c>
      <c r="X32" s="138"/>
      <c r="Y32" s="138"/>
      <c r="Z32" s="139"/>
      <c r="AA32" s="138"/>
      <c r="AB32" s="139">
        <v>36000</v>
      </c>
      <c r="AC32" s="138"/>
      <c r="AD32" s="151">
        <v>10000</v>
      </c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>
        <v>11000</v>
      </c>
      <c r="AR32" s="138"/>
      <c r="AS32" s="138"/>
      <c r="AT32" s="138"/>
      <c r="AU32" s="138"/>
      <c r="AV32" s="149"/>
      <c r="AW32" s="138"/>
      <c r="AX32" s="176">
        <f t="shared" si="3"/>
        <v>76000</v>
      </c>
    </row>
    <row r="33" spans="1:50" ht="19" customHeight="1">
      <c r="A33" s="21">
        <f t="shared" si="0"/>
        <v>43950</v>
      </c>
      <c r="B33" s="38">
        <v>59000</v>
      </c>
      <c r="C33" s="38">
        <v>7000</v>
      </c>
      <c r="D33" s="24">
        <f t="shared" si="1"/>
        <v>66000</v>
      </c>
      <c r="E33" s="40">
        <v>5564</v>
      </c>
      <c r="F33" s="35"/>
      <c r="G33" s="27">
        <v>594</v>
      </c>
      <c r="H33" s="216">
        <f t="shared" si="2"/>
        <v>6158</v>
      </c>
      <c r="I33" s="35"/>
      <c r="J33" s="41"/>
      <c r="K33" s="29"/>
      <c r="L33" s="1"/>
      <c r="M33" s="1"/>
      <c r="N33" s="1"/>
      <c r="O33" s="1"/>
      <c r="P33" s="55">
        <v>43859</v>
      </c>
      <c r="Q33" s="56"/>
      <c r="R33" s="138"/>
      <c r="S33" s="139"/>
      <c r="T33" s="138"/>
      <c r="U33" s="139">
        <v>42000</v>
      </c>
      <c r="V33" s="138"/>
      <c r="W33" s="139">
        <v>12000</v>
      </c>
      <c r="X33" s="138"/>
      <c r="Y33" s="138">
        <v>5000</v>
      </c>
      <c r="Z33" s="139"/>
      <c r="AA33" s="138"/>
      <c r="AB33" s="139">
        <v>7000</v>
      </c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176">
        <f t="shared" si="3"/>
        <v>66000</v>
      </c>
    </row>
    <row r="34" spans="1:50">
      <c r="A34" s="21">
        <f t="shared" si="0"/>
        <v>43951</v>
      </c>
      <c r="B34" s="38">
        <v>74000</v>
      </c>
      <c r="C34" s="38">
        <v>4000</v>
      </c>
      <c r="D34" s="24">
        <f t="shared" si="1"/>
        <v>78000</v>
      </c>
      <c r="E34" s="40">
        <f>2582+1140+2100</f>
        <v>5822</v>
      </c>
      <c r="F34" s="35"/>
      <c r="G34" s="27">
        <v>327</v>
      </c>
      <c r="H34" s="216">
        <f t="shared" si="2"/>
        <v>6149</v>
      </c>
      <c r="I34" s="35"/>
      <c r="J34" s="41"/>
      <c r="K34" s="29"/>
      <c r="L34" s="1"/>
      <c r="M34" s="1"/>
      <c r="N34" s="1"/>
      <c r="O34" s="1"/>
      <c r="P34" s="55">
        <v>43860</v>
      </c>
      <c r="Q34" s="137"/>
      <c r="R34" s="154"/>
      <c r="S34" s="155">
        <v>7000</v>
      </c>
      <c r="T34" s="154"/>
      <c r="U34" s="155">
        <v>14000</v>
      </c>
      <c r="V34" s="154"/>
      <c r="W34" s="155">
        <v>10000</v>
      </c>
      <c r="X34" s="154"/>
      <c r="Y34" s="154"/>
      <c r="Z34" s="155"/>
      <c r="AA34" s="154"/>
      <c r="AB34" s="155">
        <v>32000</v>
      </c>
      <c r="AC34" s="154"/>
      <c r="AD34" s="156">
        <v>15000</v>
      </c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176">
        <f t="shared" si="3"/>
        <v>78000</v>
      </c>
    </row>
    <row r="35" spans="1:50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>
        <v>43861</v>
      </c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176">
        <f t="shared" si="3"/>
        <v>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28000</v>
      </c>
      <c r="R36" s="115">
        <f t="shared" si="4"/>
        <v>0</v>
      </c>
      <c r="S36" s="115">
        <f t="shared" si="4"/>
        <v>25000</v>
      </c>
      <c r="T36" s="115">
        <f t="shared" si="4"/>
        <v>0</v>
      </c>
      <c r="U36" s="115">
        <f t="shared" si="4"/>
        <v>816000</v>
      </c>
      <c r="V36" s="115">
        <f t="shared" si="4"/>
        <v>0</v>
      </c>
      <c r="W36" s="115">
        <f t="shared" si="4"/>
        <v>324500</v>
      </c>
      <c r="X36" s="115">
        <f t="shared" si="4"/>
        <v>0</v>
      </c>
      <c r="Y36" s="115">
        <f t="shared" si="4"/>
        <v>82000</v>
      </c>
      <c r="Z36" s="115">
        <f t="shared" si="4"/>
        <v>150000</v>
      </c>
      <c r="AA36" s="115">
        <f t="shared" si="4"/>
        <v>100000</v>
      </c>
      <c r="AB36" s="115">
        <f t="shared" si="4"/>
        <v>455000</v>
      </c>
      <c r="AC36" s="115">
        <f t="shared" si="4"/>
        <v>0</v>
      </c>
      <c r="AD36" s="115">
        <f t="shared" si="4"/>
        <v>54000</v>
      </c>
      <c r="AE36" s="115">
        <f t="shared" si="4"/>
        <v>0</v>
      </c>
      <c r="AF36" s="115">
        <f t="shared" si="4"/>
        <v>0</v>
      </c>
      <c r="AG36" s="115">
        <f t="shared" si="4"/>
        <v>0</v>
      </c>
      <c r="AH36" s="115">
        <f t="shared" si="4"/>
        <v>0</v>
      </c>
      <c r="AI36" s="115">
        <f t="shared" si="4"/>
        <v>0</v>
      </c>
      <c r="AJ36" s="115">
        <f t="shared" si="4"/>
        <v>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34000</v>
      </c>
      <c r="AO36" s="115">
        <f t="shared" si="4"/>
        <v>12000</v>
      </c>
      <c r="AP36" s="115">
        <f t="shared" si="4"/>
        <v>26000</v>
      </c>
      <c r="AQ36" s="115">
        <f t="shared" si="4"/>
        <v>20000</v>
      </c>
      <c r="AR36" s="115">
        <f t="shared" si="4"/>
        <v>15000</v>
      </c>
      <c r="AS36" s="115">
        <f t="shared" si="4"/>
        <v>5000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>SUM(Q36:AW36)</f>
        <v>2146500</v>
      </c>
    </row>
    <row r="37" spans="1:50" ht="22" thickTop="1" thickBot="1">
      <c r="A37" s="81" t="s">
        <v>33</v>
      </c>
      <c r="B37" s="82">
        <f t="shared" ref="B37:I37" si="5">SUM(B5:B35)</f>
        <v>1903000</v>
      </c>
      <c r="C37" s="82">
        <f t="shared" si="5"/>
        <v>243500</v>
      </c>
      <c r="D37" s="82">
        <f t="shared" si="5"/>
        <v>2146500</v>
      </c>
      <c r="E37" s="83">
        <f t="shared" si="5"/>
        <v>212017</v>
      </c>
      <c r="F37" s="84">
        <f t="shared" si="5"/>
        <v>65970</v>
      </c>
      <c r="G37" s="84">
        <f t="shared" si="5"/>
        <v>11164</v>
      </c>
      <c r="H37" s="132">
        <f t="shared" si="5"/>
        <v>289151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9800</v>
      </c>
      <c r="R38" s="542">
        <f>R36*0.3</f>
        <v>0</v>
      </c>
      <c r="S38" s="544">
        <f>S36*0.35</f>
        <v>8750</v>
      </c>
      <c r="T38" s="544">
        <f>T36*0.3</f>
        <v>0</v>
      </c>
      <c r="U38" s="532">
        <f>U36*0.35</f>
        <v>285600</v>
      </c>
      <c r="V38" s="532">
        <f>V36*0.3</f>
        <v>0</v>
      </c>
      <c r="W38" s="534">
        <f>W36*0.35</f>
        <v>113575</v>
      </c>
      <c r="X38" s="534">
        <f>X36*0.3</f>
        <v>0</v>
      </c>
      <c r="Y38" s="538">
        <f>Y36</f>
        <v>82000</v>
      </c>
      <c r="Z38" s="536">
        <f>Z36*0.35</f>
        <v>52500</v>
      </c>
      <c r="AA38" s="530">
        <f>AA36*0.3</f>
        <v>30000</v>
      </c>
      <c r="AB38" s="530">
        <f>AB36*0.35</f>
        <v>159250</v>
      </c>
      <c r="AC38" s="530">
        <f>AC36*0.3</f>
        <v>0</v>
      </c>
      <c r="AD38" s="530">
        <f>AD36*0.35</f>
        <v>18900</v>
      </c>
      <c r="AE38" s="530">
        <f>AE36*0.3</f>
        <v>0</v>
      </c>
      <c r="AF38" s="530">
        <f>AF36*0.35</f>
        <v>0</v>
      </c>
      <c r="AG38" s="530">
        <f>AG36*0.3</f>
        <v>0</v>
      </c>
      <c r="AH38" s="530">
        <f>AH36*0.35</f>
        <v>0</v>
      </c>
      <c r="AI38" s="530">
        <f>AI36*0.3</f>
        <v>0</v>
      </c>
      <c r="AJ38" s="530">
        <f>AJ36*0.35</f>
        <v>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11900</v>
      </c>
      <c r="AO38" s="530">
        <f t="shared" si="6"/>
        <v>4200</v>
      </c>
      <c r="AP38" s="530">
        <f t="shared" si="6"/>
        <v>9100</v>
      </c>
      <c r="AQ38" s="530">
        <f t="shared" si="6"/>
        <v>7000</v>
      </c>
      <c r="AR38" s="530">
        <f t="shared" si="6"/>
        <v>5250</v>
      </c>
      <c r="AS38" s="530">
        <f t="shared" si="6"/>
        <v>1750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409" t="s">
        <v>244</v>
      </c>
      <c r="B39" s="409" t="s">
        <v>245</v>
      </c>
      <c r="C39" s="91">
        <f>B37-B46</f>
        <v>1823000</v>
      </c>
      <c r="D39" s="1"/>
      <c r="E39" s="2"/>
      <c r="F39" s="2"/>
      <c r="G39" s="378" t="s">
        <v>249</v>
      </c>
      <c r="H39" s="135">
        <f>B46-G37</f>
        <v>68836</v>
      </c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297"/>
      <c r="B40" s="135">
        <v>10000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297"/>
      <c r="B41" s="135">
        <v>10000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297"/>
      <c r="B42" s="135">
        <v>40000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297"/>
      <c r="B43" s="135">
        <v>10000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297"/>
      <c r="B44" s="135">
        <v>10000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296" t="s">
        <v>246</v>
      </c>
      <c r="B46" s="135">
        <f>SUM(B40:B45)</f>
        <v>80000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</sheetData>
  <mergeCells count="77">
    <mergeCell ref="AS38:AS39"/>
    <mergeCell ref="AT38:AT39"/>
    <mergeCell ref="AU38:AU39"/>
    <mergeCell ref="AV38:AV39"/>
    <mergeCell ref="AW38:AW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N11:N12"/>
    <mergeCell ref="P38:P39"/>
    <mergeCell ref="Q38:Q39"/>
    <mergeCell ref="R38:R39"/>
    <mergeCell ref="S38:S39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J3:J4"/>
    <mergeCell ref="P3:P4"/>
    <mergeCell ref="Q3:Q4"/>
    <mergeCell ref="R3:R4"/>
    <mergeCell ref="S3:S4"/>
    <mergeCell ref="I3:I4"/>
    <mergeCell ref="A1:A2"/>
    <mergeCell ref="B1:B2"/>
    <mergeCell ref="A3:A4"/>
    <mergeCell ref="B3:D3"/>
    <mergeCell ref="E3:H3"/>
  </mergeCells>
  <phoneticPr fontId="7"/>
  <dataValidations count="2">
    <dataValidation type="list" allowBlank="1" showErrorMessage="1" sqref="Q3:Q4 AD3:AD4 S3:S4 U3:U4 AL3:AL4 AH3:AH4 Z3:Z4 AF3:AF4 AJ3:AJ4 W3:W4 AB3:AB4 AV3:AV4 AN3:AN4 AO3:AU3" xr:uid="{B4BC4C89-6173-8F42-B8E4-8CEFFE0307EA}">
      <formula1>名前</formula1>
    </dataValidation>
    <dataValidation allowBlank="1" showErrorMessage="1" sqref="R3:R4 AI3:AI4 T3:T4 AC3:AC4 AA3:AA4 AE3:AE4 AG3:AG4 AK3:AK4 AW3:AW4 V3:V4 AM3:AM4 X3:X4 Y3" xr:uid="{0EAF7A55-61FD-B346-BE6D-57C81E144B2B}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1467-2A44-7540-BE5F-2B1DDCC6F9EF}">
  <dimension ref="A1:AX46"/>
  <sheetViews>
    <sheetView zoomScale="75" zoomScaleNormal="84" workbookViewId="0">
      <selection activeCell="AD29" sqref="AD29"/>
    </sheetView>
  </sheetViews>
  <sheetFormatPr baseColWidth="10" defaultRowHeight="20"/>
  <cols>
    <col min="1" max="1" width="13.7109375" bestFit="1" customWidth="1"/>
    <col min="42" max="42" width="13" bestFit="1" customWidth="1"/>
    <col min="45" max="46" width="13.85546875" bestFit="1" customWidth="1"/>
    <col min="47" max="47" width="15.28515625" bestFit="1" customWidth="1"/>
  </cols>
  <sheetData>
    <row r="1" spans="1:50">
      <c r="A1" s="498">
        <v>2020</v>
      </c>
      <c r="B1" s="500">
        <v>5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293</v>
      </c>
      <c r="AA3" s="494">
        <v>0.3</v>
      </c>
      <c r="AB3" s="492" t="s">
        <v>262</v>
      </c>
      <c r="AC3" s="494">
        <v>0.3</v>
      </c>
      <c r="AD3" s="496" t="s">
        <v>234</v>
      </c>
      <c r="AE3" s="494">
        <v>0.3</v>
      </c>
      <c r="AF3" s="527" t="s">
        <v>248</v>
      </c>
      <c r="AG3" s="494">
        <v>0.3</v>
      </c>
      <c r="AH3" s="492" t="s">
        <v>248</v>
      </c>
      <c r="AI3" s="494">
        <v>0.3</v>
      </c>
      <c r="AJ3" s="496" t="s">
        <v>248</v>
      </c>
      <c r="AK3" s="494">
        <v>0.3</v>
      </c>
      <c r="AL3" s="496" t="s">
        <v>248</v>
      </c>
      <c r="AM3" s="523">
        <v>0.3</v>
      </c>
      <c r="AN3" s="496" t="s">
        <v>273</v>
      </c>
      <c r="AO3" s="520" t="s">
        <v>190</v>
      </c>
      <c r="AP3" s="520" t="s">
        <v>240</v>
      </c>
      <c r="AQ3" s="520" t="s">
        <v>139</v>
      </c>
      <c r="AR3" s="525" t="s">
        <v>120</v>
      </c>
      <c r="AS3" s="520" t="s">
        <v>291</v>
      </c>
      <c r="AT3" s="522" t="s">
        <v>271</v>
      </c>
      <c r="AU3" s="520" t="s">
        <v>114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277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43952</v>
      </c>
      <c r="B5" s="23">
        <v>117000</v>
      </c>
      <c r="C5" s="23"/>
      <c r="D5" s="24">
        <f>SUM(B5:C5)</f>
        <v>117000</v>
      </c>
      <c r="E5" s="25">
        <f>5980+33568+11592+18154</f>
        <v>69294</v>
      </c>
      <c r="F5" s="26"/>
      <c r="G5" s="27"/>
      <c r="H5" s="216">
        <f>SUM(E5:G5)</f>
        <v>69294</v>
      </c>
      <c r="I5" s="27"/>
      <c r="J5" s="28"/>
      <c r="K5" s="29"/>
      <c r="L5" s="1"/>
      <c r="M5" s="1"/>
      <c r="N5" s="1"/>
      <c r="O5" s="1"/>
      <c r="P5" s="55">
        <v>43831</v>
      </c>
      <c r="Q5" s="35"/>
      <c r="R5" s="138"/>
      <c r="S5" s="139"/>
      <c r="T5" s="138"/>
      <c r="U5" s="190">
        <v>40000</v>
      </c>
      <c r="V5" s="138"/>
      <c r="W5" s="141">
        <v>37000</v>
      </c>
      <c r="X5" s="138"/>
      <c r="Y5" s="166"/>
      <c r="Z5" s="142"/>
      <c r="AA5" s="138"/>
      <c r="AB5" s="143">
        <v>6000</v>
      </c>
      <c r="AC5" s="138"/>
      <c r="AD5" s="144">
        <v>17000</v>
      </c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>
        <v>17000</v>
      </c>
      <c r="AQ5" s="172"/>
      <c r="AR5" s="172"/>
      <c r="AS5" s="172"/>
      <c r="AT5" s="172"/>
      <c r="AU5" s="172"/>
      <c r="AV5" s="161"/>
      <c r="AW5" s="138"/>
      <c r="AX5" s="176">
        <f>SUM(Q5:AW5)</f>
        <v>117000</v>
      </c>
    </row>
    <row r="6" spans="1:50">
      <c r="A6" s="21">
        <f t="shared" si="0"/>
        <v>43953</v>
      </c>
      <c r="B6" s="38">
        <v>96000</v>
      </c>
      <c r="C6" s="23">
        <v>13000</v>
      </c>
      <c r="D6" s="24">
        <f t="shared" ref="D6:D35" si="1">SUM(B6:C6)</f>
        <v>109000</v>
      </c>
      <c r="E6" s="40"/>
      <c r="F6" s="35">
        <v>6157</v>
      </c>
      <c r="G6" s="27">
        <v>774</v>
      </c>
      <c r="H6" s="216">
        <f t="shared" ref="H6:H35" si="2">SUM(E6:G6)</f>
        <v>6931</v>
      </c>
      <c r="I6" s="35"/>
      <c r="J6" s="41"/>
      <c r="K6" s="29"/>
      <c r="L6" s="1"/>
      <c r="M6" s="1"/>
      <c r="N6" s="1"/>
      <c r="O6" s="1"/>
      <c r="P6" s="55">
        <v>43832</v>
      </c>
      <c r="Q6" s="35"/>
      <c r="R6" s="138"/>
      <c r="S6" s="139"/>
      <c r="T6" s="138"/>
      <c r="U6" s="190">
        <v>64000</v>
      </c>
      <c r="V6" s="138"/>
      <c r="W6" s="147">
        <v>30000</v>
      </c>
      <c r="X6" s="138"/>
      <c r="Y6" s="166"/>
      <c r="Z6" s="142">
        <v>2000</v>
      </c>
      <c r="AA6" s="138"/>
      <c r="AB6" s="143">
        <v>13000</v>
      </c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176">
        <f t="shared" ref="AX6:AX35" si="3">SUM(Q6:AW6)</f>
        <v>109000</v>
      </c>
    </row>
    <row r="7" spans="1:50">
      <c r="A7" s="21">
        <f t="shared" si="0"/>
        <v>43954</v>
      </c>
      <c r="B7" s="38">
        <v>80000</v>
      </c>
      <c r="C7" s="23">
        <v>34000</v>
      </c>
      <c r="D7" s="24">
        <f t="shared" si="1"/>
        <v>114000</v>
      </c>
      <c r="E7" s="40">
        <v>5580</v>
      </c>
      <c r="F7" s="35"/>
      <c r="G7" s="408">
        <f>654+957</f>
        <v>1611</v>
      </c>
      <c r="H7" s="216">
        <f t="shared" si="2"/>
        <v>7191</v>
      </c>
      <c r="I7" s="35"/>
      <c r="J7" s="41"/>
      <c r="K7" s="29"/>
      <c r="L7" s="1"/>
      <c r="M7" s="1"/>
      <c r="N7" s="1"/>
      <c r="O7" s="1"/>
      <c r="P7" s="55">
        <v>43833</v>
      </c>
      <c r="Q7" s="35"/>
      <c r="R7" s="138"/>
      <c r="S7" s="139"/>
      <c r="T7" s="138"/>
      <c r="U7" s="190">
        <v>30000</v>
      </c>
      <c r="V7" s="138"/>
      <c r="W7" s="147">
        <v>35000</v>
      </c>
      <c r="X7" s="138"/>
      <c r="Y7" s="166">
        <v>15000</v>
      </c>
      <c r="Z7" s="142"/>
      <c r="AA7" s="138"/>
      <c r="AB7" s="139">
        <v>12000</v>
      </c>
      <c r="AC7" s="138"/>
      <c r="AD7" s="148">
        <v>22000</v>
      </c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176">
        <f t="shared" si="3"/>
        <v>114000</v>
      </c>
    </row>
    <row r="8" spans="1:50">
      <c r="A8" s="21">
        <f t="shared" si="0"/>
        <v>43955</v>
      </c>
      <c r="B8" s="38">
        <v>0</v>
      </c>
      <c r="C8" s="23"/>
      <c r="D8" s="24">
        <f t="shared" si="1"/>
        <v>0</v>
      </c>
      <c r="E8" s="40"/>
      <c r="F8" s="35"/>
      <c r="G8" s="27"/>
      <c r="H8" s="216">
        <f t="shared" si="2"/>
        <v>0</v>
      </c>
      <c r="I8" s="35"/>
      <c r="J8" s="41"/>
      <c r="K8" s="29"/>
      <c r="L8" s="1"/>
      <c r="M8" s="1"/>
      <c r="N8" s="1"/>
      <c r="O8" s="1"/>
      <c r="P8" s="55">
        <v>43834</v>
      </c>
      <c r="Q8" s="35"/>
      <c r="R8" s="138"/>
      <c r="S8" s="139"/>
      <c r="T8" s="138"/>
      <c r="U8" s="190"/>
      <c r="V8" s="138"/>
      <c r="W8" s="147"/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176">
        <f t="shared" si="3"/>
        <v>0</v>
      </c>
    </row>
    <row r="9" spans="1:50">
      <c r="A9" s="21">
        <f t="shared" si="0"/>
        <v>43956</v>
      </c>
      <c r="B9" s="38">
        <v>35000</v>
      </c>
      <c r="C9" s="23"/>
      <c r="D9" s="24">
        <f t="shared" si="1"/>
        <v>35000</v>
      </c>
      <c r="E9" s="40">
        <v>9174</v>
      </c>
      <c r="F9" s="35"/>
      <c r="G9" s="27"/>
      <c r="H9" s="216">
        <f t="shared" si="2"/>
        <v>9174</v>
      </c>
      <c r="I9" s="35"/>
      <c r="J9" s="41"/>
      <c r="K9" s="29"/>
      <c r="L9" s="1"/>
      <c r="M9" s="1"/>
      <c r="N9" s="1"/>
      <c r="O9" s="1"/>
      <c r="P9" s="55">
        <v>43835</v>
      </c>
      <c r="Q9" s="35"/>
      <c r="R9" s="138"/>
      <c r="S9" s="139"/>
      <c r="T9" s="138"/>
      <c r="U9" s="190">
        <v>15000</v>
      </c>
      <c r="V9" s="138"/>
      <c r="W9" s="152">
        <v>2000</v>
      </c>
      <c r="X9" s="138"/>
      <c r="Y9" s="138"/>
      <c r="Z9" s="139"/>
      <c r="AA9" s="138"/>
      <c r="AB9" s="139">
        <v>18000</v>
      </c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176">
        <f t="shared" si="3"/>
        <v>35000</v>
      </c>
    </row>
    <row r="10" spans="1:50">
      <c r="A10" s="21">
        <f t="shared" si="0"/>
        <v>43957</v>
      </c>
      <c r="B10" s="38">
        <v>26000</v>
      </c>
      <c r="C10" s="23"/>
      <c r="D10" s="24">
        <f t="shared" si="1"/>
        <v>26000</v>
      </c>
      <c r="E10" s="40"/>
      <c r="F10" s="35"/>
      <c r="G10" s="27"/>
      <c r="H10" s="216">
        <f t="shared" si="2"/>
        <v>0</v>
      </c>
      <c r="I10" s="35"/>
      <c r="J10" s="41"/>
      <c r="K10" s="29"/>
      <c r="L10" s="1"/>
      <c r="M10" s="516" t="s">
        <v>26</v>
      </c>
      <c r="N10" s="517"/>
      <c r="O10" s="1"/>
      <c r="P10" s="55">
        <v>43836</v>
      </c>
      <c r="Q10" s="35"/>
      <c r="R10" s="138"/>
      <c r="S10" s="139">
        <v>3000</v>
      </c>
      <c r="T10" s="1"/>
      <c r="U10" s="190"/>
      <c r="V10" s="138"/>
      <c r="W10" s="139">
        <v>5000</v>
      </c>
      <c r="X10" s="138"/>
      <c r="Y10" s="138"/>
      <c r="Z10" s="139"/>
      <c r="AA10" s="138"/>
      <c r="AB10" s="139"/>
      <c r="AC10" s="138"/>
      <c r="AD10" s="151">
        <v>18000</v>
      </c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176">
        <f t="shared" si="3"/>
        <v>26000</v>
      </c>
    </row>
    <row r="11" spans="1:50">
      <c r="A11" s="21">
        <f t="shared" si="0"/>
        <v>43958</v>
      </c>
      <c r="B11" s="38">
        <v>99000</v>
      </c>
      <c r="C11" s="23"/>
      <c r="D11" s="24">
        <f t="shared" si="1"/>
        <v>99000</v>
      </c>
      <c r="E11" s="40">
        <v>6968</v>
      </c>
      <c r="F11" s="35"/>
      <c r="G11" s="27"/>
      <c r="H11" s="216">
        <f t="shared" si="2"/>
        <v>6968</v>
      </c>
      <c r="I11" s="35"/>
      <c r="J11" s="41"/>
      <c r="K11" s="29"/>
      <c r="L11" s="1"/>
      <c r="M11" s="47" t="s">
        <v>27</v>
      </c>
      <c r="N11" s="518"/>
      <c r="O11" s="1"/>
      <c r="P11" s="55">
        <v>43837</v>
      </c>
      <c r="Q11" s="35"/>
      <c r="R11" s="138"/>
      <c r="S11" s="139"/>
      <c r="T11" s="138"/>
      <c r="U11" s="190">
        <v>11000</v>
      </c>
      <c r="V11" s="138"/>
      <c r="W11" s="139">
        <v>50000</v>
      </c>
      <c r="X11" s="138"/>
      <c r="Y11" s="138"/>
      <c r="Z11" s="139"/>
      <c r="AA11" s="138"/>
      <c r="AB11" s="139">
        <v>36000</v>
      </c>
      <c r="AC11" s="138"/>
      <c r="AD11" s="151">
        <v>2000</v>
      </c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176">
        <f t="shared" si="3"/>
        <v>99000</v>
      </c>
    </row>
    <row r="12" spans="1:50">
      <c r="A12" s="21">
        <f t="shared" si="0"/>
        <v>43959</v>
      </c>
      <c r="B12" s="38">
        <v>140000</v>
      </c>
      <c r="C12" s="23">
        <v>31400</v>
      </c>
      <c r="D12" s="24">
        <f t="shared" si="1"/>
        <v>171400</v>
      </c>
      <c r="E12" s="40">
        <f>1400+4940+5544</f>
        <v>11884</v>
      </c>
      <c r="F12" s="35"/>
      <c r="G12" s="27"/>
      <c r="H12" s="216">
        <f t="shared" si="2"/>
        <v>11884</v>
      </c>
      <c r="I12" s="35"/>
      <c r="J12" s="41"/>
      <c r="K12" s="29"/>
      <c r="L12" s="1"/>
      <c r="M12" s="47" t="s">
        <v>28</v>
      </c>
      <c r="N12" s="519"/>
      <c r="O12" s="1"/>
      <c r="P12" s="55">
        <v>43838</v>
      </c>
      <c r="Q12" s="35"/>
      <c r="R12" s="138"/>
      <c r="S12" s="139"/>
      <c r="T12" s="138"/>
      <c r="U12" s="190">
        <v>44400</v>
      </c>
      <c r="V12" s="138"/>
      <c r="W12" s="139">
        <v>17000</v>
      </c>
      <c r="X12" s="138"/>
      <c r="Y12" s="138">
        <v>10000</v>
      </c>
      <c r="Z12" s="139"/>
      <c r="AA12" s="138"/>
      <c r="AB12" s="139">
        <v>47000</v>
      </c>
      <c r="AC12" s="138"/>
      <c r="AD12" s="151">
        <v>53000</v>
      </c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176">
        <f t="shared" si="3"/>
        <v>171400</v>
      </c>
    </row>
    <row r="13" spans="1:50">
      <c r="A13" s="21">
        <f t="shared" si="0"/>
        <v>43960</v>
      </c>
      <c r="B13" s="38">
        <v>57000</v>
      </c>
      <c r="C13" s="23"/>
      <c r="D13" s="24">
        <f t="shared" si="1"/>
        <v>57000</v>
      </c>
      <c r="E13" s="40">
        <v>11212</v>
      </c>
      <c r="F13" s="35"/>
      <c r="G13" s="27">
        <f>999+1995</f>
        <v>2994</v>
      </c>
      <c r="H13" s="216">
        <f t="shared" si="2"/>
        <v>14206</v>
      </c>
      <c r="I13" s="35"/>
      <c r="J13" s="41"/>
      <c r="K13" s="29"/>
      <c r="L13" s="1"/>
      <c r="M13" s="47" t="s">
        <v>29</v>
      </c>
      <c r="N13" s="35"/>
      <c r="O13" s="1"/>
      <c r="P13" s="55">
        <v>43839</v>
      </c>
      <c r="Q13" s="35"/>
      <c r="R13" s="138"/>
      <c r="S13" s="139"/>
      <c r="T13" s="138"/>
      <c r="U13" s="190">
        <v>18000</v>
      </c>
      <c r="V13" s="138"/>
      <c r="W13" s="139">
        <v>10000</v>
      </c>
      <c r="X13" s="138"/>
      <c r="Y13" s="138"/>
      <c r="Z13" s="139"/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>
        <v>29000</v>
      </c>
      <c r="AQ13" s="168"/>
      <c r="AR13" s="158"/>
      <c r="AS13" s="158"/>
      <c r="AT13" s="158"/>
      <c r="AU13" s="158"/>
      <c r="AV13" s="145"/>
      <c r="AW13" s="138"/>
      <c r="AX13" s="176">
        <f t="shared" si="3"/>
        <v>57000</v>
      </c>
    </row>
    <row r="14" spans="1:50">
      <c r="A14" s="21">
        <f t="shared" si="0"/>
        <v>43961</v>
      </c>
      <c r="B14" s="38">
        <v>129000</v>
      </c>
      <c r="C14" s="23">
        <v>39000</v>
      </c>
      <c r="D14" s="24">
        <f t="shared" si="1"/>
        <v>168000</v>
      </c>
      <c r="E14" s="40"/>
      <c r="F14" s="44"/>
      <c r="G14" s="27"/>
      <c r="H14" s="216">
        <f t="shared" si="2"/>
        <v>0</v>
      </c>
      <c r="I14" s="35"/>
      <c r="J14" s="41"/>
      <c r="K14" s="29"/>
      <c r="L14" s="1"/>
      <c r="M14" s="47" t="s">
        <v>30</v>
      </c>
      <c r="N14" s="35"/>
      <c r="O14" s="1"/>
      <c r="P14" s="55">
        <v>43840</v>
      </c>
      <c r="Q14" s="35"/>
      <c r="R14" s="138"/>
      <c r="S14" s="139"/>
      <c r="T14" s="138"/>
      <c r="U14" s="190">
        <v>49000</v>
      </c>
      <c r="V14" s="138"/>
      <c r="W14" s="139"/>
      <c r="X14" s="138"/>
      <c r="Y14" s="138"/>
      <c r="Z14" s="139">
        <v>7000</v>
      </c>
      <c r="AA14" s="138"/>
      <c r="AB14" s="139">
        <v>12000</v>
      </c>
      <c r="AC14" s="138"/>
      <c r="AD14" s="151">
        <v>75000</v>
      </c>
      <c r="AE14" s="138">
        <v>25000</v>
      </c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176">
        <f t="shared" si="3"/>
        <v>168000</v>
      </c>
    </row>
    <row r="15" spans="1:50">
      <c r="A15" s="21">
        <f t="shared" si="0"/>
        <v>43962</v>
      </c>
      <c r="B15" s="38">
        <v>14000</v>
      </c>
      <c r="C15" s="23"/>
      <c r="D15" s="24">
        <f t="shared" si="1"/>
        <v>14000</v>
      </c>
      <c r="E15" s="40"/>
      <c r="F15" s="35"/>
      <c r="G15" s="27">
        <v>654</v>
      </c>
      <c r="H15" s="216">
        <f t="shared" si="2"/>
        <v>654</v>
      </c>
      <c r="I15" s="35"/>
      <c r="J15" s="41"/>
      <c r="K15" s="29"/>
      <c r="L15" s="1"/>
      <c r="M15" s="47" t="s">
        <v>31</v>
      </c>
      <c r="N15" s="35"/>
      <c r="O15" s="1"/>
      <c r="P15" s="55">
        <v>43841</v>
      </c>
      <c r="Q15" s="35"/>
      <c r="R15" s="138"/>
      <c r="S15" s="139"/>
      <c r="T15" s="138"/>
      <c r="U15" s="190">
        <v>10000</v>
      </c>
      <c r="V15" s="138"/>
      <c r="W15" s="139">
        <v>4000</v>
      </c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176">
        <f t="shared" si="3"/>
        <v>14000</v>
      </c>
    </row>
    <row r="16" spans="1:50">
      <c r="A16" s="21">
        <f t="shared" si="0"/>
        <v>43963</v>
      </c>
      <c r="B16" s="38">
        <v>54000</v>
      </c>
      <c r="C16" s="23"/>
      <c r="D16" s="24">
        <f t="shared" si="1"/>
        <v>54000</v>
      </c>
      <c r="E16" s="40">
        <v>10360</v>
      </c>
      <c r="F16" s="35"/>
      <c r="G16" s="27"/>
      <c r="H16" s="216">
        <f t="shared" si="2"/>
        <v>10360</v>
      </c>
      <c r="I16" s="35"/>
      <c r="J16" s="41"/>
      <c r="K16" s="29"/>
      <c r="L16" s="1"/>
      <c r="M16" s="47" t="s">
        <v>32</v>
      </c>
      <c r="N16" s="35"/>
      <c r="O16" s="1"/>
      <c r="P16" s="55">
        <v>43842</v>
      </c>
      <c r="Q16" s="35"/>
      <c r="R16" s="138"/>
      <c r="S16" s="139"/>
      <c r="T16" s="138"/>
      <c r="U16" s="190">
        <v>4000</v>
      </c>
      <c r="V16" s="138"/>
      <c r="W16" s="139">
        <v>15000</v>
      </c>
      <c r="X16" s="138"/>
      <c r="Y16" s="138">
        <v>18000</v>
      </c>
      <c r="Z16" s="139"/>
      <c r="AA16" s="138"/>
      <c r="AB16" s="139">
        <v>17000</v>
      </c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176">
        <f t="shared" si="3"/>
        <v>54000</v>
      </c>
    </row>
    <row r="17" spans="1:50">
      <c r="A17" s="21">
        <f t="shared" si="0"/>
        <v>43964</v>
      </c>
      <c r="B17" s="38">
        <v>44000</v>
      </c>
      <c r="C17" s="23"/>
      <c r="D17" s="24">
        <f t="shared" si="1"/>
        <v>44000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55">
        <v>43843</v>
      </c>
      <c r="Q17" s="35"/>
      <c r="R17" s="138"/>
      <c r="S17" s="139"/>
      <c r="T17" s="138"/>
      <c r="U17" s="190">
        <v>4000</v>
      </c>
      <c r="V17" s="138"/>
      <c r="W17" s="139"/>
      <c r="X17" s="138"/>
      <c r="Y17" s="138"/>
      <c r="Z17" s="139"/>
      <c r="AA17" s="138"/>
      <c r="AB17" s="139">
        <v>40000</v>
      </c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176">
        <f t="shared" si="3"/>
        <v>44000</v>
      </c>
    </row>
    <row r="18" spans="1:50">
      <c r="A18" s="21">
        <f t="shared" si="0"/>
        <v>43965</v>
      </c>
      <c r="B18" s="38">
        <v>27000</v>
      </c>
      <c r="C18" s="23">
        <v>3000</v>
      </c>
      <c r="D18" s="24">
        <f t="shared" si="1"/>
        <v>30000</v>
      </c>
      <c r="E18" s="40">
        <f>20792+9950+2100</f>
        <v>32842</v>
      </c>
      <c r="F18" s="35"/>
      <c r="G18" s="27"/>
      <c r="H18" s="216">
        <f t="shared" si="2"/>
        <v>32842</v>
      </c>
      <c r="I18" s="35"/>
      <c r="J18" s="41"/>
      <c r="K18" s="29"/>
      <c r="L18" s="1"/>
      <c r="M18" s="47"/>
      <c r="N18" s="35"/>
      <c r="O18" s="1"/>
      <c r="P18" s="55">
        <v>43844</v>
      </c>
      <c r="Q18" s="35"/>
      <c r="R18" s="138"/>
      <c r="S18" s="139"/>
      <c r="T18" s="138"/>
      <c r="U18" s="190">
        <v>17000</v>
      </c>
      <c r="V18" s="138"/>
      <c r="W18" s="139">
        <v>3000</v>
      </c>
      <c r="X18" s="138"/>
      <c r="Y18" s="138"/>
      <c r="Z18" s="139"/>
      <c r="AA18" s="138"/>
      <c r="AB18" s="139"/>
      <c r="AC18" s="138"/>
      <c r="AD18" s="151">
        <v>10000</v>
      </c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176">
        <f t="shared" si="3"/>
        <v>30000</v>
      </c>
    </row>
    <row r="19" spans="1:50">
      <c r="A19" s="21">
        <f t="shared" si="0"/>
        <v>43966</v>
      </c>
      <c r="B19" s="38">
        <v>84000</v>
      </c>
      <c r="C19" s="23">
        <v>10000</v>
      </c>
      <c r="D19" s="24">
        <f t="shared" si="1"/>
        <v>94000</v>
      </c>
      <c r="E19" s="40"/>
      <c r="F19" s="35">
        <v>7007</v>
      </c>
      <c r="G19" s="27"/>
      <c r="H19" s="216">
        <f t="shared" si="2"/>
        <v>7007</v>
      </c>
      <c r="I19" s="35"/>
      <c r="J19" s="41"/>
      <c r="K19" s="29"/>
      <c r="L19" s="1"/>
      <c r="M19" s="49" t="s">
        <v>33</v>
      </c>
      <c r="N19" s="50">
        <f>SUM(N11:N18)</f>
        <v>0</v>
      </c>
      <c r="O19" s="1"/>
      <c r="P19" s="55">
        <v>43845</v>
      </c>
      <c r="Q19" s="35"/>
      <c r="R19" s="138"/>
      <c r="S19" s="139"/>
      <c r="T19" s="138"/>
      <c r="U19" s="190">
        <v>20000</v>
      </c>
      <c r="V19" s="138"/>
      <c r="W19" s="139">
        <v>15000</v>
      </c>
      <c r="X19" s="138"/>
      <c r="Y19" s="138"/>
      <c r="Z19" s="139">
        <v>8000</v>
      </c>
      <c r="AA19" s="138"/>
      <c r="AB19" s="139">
        <v>31000</v>
      </c>
      <c r="AC19" s="138"/>
      <c r="AD19" s="151">
        <v>10000</v>
      </c>
      <c r="AE19" s="138"/>
      <c r="AF19" s="149"/>
      <c r="AG19" s="138"/>
      <c r="AH19" s="149"/>
      <c r="AI19" s="138"/>
      <c r="AJ19" s="149"/>
      <c r="AK19" s="138"/>
      <c r="AL19" s="149"/>
      <c r="AM19" s="138"/>
      <c r="AN19" s="138">
        <v>10000</v>
      </c>
      <c r="AO19" s="138"/>
      <c r="AP19" s="160"/>
      <c r="AQ19" s="168"/>
      <c r="AR19" s="158"/>
      <c r="AS19" s="158"/>
      <c r="AT19" s="158"/>
      <c r="AU19" s="158"/>
      <c r="AV19" s="145"/>
      <c r="AW19" s="138"/>
      <c r="AX19" s="176">
        <f t="shared" si="3"/>
        <v>94000</v>
      </c>
    </row>
    <row r="20" spans="1:50">
      <c r="A20" s="21">
        <f t="shared" si="0"/>
        <v>43967</v>
      </c>
      <c r="B20" s="38">
        <v>74000</v>
      </c>
      <c r="C20" s="474"/>
      <c r="D20" s="24">
        <f t="shared" si="1"/>
        <v>74000</v>
      </c>
      <c r="E20" s="299"/>
      <c r="F20" s="35"/>
      <c r="G20" s="27"/>
      <c r="H20" s="216">
        <f t="shared" si="2"/>
        <v>0</v>
      </c>
      <c r="I20" s="35"/>
      <c r="J20" s="41"/>
      <c r="K20" s="29"/>
      <c r="L20" s="1"/>
      <c r="M20" s="51"/>
      <c r="N20" s="7"/>
      <c r="O20" s="1"/>
      <c r="P20" s="55">
        <v>43846</v>
      </c>
      <c r="Q20" s="35"/>
      <c r="R20" s="138"/>
      <c r="S20" s="139"/>
      <c r="T20" s="138"/>
      <c r="U20" s="190">
        <v>51000</v>
      </c>
      <c r="V20" s="138"/>
      <c r="W20" s="139">
        <v>23000</v>
      </c>
      <c r="X20" s="138"/>
      <c r="Y20" s="138"/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176">
        <f t="shared" si="3"/>
        <v>74000</v>
      </c>
    </row>
    <row r="21" spans="1:50">
      <c r="A21" s="21">
        <f t="shared" si="0"/>
        <v>43968</v>
      </c>
      <c r="B21" s="38">
        <v>33000</v>
      </c>
      <c r="C21" s="38">
        <v>17000</v>
      </c>
      <c r="D21" s="24">
        <f t="shared" si="1"/>
        <v>50000</v>
      </c>
      <c r="E21" s="40">
        <f>10464+1890</f>
        <v>12354</v>
      </c>
      <c r="F21" s="35"/>
      <c r="G21" s="408"/>
      <c r="H21" s="216">
        <f t="shared" si="2"/>
        <v>12354</v>
      </c>
      <c r="I21" s="35"/>
      <c r="J21" s="41"/>
      <c r="K21" s="29"/>
      <c r="L21" s="1"/>
      <c r="M21" s="1"/>
      <c r="N21" s="1"/>
      <c r="O21" s="1"/>
      <c r="P21" s="55">
        <v>43847</v>
      </c>
      <c r="Q21" s="35"/>
      <c r="R21" s="138"/>
      <c r="S21" s="139"/>
      <c r="T21" s="138"/>
      <c r="U21" s="190">
        <v>7000</v>
      </c>
      <c r="V21" s="138"/>
      <c r="W21" s="139">
        <v>14000</v>
      </c>
      <c r="X21" s="138"/>
      <c r="Y21" s="138"/>
      <c r="Z21" s="139">
        <v>1000</v>
      </c>
      <c r="AA21" s="138"/>
      <c r="AB21" s="139">
        <v>17000</v>
      </c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>
        <v>11000</v>
      </c>
      <c r="AU21" s="158"/>
      <c r="AV21" s="145"/>
      <c r="AW21" s="138"/>
      <c r="AX21" s="176">
        <f t="shared" si="3"/>
        <v>50000</v>
      </c>
    </row>
    <row r="22" spans="1:50">
      <c r="A22" s="21">
        <f t="shared" si="0"/>
        <v>43969</v>
      </c>
      <c r="B22" s="38">
        <v>0</v>
      </c>
      <c r="C22" s="38"/>
      <c r="D22" s="24">
        <f t="shared" si="1"/>
        <v>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55">
        <v>43848</v>
      </c>
      <c r="Q22" s="35"/>
      <c r="R22" s="138"/>
      <c r="S22" s="139"/>
      <c r="T22" s="138"/>
      <c r="U22" s="190"/>
      <c r="V22" s="138"/>
      <c r="W22" s="139"/>
      <c r="X22" s="138"/>
      <c r="Y22" s="375"/>
      <c r="Z22" s="153"/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176">
        <f t="shared" si="3"/>
        <v>0</v>
      </c>
    </row>
    <row r="23" spans="1:50">
      <c r="A23" s="21">
        <f t="shared" si="0"/>
        <v>43970</v>
      </c>
      <c r="B23" s="38">
        <v>115000</v>
      </c>
      <c r="C23" s="38"/>
      <c r="D23" s="24">
        <f t="shared" si="1"/>
        <v>115000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43849</v>
      </c>
      <c r="Q23" s="35"/>
      <c r="R23" s="138"/>
      <c r="S23" s="139"/>
      <c r="T23" s="138"/>
      <c r="U23" s="190">
        <v>64000</v>
      </c>
      <c r="V23" s="138"/>
      <c r="W23" s="139">
        <v>20000</v>
      </c>
      <c r="X23" s="138"/>
      <c r="Y23" s="138"/>
      <c r="Z23" s="139"/>
      <c r="AA23" s="138"/>
      <c r="AB23" s="139">
        <v>31000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176">
        <f t="shared" si="3"/>
        <v>115000</v>
      </c>
    </row>
    <row r="24" spans="1:50">
      <c r="A24" s="21">
        <f t="shared" si="0"/>
        <v>43971</v>
      </c>
      <c r="B24" s="38">
        <v>21000</v>
      </c>
      <c r="C24" s="38">
        <v>40000</v>
      </c>
      <c r="D24" s="24">
        <f t="shared" si="1"/>
        <v>61000</v>
      </c>
      <c r="E24" s="40">
        <v>10188</v>
      </c>
      <c r="F24" s="35"/>
      <c r="G24" s="27"/>
      <c r="H24" s="216">
        <f t="shared" si="2"/>
        <v>10188</v>
      </c>
      <c r="I24" s="35"/>
      <c r="J24" s="41"/>
      <c r="K24" s="29"/>
      <c r="L24" s="1"/>
      <c r="M24" s="53" t="s">
        <v>34</v>
      </c>
      <c r="N24" s="38">
        <f>D37</f>
        <v>2633400</v>
      </c>
      <c r="O24" s="1"/>
      <c r="P24" s="55">
        <v>43850</v>
      </c>
      <c r="Q24" s="35"/>
      <c r="R24" s="138"/>
      <c r="S24" s="139"/>
      <c r="T24" s="138"/>
      <c r="U24" s="190">
        <v>21000</v>
      </c>
      <c r="V24" s="138"/>
      <c r="W24" s="139"/>
      <c r="X24" s="138"/>
      <c r="Y24" s="138"/>
      <c r="Z24" s="139"/>
      <c r="AA24" s="138"/>
      <c r="AB24" s="139">
        <v>40000</v>
      </c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176">
        <f t="shared" si="3"/>
        <v>61000</v>
      </c>
    </row>
    <row r="25" spans="1:50">
      <c r="A25" s="21">
        <f t="shared" si="0"/>
        <v>43972</v>
      </c>
      <c r="B25" s="38">
        <v>174000</v>
      </c>
      <c r="C25" s="38"/>
      <c r="D25" s="24">
        <f t="shared" si="1"/>
        <v>174000</v>
      </c>
      <c r="E25" s="40">
        <f>17040+4180</f>
        <v>21220</v>
      </c>
      <c r="F25" s="35"/>
      <c r="G25" s="27"/>
      <c r="H25" s="216">
        <f t="shared" si="2"/>
        <v>21220</v>
      </c>
      <c r="I25" s="35"/>
      <c r="J25" s="41"/>
      <c r="K25" s="29"/>
      <c r="L25" s="1"/>
      <c r="M25" s="53" t="s">
        <v>35</v>
      </c>
      <c r="N25" s="38">
        <f>H37</f>
        <v>322450</v>
      </c>
      <c r="O25" s="1"/>
      <c r="P25" s="55">
        <v>43851</v>
      </c>
      <c r="Q25" s="35"/>
      <c r="R25" s="138"/>
      <c r="S25" s="139"/>
      <c r="T25" s="138"/>
      <c r="U25" s="190">
        <v>74000</v>
      </c>
      <c r="V25" s="138"/>
      <c r="W25" s="139"/>
      <c r="X25" s="138"/>
      <c r="Y25" s="138"/>
      <c r="Z25" s="139">
        <v>12000</v>
      </c>
      <c r="AA25" s="138"/>
      <c r="AB25" s="139">
        <v>88000</v>
      </c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176">
        <f t="shared" si="3"/>
        <v>174000</v>
      </c>
    </row>
    <row r="26" spans="1:50">
      <c r="A26" s="21">
        <f t="shared" si="0"/>
        <v>43973</v>
      </c>
      <c r="B26" s="38">
        <v>137000</v>
      </c>
      <c r="C26" s="38">
        <v>57000</v>
      </c>
      <c r="D26" s="24">
        <f t="shared" si="1"/>
        <v>194000</v>
      </c>
      <c r="E26" s="40">
        <v>6972</v>
      </c>
      <c r="F26" s="35"/>
      <c r="G26" s="27">
        <v>1902</v>
      </c>
      <c r="H26" s="216">
        <f t="shared" si="2"/>
        <v>8874</v>
      </c>
      <c r="I26" s="35"/>
      <c r="J26" s="41"/>
      <c r="K26" s="29"/>
      <c r="L26" s="1"/>
      <c r="M26" s="53" t="s">
        <v>36</v>
      </c>
      <c r="N26" s="38">
        <f>N20</f>
        <v>0</v>
      </c>
      <c r="O26" s="1"/>
      <c r="P26" s="55">
        <v>43852</v>
      </c>
      <c r="Q26" s="35"/>
      <c r="R26" s="138"/>
      <c r="S26" s="139"/>
      <c r="T26" s="138"/>
      <c r="U26" s="190">
        <v>45000</v>
      </c>
      <c r="V26" s="138"/>
      <c r="W26" s="139">
        <v>44000</v>
      </c>
      <c r="X26" s="138"/>
      <c r="Y26" s="138"/>
      <c r="Z26" s="139"/>
      <c r="AA26" s="138"/>
      <c r="AB26" s="139"/>
      <c r="AC26" s="138"/>
      <c r="AD26" s="151">
        <v>65000</v>
      </c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>
        <v>18000</v>
      </c>
      <c r="AQ26" s="160">
        <v>22000</v>
      </c>
      <c r="AR26" s="158"/>
      <c r="AS26" s="158"/>
      <c r="AT26" s="158"/>
      <c r="AU26" s="158"/>
      <c r="AV26" s="145"/>
      <c r="AW26" s="138"/>
      <c r="AX26" s="176">
        <f t="shared" si="3"/>
        <v>194000</v>
      </c>
    </row>
    <row r="27" spans="1:50">
      <c r="A27" s="21">
        <f t="shared" si="0"/>
        <v>43974</v>
      </c>
      <c r="B27" s="38">
        <v>65000</v>
      </c>
      <c r="C27" s="38">
        <v>77000</v>
      </c>
      <c r="D27" s="24">
        <f t="shared" si="1"/>
        <v>142000</v>
      </c>
      <c r="E27" s="40"/>
      <c r="F27" s="35"/>
      <c r="G27" s="27">
        <v>1998</v>
      </c>
      <c r="H27" s="216">
        <f t="shared" si="2"/>
        <v>1998</v>
      </c>
      <c r="I27" s="35"/>
      <c r="J27" s="41"/>
      <c r="K27" s="29"/>
      <c r="L27" s="1"/>
      <c r="M27" s="60" t="s">
        <v>37</v>
      </c>
      <c r="N27" s="61">
        <f>IFERROR(N24-N25-N26, "")</f>
        <v>2310950</v>
      </c>
      <c r="O27" s="1"/>
      <c r="P27" s="55">
        <v>43853</v>
      </c>
      <c r="Q27" s="35"/>
      <c r="R27" s="138"/>
      <c r="S27" s="139">
        <v>12000</v>
      </c>
      <c r="T27" s="138"/>
      <c r="U27" s="190">
        <v>4000</v>
      </c>
      <c r="V27" s="138"/>
      <c r="W27" s="139">
        <v>49000</v>
      </c>
      <c r="X27" s="138"/>
      <c r="Y27" s="138"/>
      <c r="Z27" s="139"/>
      <c r="AA27" s="138"/>
      <c r="AB27" s="139">
        <v>52000</v>
      </c>
      <c r="AC27" s="138"/>
      <c r="AD27" s="151">
        <v>25000</v>
      </c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176">
        <f t="shared" si="3"/>
        <v>142000</v>
      </c>
    </row>
    <row r="28" spans="1:50">
      <c r="A28" s="21">
        <f t="shared" si="0"/>
        <v>43975</v>
      </c>
      <c r="B28" s="38">
        <v>105000</v>
      </c>
      <c r="C28" s="38">
        <v>4000</v>
      </c>
      <c r="D28" s="24">
        <f t="shared" si="1"/>
        <v>109000</v>
      </c>
      <c r="E28" s="299">
        <f>11570+16378+6908</f>
        <v>34856</v>
      </c>
      <c r="F28" s="35"/>
      <c r="G28" s="27"/>
      <c r="H28" s="216">
        <f t="shared" si="2"/>
        <v>34856</v>
      </c>
      <c r="I28" s="35"/>
      <c r="J28" s="41"/>
      <c r="K28" s="29"/>
      <c r="L28" s="1"/>
      <c r="M28" s="1"/>
      <c r="N28" s="1"/>
      <c r="O28" s="1"/>
      <c r="P28" s="55">
        <v>43854</v>
      </c>
      <c r="Q28" s="35"/>
      <c r="R28" s="138"/>
      <c r="S28" s="139"/>
      <c r="T28" s="138"/>
      <c r="U28" s="190">
        <v>20000</v>
      </c>
      <c r="V28" s="138"/>
      <c r="W28" s="139">
        <v>45000</v>
      </c>
      <c r="X28" s="138"/>
      <c r="Y28" s="138">
        <v>6000</v>
      </c>
      <c r="Z28" s="139"/>
      <c r="AA28" s="138"/>
      <c r="AB28" s="139">
        <v>14000</v>
      </c>
      <c r="AC28" s="138"/>
      <c r="AD28" s="151">
        <v>24000</v>
      </c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176">
        <f t="shared" si="3"/>
        <v>109000</v>
      </c>
    </row>
    <row r="29" spans="1:50">
      <c r="A29" s="21">
        <f t="shared" si="0"/>
        <v>43976</v>
      </c>
      <c r="B29" s="38">
        <v>0</v>
      </c>
      <c r="C29" s="38"/>
      <c r="D29" s="24">
        <f t="shared" si="1"/>
        <v>0</v>
      </c>
      <c r="E29" s="40"/>
      <c r="F29" s="35"/>
      <c r="G29" s="27">
        <v>882</v>
      </c>
      <c r="H29" s="216">
        <f t="shared" si="2"/>
        <v>882</v>
      </c>
      <c r="I29" s="35"/>
      <c r="J29" s="41"/>
      <c r="K29" s="29"/>
      <c r="L29" s="1"/>
      <c r="M29" s="1"/>
      <c r="N29" s="1"/>
      <c r="O29" s="1"/>
      <c r="P29" s="55">
        <v>43855</v>
      </c>
      <c r="Q29" s="35"/>
      <c r="R29" s="138"/>
      <c r="S29" s="139"/>
      <c r="T29" s="138"/>
      <c r="U29" s="190"/>
      <c r="V29" s="138"/>
      <c r="W29" s="139"/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176">
        <f t="shared" si="3"/>
        <v>0</v>
      </c>
    </row>
    <row r="30" spans="1:50">
      <c r="A30" s="21">
        <f t="shared" si="0"/>
        <v>43977</v>
      </c>
      <c r="B30" s="38">
        <v>65000</v>
      </c>
      <c r="C30" s="38"/>
      <c r="D30" s="24">
        <f t="shared" si="1"/>
        <v>65000</v>
      </c>
      <c r="E30" s="40">
        <f>17624+2000</f>
        <v>19624</v>
      </c>
      <c r="F30" s="35">
        <v>12386</v>
      </c>
      <c r="G30" s="27"/>
      <c r="H30" s="216">
        <f t="shared" si="2"/>
        <v>32010</v>
      </c>
      <c r="I30" s="35"/>
      <c r="J30" s="41"/>
      <c r="K30" s="29"/>
      <c r="L30" s="1"/>
      <c r="M30" s="1"/>
      <c r="N30" s="1"/>
      <c r="O30" s="1"/>
      <c r="P30" s="55">
        <v>43856</v>
      </c>
      <c r="Q30" s="35"/>
      <c r="R30" s="138"/>
      <c r="S30" s="139">
        <v>7000</v>
      </c>
      <c r="T30" s="138"/>
      <c r="U30" s="190">
        <v>6000</v>
      </c>
      <c r="V30" s="138"/>
      <c r="W30" s="139">
        <v>22000</v>
      </c>
      <c r="X30" s="138"/>
      <c r="Y30" s="138">
        <v>14000</v>
      </c>
      <c r="Z30" s="139">
        <v>16000</v>
      </c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176">
        <f t="shared" si="3"/>
        <v>65000</v>
      </c>
    </row>
    <row r="31" spans="1:50">
      <c r="A31" s="21">
        <f t="shared" si="0"/>
        <v>43978</v>
      </c>
      <c r="B31" s="38">
        <v>29000</v>
      </c>
      <c r="C31" s="38"/>
      <c r="D31" s="24">
        <f t="shared" si="1"/>
        <v>29000</v>
      </c>
      <c r="E31" s="40"/>
      <c r="F31" s="35"/>
      <c r="G31" s="27"/>
      <c r="H31" s="216">
        <f t="shared" si="2"/>
        <v>0</v>
      </c>
      <c r="I31" s="35"/>
      <c r="J31" s="41"/>
      <c r="K31" s="29"/>
      <c r="L31" s="1"/>
      <c r="M31" s="1"/>
      <c r="N31" s="1"/>
      <c r="O31" s="1"/>
      <c r="P31" s="55">
        <v>43857</v>
      </c>
      <c r="Q31" s="35"/>
      <c r="R31" s="138"/>
      <c r="S31" s="139"/>
      <c r="T31" s="138"/>
      <c r="U31" s="190">
        <v>6000</v>
      </c>
      <c r="V31" s="138"/>
      <c r="W31" s="139"/>
      <c r="X31" s="138"/>
      <c r="Y31" s="138">
        <v>5000</v>
      </c>
      <c r="Z31" s="139"/>
      <c r="AA31" s="138"/>
      <c r="AB31" s="139"/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>
        <v>18000</v>
      </c>
      <c r="AV31" s="149"/>
      <c r="AW31" s="138"/>
      <c r="AX31" s="176">
        <f t="shared" si="3"/>
        <v>29000</v>
      </c>
    </row>
    <row r="32" spans="1:50">
      <c r="A32" s="21">
        <f t="shared" si="0"/>
        <v>43979</v>
      </c>
      <c r="B32" s="38">
        <v>119000</v>
      </c>
      <c r="C32" s="38"/>
      <c r="D32" s="24">
        <f t="shared" si="1"/>
        <v>119000</v>
      </c>
      <c r="E32" s="40"/>
      <c r="F32" s="35"/>
      <c r="G32" s="27">
        <v>654</v>
      </c>
      <c r="H32" s="216">
        <f t="shared" si="2"/>
        <v>654</v>
      </c>
      <c r="I32" s="35"/>
      <c r="J32" s="41"/>
      <c r="K32" s="29"/>
      <c r="L32" s="1"/>
      <c r="M32" s="1"/>
      <c r="N32" s="1"/>
      <c r="O32" s="1"/>
      <c r="P32" s="55">
        <v>43858</v>
      </c>
      <c r="Q32" s="35"/>
      <c r="R32" s="138"/>
      <c r="S32" s="139"/>
      <c r="T32" s="138"/>
      <c r="U32" s="190">
        <v>119000</v>
      </c>
      <c r="V32" s="138"/>
      <c r="W32" s="139"/>
      <c r="X32" s="138"/>
      <c r="Y32" s="138"/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176">
        <f t="shared" si="3"/>
        <v>119000</v>
      </c>
    </row>
    <row r="33" spans="1:50">
      <c r="A33" s="21">
        <f t="shared" si="0"/>
        <v>43980</v>
      </c>
      <c r="B33" s="38">
        <v>191000</v>
      </c>
      <c r="C33" s="38">
        <v>53000</v>
      </c>
      <c r="D33" s="24">
        <f t="shared" si="1"/>
        <v>244000</v>
      </c>
      <c r="E33" s="40">
        <v>14282</v>
      </c>
      <c r="F33" s="35"/>
      <c r="G33" s="27">
        <v>5177</v>
      </c>
      <c r="H33" s="216">
        <f t="shared" si="2"/>
        <v>19459</v>
      </c>
      <c r="I33" s="35"/>
      <c r="J33" s="41"/>
      <c r="K33" s="29"/>
      <c r="L33" s="1"/>
      <c r="M33" s="1"/>
      <c r="N33" s="1"/>
      <c r="O33" s="1"/>
      <c r="P33" s="55">
        <v>43859</v>
      </c>
      <c r="Q33" s="56"/>
      <c r="R33" s="138"/>
      <c r="S33" s="139"/>
      <c r="T33" s="138"/>
      <c r="U33" s="190">
        <v>46000</v>
      </c>
      <c r="V33" s="138"/>
      <c r="W33" s="139">
        <v>29000</v>
      </c>
      <c r="X33" s="138"/>
      <c r="Y33" s="138"/>
      <c r="Z33" s="139"/>
      <c r="AA33" s="138"/>
      <c r="AB33" s="139"/>
      <c r="AC33" s="138"/>
      <c r="AD33" s="151">
        <v>54000</v>
      </c>
      <c r="AE33" s="138">
        <v>15000</v>
      </c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176">
        <f t="shared" si="3"/>
        <v>144000</v>
      </c>
    </row>
    <row r="34" spans="1:50">
      <c r="A34" s="21">
        <f t="shared" si="0"/>
        <v>43981</v>
      </c>
      <c r="B34" s="38">
        <v>30000</v>
      </c>
      <c r="C34" s="38">
        <v>43000</v>
      </c>
      <c r="D34" s="24">
        <f t="shared" si="1"/>
        <v>73000</v>
      </c>
      <c r="E34" s="40"/>
      <c r="F34" s="35"/>
      <c r="G34" s="27">
        <v>127</v>
      </c>
      <c r="H34" s="216">
        <f t="shared" si="2"/>
        <v>127</v>
      </c>
      <c r="I34" s="35"/>
      <c r="J34" s="41"/>
      <c r="K34" s="29"/>
      <c r="L34" s="1"/>
      <c r="M34" s="1"/>
      <c r="N34" s="1"/>
      <c r="O34" s="1"/>
      <c r="P34" s="55">
        <v>43860</v>
      </c>
      <c r="Q34" s="137"/>
      <c r="R34" s="154"/>
      <c r="S34" s="155"/>
      <c r="T34" s="154"/>
      <c r="U34" s="190">
        <v>53000</v>
      </c>
      <c r="V34" s="154"/>
      <c r="W34" s="155">
        <v>20000</v>
      </c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176">
        <f t="shared" si="3"/>
        <v>73000</v>
      </c>
    </row>
    <row r="35" spans="1:50" ht="21" thickBot="1">
      <c r="A35" s="21">
        <f t="shared" si="0"/>
        <v>43982</v>
      </c>
      <c r="B35" s="38">
        <v>52000</v>
      </c>
      <c r="C35" s="38"/>
      <c r="D35" s="24">
        <f t="shared" si="1"/>
        <v>52000</v>
      </c>
      <c r="E35" s="40">
        <v>2672</v>
      </c>
      <c r="F35" s="35"/>
      <c r="G35" s="27">
        <v>645</v>
      </c>
      <c r="H35" s="216">
        <f t="shared" si="2"/>
        <v>3317</v>
      </c>
      <c r="I35" s="57"/>
      <c r="J35" s="58"/>
      <c r="K35" s="59"/>
      <c r="L35" s="1"/>
      <c r="M35" s="1"/>
      <c r="N35" s="1"/>
      <c r="O35" s="1"/>
      <c r="P35" s="55">
        <v>43861</v>
      </c>
      <c r="Q35" s="115"/>
      <c r="R35" s="158"/>
      <c r="S35" s="147"/>
      <c r="T35" s="158"/>
      <c r="U35" s="190">
        <v>8000</v>
      </c>
      <c r="V35" s="158"/>
      <c r="W35" s="147">
        <v>44000</v>
      </c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176">
        <f t="shared" si="3"/>
        <v>52000</v>
      </c>
    </row>
    <row r="36" spans="1:50" ht="21" thickBot="1">
      <c r="A36" s="65"/>
      <c r="B36" s="23"/>
      <c r="C36" s="66"/>
      <c r="D36" s="67"/>
      <c r="E36" s="68"/>
      <c r="F36" s="69"/>
      <c r="G36" s="70"/>
      <c r="H36" s="71"/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22000</v>
      </c>
      <c r="T36" s="115">
        <f t="shared" si="4"/>
        <v>0</v>
      </c>
      <c r="U36" s="115">
        <f t="shared" si="4"/>
        <v>850400</v>
      </c>
      <c r="V36" s="115">
        <f t="shared" si="4"/>
        <v>0</v>
      </c>
      <c r="W36" s="115">
        <f t="shared" si="4"/>
        <v>533000</v>
      </c>
      <c r="X36" s="115">
        <f t="shared" si="4"/>
        <v>0</v>
      </c>
      <c r="Y36" s="115">
        <f t="shared" si="4"/>
        <v>68000</v>
      </c>
      <c r="Z36" s="115">
        <f t="shared" si="4"/>
        <v>46000</v>
      </c>
      <c r="AA36" s="115">
        <f t="shared" si="4"/>
        <v>0</v>
      </c>
      <c r="AB36" s="115">
        <f t="shared" si="4"/>
        <v>474000</v>
      </c>
      <c r="AC36" s="115">
        <f t="shared" si="4"/>
        <v>0</v>
      </c>
      <c r="AD36" s="115">
        <f t="shared" si="4"/>
        <v>375000</v>
      </c>
      <c r="AE36" s="115">
        <f t="shared" si="4"/>
        <v>40000</v>
      </c>
      <c r="AF36" s="115">
        <f t="shared" si="4"/>
        <v>0</v>
      </c>
      <c r="AG36" s="115">
        <f t="shared" si="4"/>
        <v>0</v>
      </c>
      <c r="AH36" s="115">
        <f t="shared" si="4"/>
        <v>0</v>
      </c>
      <c r="AI36" s="115">
        <f t="shared" si="4"/>
        <v>0</v>
      </c>
      <c r="AJ36" s="115">
        <f t="shared" si="4"/>
        <v>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10000</v>
      </c>
      <c r="AO36" s="115">
        <f t="shared" si="4"/>
        <v>0</v>
      </c>
      <c r="AP36" s="115">
        <f t="shared" si="4"/>
        <v>64000</v>
      </c>
      <c r="AQ36" s="115">
        <f t="shared" si="4"/>
        <v>22000</v>
      </c>
      <c r="AR36" s="115">
        <f t="shared" si="4"/>
        <v>0</v>
      </c>
      <c r="AS36" s="115">
        <f t="shared" si="4"/>
        <v>0</v>
      </c>
      <c r="AT36" s="115">
        <f t="shared" si="4"/>
        <v>11000</v>
      </c>
      <c r="AU36" s="115">
        <f t="shared" si="4"/>
        <v>18000</v>
      </c>
      <c r="AV36" s="115">
        <f t="shared" si="4"/>
        <v>0</v>
      </c>
      <c r="AW36" s="115">
        <f t="shared" si="4"/>
        <v>0</v>
      </c>
      <c r="AX36" s="2">
        <f>SUM(Q36:AW36)</f>
        <v>2533400</v>
      </c>
    </row>
    <row r="37" spans="1:50" ht="22" thickTop="1" thickBot="1">
      <c r="A37" s="81" t="s">
        <v>33</v>
      </c>
      <c r="B37" s="23">
        <f>SUM(B5:B35)</f>
        <v>2212000</v>
      </c>
      <c r="C37" s="23">
        <f t="shared" ref="C37:J37" si="5">SUM(C5:C35)</f>
        <v>421400</v>
      </c>
      <c r="D37" s="23">
        <f t="shared" si="5"/>
        <v>2633400</v>
      </c>
      <c r="E37" s="23">
        <f t="shared" si="5"/>
        <v>279482</v>
      </c>
      <c r="F37" s="23">
        <f t="shared" si="5"/>
        <v>25550</v>
      </c>
      <c r="G37" s="23">
        <f t="shared" si="5"/>
        <v>17418</v>
      </c>
      <c r="H37" s="23">
        <f t="shared" si="5"/>
        <v>322450</v>
      </c>
      <c r="I37" s="23">
        <f t="shared" si="5"/>
        <v>0</v>
      </c>
      <c r="J37" s="23">
        <f t="shared" si="5"/>
        <v>0</v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90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34">
        <f t="shared" ref="Q38:V38" si="6">Q36*0.35</f>
        <v>0</v>
      </c>
      <c r="R38" s="534">
        <f t="shared" si="6"/>
        <v>0</v>
      </c>
      <c r="S38" s="534">
        <f t="shared" si="6"/>
        <v>7699.9999999999991</v>
      </c>
      <c r="T38" s="534">
        <f t="shared" si="6"/>
        <v>0</v>
      </c>
      <c r="U38" s="534">
        <f t="shared" si="6"/>
        <v>297640</v>
      </c>
      <c r="V38" s="534">
        <f t="shared" si="6"/>
        <v>0</v>
      </c>
      <c r="W38" s="534">
        <f>W36*0.35</f>
        <v>186550</v>
      </c>
      <c r="X38" s="534">
        <f>X36*0.3</f>
        <v>0</v>
      </c>
      <c r="Y38" s="538">
        <f>Y36</f>
        <v>68000</v>
      </c>
      <c r="Z38" s="536">
        <f>Z36*0.35</f>
        <v>16099.999999999998</v>
      </c>
      <c r="AA38" s="530">
        <f>AA36*0.3</f>
        <v>0</v>
      </c>
      <c r="AB38" s="530">
        <f>AB36*0.35</f>
        <v>165900</v>
      </c>
      <c r="AC38" s="530">
        <f>AC36*0.3</f>
        <v>0</v>
      </c>
      <c r="AD38" s="530">
        <f>AD36*0.35</f>
        <v>131250</v>
      </c>
      <c r="AE38" s="530">
        <f>AE36*0.3</f>
        <v>12000</v>
      </c>
      <c r="AF38" s="530">
        <f>AF36*0.35</f>
        <v>0</v>
      </c>
      <c r="AG38" s="530">
        <f>AG36*0.3</f>
        <v>0</v>
      </c>
      <c r="AH38" s="530">
        <f>AH36*0.35</f>
        <v>0</v>
      </c>
      <c r="AI38" s="530">
        <f>AI36*0.3</f>
        <v>0</v>
      </c>
      <c r="AJ38" s="530">
        <f>AJ36*0.35</f>
        <v>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7">AN36*0.35</f>
        <v>3500</v>
      </c>
      <c r="AO38" s="530">
        <f t="shared" si="7"/>
        <v>0</v>
      </c>
      <c r="AP38" s="530">
        <f t="shared" si="7"/>
        <v>22400</v>
      </c>
      <c r="AQ38" s="530">
        <f t="shared" si="7"/>
        <v>7699.9999999999991</v>
      </c>
      <c r="AR38" s="530">
        <f t="shared" si="7"/>
        <v>0</v>
      </c>
      <c r="AS38" s="530">
        <f t="shared" si="7"/>
        <v>0</v>
      </c>
      <c r="AT38" s="530">
        <f t="shared" si="7"/>
        <v>3849.9999999999995</v>
      </c>
      <c r="AU38" s="530">
        <f t="shared" si="7"/>
        <v>6300</v>
      </c>
      <c r="AV38" s="530">
        <f t="shared" si="7"/>
        <v>0</v>
      </c>
      <c r="AW38" s="530">
        <f>AW36*0.3</f>
        <v>0</v>
      </c>
      <c r="AX38" s="182"/>
    </row>
    <row r="39" spans="1:50">
      <c r="A39" s="470" t="s">
        <v>244</v>
      </c>
      <c r="B39" s="470"/>
      <c r="C39" s="91">
        <f>B37-B46</f>
        <v>2170000</v>
      </c>
      <c r="D39" s="1"/>
      <c r="E39" s="2"/>
      <c r="F39" s="2"/>
      <c r="G39" s="378" t="s">
        <v>249</v>
      </c>
      <c r="H39" s="135">
        <f>B46-G37</f>
        <v>24582</v>
      </c>
      <c r="I39" s="2"/>
      <c r="J39" s="2"/>
      <c r="K39" s="1"/>
      <c r="L39" s="1"/>
      <c r="M39" s="1"/>
      <c r="N39" s="1"/>
      <c r="O39" s="182"/>
      <c r="P39" s="541"/>
      <c r="Q39" s="535"/>
      <c r="R39" s="535"/>
      <c r="S39" s="535"/>
      <c r="T39" s="535"/>
      <c r="U39" s="535"/>
      <c r="V39" s="535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297"/>
      <c r="B40" s="135">
        <v>10000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297"/>
      <c r="B41" s="135">
        <v>10000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297"/>
      <c r="B42" s="135">
        <v>10000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297"/>
      <c r="B43" s="135">
        <v>10000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297"/>
      <c r="B44" s="135">
        <v>2000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296" t="s">
        <v>246</v>
      </c>
      <c r="B46" s="135">
        <f>SUM(B40:B45)</f>
        <v>42000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</sheetData>
  <mergeCells count="77">
    <mergeCell ref="I3:I4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N11:N12"/>
    <mergeCell ref="P38:P39"/>
    <mergeCell ref="Q38:Q39"/>
    <mergeCell ref="R38:R39"/>
    <mergeCell ref="S38:S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</mergeCells>
  <phoneticPr fontId="7"/>
  <dataValidations count="2">
    <dataValidation allowBlank="1" showErrorMessage="1" sqref="R3:R4 AI3:AI4 T3:T4 AC3:AC4 AA3:AA4 AE3:AE4 AG3:AG4 AK3:AK4 AW3:AW4 V3:V4 AM3:AM4 X3:X4 Y3" xr:uid="{A794F4BF-C87B-674A-8F4D-3B951596E934}"/>
    <dataValidation type="list" allowBlank="1" showErrorMessage="1" sqref="Q3:Q4 AD3:AD4 S3:S4 U3:U4 AL3:AL4 AH3:AH4 Z3:Z4 AF3:AF4 AJ3:AJ4 W3:W4 AB3:AB4 AV3:AV4 AN3:AN4 AO3:AU3" xr:uid="{11F74085-BFF6-274B-9679-8F9BA427DB5B}">
      <formula1>名前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8BE3-D16F-344E-81F7-EF7CF18B61E1}">
  <dimension ref="A1:AX52"/>
  <sheetViews>
    <sheetView topLeftCell="A14" zoomScale="88" workbookViewId="0">
      <selection activeCell="U38" sqref="U38:U39"/>
    </sheetView>
  </sheetViews>
  <sheetFormatPr baseColWidth="10" defaultRowHeight="20"/>
  <cols>
    <col min="1" max="1" width="13.7109375" bestFit="1" customWidth="1"/>
  </cols>
  <sheetData>
    <row r="1" spans="1:50">
      <c r="A1" s="498">
        <v>2020</v>
      </c>
      <c r="B1" s="500">
        <v>6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293</v>
      </c>
      <c r="AA3" s="494">
        <v>0.3</v>
      </c>
      <c r="AB3" s="492" t="s">
        <v>262</v>
      </c>
      <c r="AC3" s="494">
        <v>0.3</v>
      </c>
      <c r="AD3" s="496" t="s">
        <v>234</v>
      </c>
      <c r="AE3" s="494">
        <v>0.3</v>
      </c>
      <c r="AF3" s="527" t="s">
        <v>296</v>
      </c>
      <c r="AG3" s="494">
        <v>0.3</v>
      </c>
      <c r="AH3" s="492" t="s">
        <v>248</v>
      </c>
      <c r="AI3" s="494">
        <v>0.3</v>
      </c>
      <c r="AJ3" s="496" t="s">
        <v>280</v>
      </c>
      <c r="AK3" s="494">
        <v>0.3</v>
      </c>
      <c r="AL3" s="496" t="s">
        <v>183</v>
      </c>
      <c r="AM3" s="523">
        <v>0.3</v>
      </c>
      <c r="AN3" s="496" t="s">
        <v>273</v>
      </c>
      <c r="AO3" s="520" t="s">
        <v>294</v>
      </c>
      <c r="AP3" s="520" t="s">
        <v>240</v>
      </c>
      <c r="AQ3" s="520" t="s">
        <v>139</v>
      </c>
      <c r="AR3" s="525" t="s">
        <v>120</v>
      </c>
      <c r="AS3" s="520" t="s">
        <v>291</v>
      </c>
      <c r="AT3" s="522" t="s">
        <v>271</v>
      </c>
      <c r="AU3" s="520" t="s">
        <v>114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277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43983</v>
      </c>
      <c r="B5" s="23">
        <v>3000</v>
      </c>
      <c r="C5" s="23"/>
      <c r="D5" s="24">
        <f>SUM(B5:C5)</f>
        <v>3000</v>
      </c>
      <c r="E5" s="25">
        <f>19584+2360+18710+32242+31320</f>
        <v>104216</v>
      </c>
      <c r="F5" s="26"/>
      <c r="G5" s="27"/>
      <c r="H5" s="216">
        <f>SUM(E5:G5)</f>
        <v>104216</v>
      </c>
      <c r="I5" s="27"/>
      <c r="J5" s="28"/>
      <c r="K5" s="29"/>
      <c r="L5" s="1"/>
      <c r="M5" s="1"/>
      <c r="N5" s="1"/>
      <c r="O5" s="1"/>
      <c r="P5" s="55">
        <v>43831</v>
      </c>
      <c r="Q5" s="35"/>
      <c r="R5" s="138"/>
      <c r="S5" s="139"/>
      <c r="T5" s="138"/>
      <c r="U5" s="190"/>
      <c r="V5" s="138"/>
      <c r="W5" s="141"/>
      <c r="X5" s="138"/>
      <c r="Y5" s="166"/>
      <c r="Z5" s="142"/>
      <c r="AA5" s="138"/>
      <c r="AB5" s="143"/>
      <c r="AC5" s="138"/>
      <c r="AD5" s="144">
        <v>3000</v>
      </c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176">
        <f>SUM(Q5:AW5)</f>
        <v>3000</v>
      </c>
    </row>
    <row r="6" spans="1:50">
      <c r="A6" s="21">
        <f t="shared" si="0"/>
        <v>43984</v>
      </c>
      <c r="B6" s="23">
        <v>71000</v>
      </c>
      <c r="C6" s="23">
        <v>9000</v>
      </c>
      <c r="D6" s="24">
        <f t="shared" ref="D6:D35" si="1">SUM(B6:C6)</f>
        <v>80000</v>
      </c>
      <c r="E6" s="25"/>
      <c r="F6" s="26"/>
      <c r="G6" s="27"/>
      <c r="H6" s="216">
        <f t="shared" ref="H6:H35" si="2">SUM(E6:G6)</f>
        <v>0</v>
      </c>
      <c r="I6" s="35"/>
      <c r="J6" s="41"/>
      <c r="K6" s="29"/>
      <c r="L6" s="1"/>
      <c r="M6" s="1"/>
      <c r="N6" s="1"/>
      <c r="O6" s="1"/>
      <c r="P6" s="55">
        <v>43832</v>
      </c>
      <c r="Q6" s="35"/>
      <c r="R6" s="138"/>
      <c r="S6" s="139"/>
      <c r="T6" s="138"/>
      <c r="U6" s="190">
        <v>45000</v>
      </c>
      <c r="V6" s="138"/>
      <c r="W6" s="141">
        <v>10000</v>
      </c>
      <c r="X6" s="138"/>
      <c r="Y6" s="166"/>
      <c r="Z6" s="142"/>
      <c r="AA6" s="138"/>
      <c r="AB6" s="143">
        <v>14000</v>
      </c>
      <c r="AC6" s="138"/>
      <c r="AD6" s="147">
        <v>11000</v>
      </c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176">
        <f t="shared" ref="AX6:AX35" si="3">SUM(Q6:AW6)</f>
        <v>80000</v>
      </c>
    </row>
    <row r="7" spans="1:50">
      <c r="A7" s="21">
        <f t="shared" si="0"/>
        <v>43985</v>
      </c>
      <c r="B7" s="23">
        <v>196000</v>
      </c>
      <c r="C7" s="23">
        <v>11000</v>
      </c>
      <c r="D7" s="24">
        <f t="shared" si="1"/>
        <v>207000</v>
      </c>
      <c r="E7" s="25"/>
      <c r="F7" s="26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43833</v>
      </c>
      <c r="Q7" s="35"/>
      <c r="R7" s="138"/>
      <c r="S7" s="139"/>
      <c r="T7" s="138"/>
      <c r="U7" s="190">
        <v>18000</v>
      </c>
      <c r="V7" s="138"/>
      <c r="W7" s="141"/>
      <c r="X7" s="138"/>
      <c r="Y7" s="166"/>
      <c r="Z7" s="142"/>
      <c r="AA7" s="138"/>
      <c r="AB7" s="139">
        <v>175000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>
        <v>14000</v>
      </c>
      <c r="AO7" s="168"/>
      <c r="AP7" s="158"/>
      <c r="AQ7" s="172"/>
      <c r="AR7" s="172"/>
      <c r="AS7" s="172"/>
      <c r="AT7" s="172"/>
      <c r="AU7" s="172"/>
      <c r="AV7" s="162"/>
      <c r="AW7" s="138"/>
      <c r="AX7" s="176">
        <f t="shared" si="3"/>
        <v>207000</v>
      </c>
    </row>
    <row r="8" spans="1:50">
      <c r="A8" s="21">
        <f t="shared" si="0"/>
        <v>43986</v>
      </c>
      <c r="B8" s="23">
        <v>96000</v>
      </c>
      <c r="C8" s="23"/>
      <c r="D8" s="24">
        <f t="shared" si="1"/>
        <v>96000</v>
      </c>
      <c r="E8" s="25"/>
      <c r="F8" s="26"/>
      <c r="G8" s="27"/>
      <c r="H8" s="216">
        <f t="shared" si="2"/>
        <v>0</v>
      </c>
      <c r="I8" s="35"/>
      <c r="J8" s="41"/>
      <c r="K8" s="29"/>
      <c r="L8" s="1"/>
      <c r="M8" s="1"/>
      <c r="N8" s="1"/>
      <c r="O8" s="1"/>
      <c r="P8" s="55">
        <v>43834</v>
      </c>
      <c r="Q8" s="35"/>
      <c r="R8" s="138"/>
      <c r="S8" s="139"/>
      <c r="T8" s="138"/>
      <c r="U8" s="190">
        <v>6000</v>
      </c>
      <c r="V8" s="138"/>
      <c r="W8" s="141">
        <v>40000</v>
      </c>
      <c r="X8" s="138">
        <v>50000</v>
      </c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176">
        <f t="shared" si="3"/>
        <v>96000</v>
      </c>
    </row>
    <row r="9" spans="1:50">
      <c r="A9" s="21">
        <f t="shared" si="0"/>
        <v>43987</v>
      </c>
      <c r="B9" s="23">
        <v>119000</v>
      </c>
      <c r="C9" s="23">
        <v>7000</v>
      </c>
      <c r="D9" s="24">
        <f t="shared" si="1"/>
        <v>126000</v>
      </c>
      <c r="E9" s="25">
        <f>18000+1164</f>
        <v>19164</v>
      </c>
      <c r="F9" s="26"/>
      <c r="G9" s="27">
        <v>1654</v>
      </c>
      <c r="H9" s="216">
        <f t="shared" si="2"/>
        <v>20818</v>
      </c>
      <c r="I9" s="35"/>
      <c r="J9" s="41"/>
      <c r="K9" s="29"/>
      <c r="L9" s="1"/>
      <c r="M9" s="1"/>
      <c r="N9" s="1"/>
      <c r="O9" s="1"/>
      <c r="P9" s="55">
        <v>43835</v>
      </c>
      <c r="Q9" s="35"/>
      <c r="R9" s="138"/>
      <c r="S9" s="139">
        <v>21000</v>
      </c>
      <c r="T9" s="138"/>
      <c r="U9" s="190">
        <v>53000</v>
      </c>
      <c r="V9" s="138"/>
      <c r="W9" s="141">
        <v>7000</v>
      </c>
      <c r="X9" s="138"/>
      <c r="Y9" s="138">
        <v>3000</v>
      </c>
      <c r="Z9" s="139">
        <v>4000</v>
      </c>
      <c r="AA9" s="138"/>
      <c r="AB9" s="139">
        <v>9000</v>
      </c>
      <c r="AC9" s="138"/>
      <c r="AD9" s="151"/>
      <c r="AE9" s="138"/>
      <c r="AF9" s="149"/>
      <c r="AG9" s="138"/>
      <c r="AH9" s="149"/>
      <c r="AI9" s="138"/>
      <c r="AJ9" s="149"/>
      <c r="AK9" s="138"/>
      <c r="AL9" s="149">
        <v>5000</v>
      </c>
      <c r="AM9" s="138"/>
      <c r="AN9" s="160"/>
      <c r="AO9" s="158">
        <v>14000</v>
      </c>
      <c r="AP9" s="167">
        <v>10000</v>
      </c>
      <c r="AQ9" s="168"/>
      <c r="AR9" s="158"/>
      <c r="AS9" s="158"/>
      <c r="AT9" s="158"/>
      <c r="AU9" s="158"/>
      <c r="AV9" s="145"/>
      <c r="AW9" s="138"/>
      <c r="AX9" s="176">
        <f t="shared" si="3"/>
        <v>126000</v>
      </c>
    </row>
    <row r="10" spans="1:50">
      <c r="A10" s="21">
        <f t="shared" si="0"/>
        <v>43988</v>
      </c>
      <c r="B10" s="23">
        <v>101000</v>
      </c>
      <c r="C10" s="23"/>
      <c r="D10" s="24">
        <f t="shared" si="1"/>
        <v>101000</v>
      </c>
      <c r="E10" s="25"/>
      <c r="F10" s="26"/>
      <c r="G10" s="27">
        <v>1998</v>
      </c>
      <c r="H10" s="216">
        <f t="shared" si="2"/>
        <v>1998</v>
      </c>
      <c r="I10" s="35"/>
      <c r="J10" s="41"/>
      <c r="K10" s="29"/>
      <c r="L10" s="1"/>
      <c r="M10" s="516" t="s">
        <v>26</v>
      </c>
      <c r="N10" s="517"/>
      <c r="O10" s="1"/>
      <c r="P10" s="55">
        <v>43836</v>
      </c>
      <c r="Q10" s="35"/>
      <c r="R10" s="138"/>
      <c r="S10" s="139">
        <v>10000</v>
      </c>
      <c r="T10" s="1"/>
      <c r="U10" s="190">
        <v>3000</v>
      </c>
      <c r="V10" s="138"/>
      <c r="W10" s="141">
        <v>58000</v>
      </c>
      <c r="X10" s="138"/>
      <c r="Y10" s="138"/>
      <c r="Z10" s="139"/>
      <c r="AA10" s="138"/>
      <c r="AB10" s="139"/>
      <c r="AC10" s="138"/>
      <c r="AD10" s="151">
        <v>7000</v>
      </c>
      <c r="AE10" s="138"/>
      <c r="AF10" s="149"/>
      <c r="AG10" s="138"/>
      <c r="AH10" s="149"/>
      <c r="AI10" s="138"/>
      <c r="AJ10" s="149">
        <v>23000</v>
      </c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176">
        <f t="shared" si="3"/>
        <v>101000</v>
      </c>
    </row>
    <row r="11" spans="1:50">
      <c r="A11" s="21">
        <f t="shared" si="0"/>
        <v>43989</v>
      </c>
      <c r="B11" s="23">
        <v>12000</v>
      </c>
      <c r="C11" s="23"/>
      <c r="D11" s="24">
        <f t="shared" si="1"/>
        <v>12000</v>
      </c>
      <c r="E11" s="25"/>
      <c r="F11" s="26"/>
      <c r="G11" s="27">
        <v>654</v>
      </c>
      <c r="H11" s="216">
        <f t="shared" si="2"/>
        <v>654</v>
      </c>
      <c r="I11" s="35"/>
      <c r="J11" s="41"/>
      <c r="K11" s="29"/>
      <c r="L11" s="1"/>
      <c r="M11" s="47" t="s">
        <v>27</v>
      </c>
      <c r="N11" s="518"/>
      <c r="O11" s="1"/>
      <c r="P11" s="55">
        <v>43837</v>
      </c>
      <c r="Q11" s="35"/>
      <c r="R11" s="138"/>
      <c r="S11" s="139"/>
      <c r="T11" s="138"/>
      <c r="U11" s="190"/>
      <c r="V11" s="138"/>
      <c r="W11" s="141">
        <v>12000</v>
      </c>
      <c r="X11" s="138"/>
      <c r="Y11" s="138"/>
      <c r="Z11" s="139"/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176">
        <f t="shared" si="3"/>
        <v>12000</v>
      </c>
    </row>
    <row r="12" spans="1:50">
      <c r="A12" s="21">
        <f t="shared" si="0"/>
        <v>43990</v>
      </c>
      <c r="B12" s="23">
        <v>0</v>
      </c>
      <c r="C12" s="23"/>
      <c r="D12" s="24">
        <f t="shared" si="1"/>
        <v>0</v>
      </c>
      <c r="E12" s="25"/>
      <c r="F12" s="26"/>
      <c r="G12" s="27"/>
      <c r="H12" s="216">
        <f t="shared" si="2"/>
        <v>0</v>
      </c>
      <c r="I12" s="35"/>
      <c r="J12" s="41"/>
      <c r="K12" s="29"/>
      <c r="L12" s="1"/>
      <c r="M12" s="47" t="s">
        <v>28</v>
      </c>
      <c r="N12" s="519"/>
      <c r="O12" s="1"/>
      <c r="P12" s="55">
        <v>43838</v>
      </c>
      <c r="Q12" s="35"/>
      <c r="R12" s="138"/>
      <c r="S12" s="139"/>
      <c r="T12" s="138"/>
      <c r="U12" s="190"/>
      <c r="V12" s="138"/>
      <c r="W12" s="141"/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176">
        <f t="shared" si="3"/>
        <v>0</v>
      </c>
    </row>
    <row r="13" spans="1:50">
      <c r="A13" s="21">
        <f t="shared" si="0"/>
        <v>43991</v>
      </c>
      <c r="B13" s="23">
        <v>112000</v>
      </c>
      <c r="C13" s="23">
        <v>15000</v>
      </c>
      <c r="D13" s="24">
        <f t="shared" si="1"/>
        <v>127000</v>
      </c>
      <c r="E13" s="25">
        <v>7612</v>
      </c>
      <c r="F13" s="26"/>
      <c r="G13" s="27"/>
      <c r="H13" s="216">
        <f t="shared" si="2"/>
        <v>7612</v>
      </c>
      <c r="I13" s="35"/>
      <c r="J13" s="41"/>
      <c r="K13" s="29"/>
      <c r="L13" s="1"/>
      <c r="M13" s="47" t="s">
        <v>29</v>
      </c>
      <c r="N13" s="35"/>
      <c r="O13" s="1"/>
      <c r="P13" s="55">
        <v>43839</v>
      </c>
      <c r="Q13" s="35"/>
      <c r="R13" s="138"/>
      <c r="S13" s="139"/>
      <c r="T13" s="138"/>
      <c r="U13" s="190">
        <v>35000</v>
      </c>
      <c r="V13" s="138"/>
      <c r="W13" s="141">
        <v>37000</v>
      </c>
      <c r="X13" s="138"/>
      <c r="Y13" s="138"/>
      <c r="Z13" s="139"/>
      <c r="AA13" s="138"/>
      <c r="AB13" s="139">
        <v>55000</v>
      </c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176">
        <f t="shared" si="3"/>
        <v>127000</v>
      </c>
    </row>
    <row r="14" spans="1:50">
      <c r="A14" s="21">
        <f t="shared" si="0"/>
        <v>43992</v>
      </c>
      <c r="B14" s="23">
        <v>168000</v>
      </c>
      <c r="C14" s="23"/>
      <c r="D14" s="24">
        <f t="shared" si="1"/>
        <v>168000</v>
      </c>
      <c r="E14" s="25">
        <v>14634</v>
      </c>
      <c r="F14" s="26"/>
      <c r="G14" s="27"/>
      <c r="H14" s="216">
        <f t="shared" si="2"/>
        <v>14634</v>
      </c>
      <c r="I14" s="35"/>
      <c r="J14" s="41"/>
      <c r="K14" s="29"/>
      <c r="L14" s="1"/>
      <c r="M14" s="47" t="s">
        <v>30</v>
      </c>
      <c r="N14" s="35"/>
      <c r="O14" s="1"/>
      <c r="P14" s="55">
        <v>43840</v>
      </c>
      <c r="Q14" s="35"/>
      <c r="R14" s="138"/>
      <c r="S14" s="139"/>
      <c r="T14" s="138"/>
      <c r="U14" s="190">
        <v>46000</v>
      </c>
      <c r="V14" s="138"/>
      <c r="W14" s="141">
        <v>32000</v>
      </c>
      <c r="X14" s="138"/>
      <c r="Y14" s="138"/>
      <c r="Z14" s="139"/>
      <c r="AA14" s="138"/>
      <c r="AB14" s="139">
        <v>90000</v>
      </c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176">
        <f t="shared" si="3"/>
        <v>168000</v>
      </c>
    </row>
    <row r="15" spans="1:50">
      <c r="A15" s="21">
        <f t="shared" si="0"/>
        <v>43993</v>
      </c>
      <c r="B15" s="23">
        <v>91000</v>
      </c>
      <c r="C15" s="23"/>
      <c r="D15" s="24">
        <f t="shared" si="1"/>
        <v>91000</v>
      </c>
      <c r="E15" s="25">
        <f>10886+7080</f>
        <v>17966</v>
      </c>
      <c r="F15" s="26">
        <v>7007</v>
      </c>
      <c r="G15" s="27"/>
      <c r="H15" s="216">
        <f t="shared" si="2"/>
        <v>24973</v>
      </c>
      <c r="I15" s="35"/>
      <c r="J15" s="41"/>
      <c r="K15" s="29"/>
      <c r="L15" s="1"/>
      <c r="M15" s="47" t="s">
        <v>31</v>
      </c>
      <c r="N15" s="35"/>
      <c r="O15" s="1"/>
      <c r="P15" s="55">
        <v>43841</v>
      </c>
      <c r="Q15" s="35"/>
      <c r="R15" s="138"/>
      <c r="S15" s="139">
        <v>7000</v>
      </c>
      <c r="T15" s="138"/>
      <c r="U15" s="190">
        <v>59000</v>
      </c>
      <c r="V15" s="138"/>
      <c r="W15" s="141">
        <v>25000</v>
      </c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176">
        <f t="shared" si="3"/>
        <v>91000</v>
      </c>
    </row>
    <row r="16" spans="1:50">
      <c r="A16" s="21">
        <f t="shared" si="0"/>
        <v>43994</v>
      </c>
      <c r="B16" s="23">
        <v>219000</v>
      </c>
      <c r="C16" s="23">
        <v>12000</v>
      </c>
      <c r="D16" s="24">
        <f t="shared" si="1"/>
        <v>231000</v>
      </c>
      <c r="E16" s="25">
        <v>10102</v>
      </c>
      <c r="F16" s="26"/>
      <c r="G16" s="27">
        <f>2247+1035+3657</f>
        <v>6939</v>
      </c>
      <c r="H16" s="216">
        <f t="shared" si="2"/>
        <v>17041</v>
      </c>
      <c r="I16" s="35"/>
      <c r="J16" s="41"/>
      <c r="K16" s="29"/>
      <c r="L16" s="1"/>
      <c r="M16" s="47" t="s">
        <v>32</v>
      </c>
      <c r="N16" s="35"/>
      <c r="O16" s="1"/>
      <c r="P16" s="55">
        <v>43842</v>
      </c>
      <c r="Q16" s="35"/>
      <c r="R16" s="138"/>
      <c r="S16" s="139">
        <v>35000</v>
      </c>
      <c r="T16" s="138"/>
      <c r="U16" s="190">
        <v>90000</v>
      </c>
      <c r="V16" s="138"/>
      <c r="W16" s="141">
        <v>6000</v>
      </c>
      <c r="X16" s="138"/>
      <c r="Y16" s="138">
        <v>90000</v>
      </c>
      <c r="Z16" s="139"/>
      <c r="AA16" s="138"/>
      <c r="AB16" s="139"/>
      <c r="AC16" s="138"/>
      <c r="AD16" s="151">
        <v>10000</v>
      </c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176">
        <f t="shared" si="3"/>
        <v>231000</v>
      </c>
    </row>
    <row r="17" spans="1:50">
      <c r="A17" s="21">
        <f t="shared" si="0"/>
        <v>43995</v>
      </c>
      <c r="B17" s="23">
        <v>104000</v>
      </c>
      <c r="C17" s="23"/>
      <c r="D17" s="24">
        <f t="shared" si="1"/>
        <v>104000</v>
      </c>
      <c r="E17" s="25"/>
      <c r="F17" s="26"/>
      <c r="G17" s="27">
        <v>2496</v>
      </c>
      <c r="H17" s="216">
        <f t="shared" si="2"/>
        <v>2496</v>
      </c>
      <c r="I17" s="35"/>
      <c r="J17" s="41"/>
      <c r="K17" s="29"/>
      <c r="L17" s="1"/>
      <c r="M17" s="47"/>
      <c r="N17" s="35"/>
      <c r="O17" s="1"/>
      <c r="P17" s="55">
        <v>43843</v>
      </c>
      <c r="Q17" s="35"/>
      <c r="R17" s="138"/>
      <c r="S17" s="139"/>
      <c r="T17" s="138"/>
      <c r="U17" s="190">
        <v>20000</v>
      </c>
      <c r="V17" s="138"/>
      <c r="W17" s="141"/>
      <c r="X17" s="138"/>
      <c r="Y17" s="138">
        <v>4000</v>
      </c>
      <c r="Z17" s="139"/>
      <c r="AA17" s="138"/>
      <c r="AB17" s="139">
        <v>80000</v>
      </c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176">
        <f t="shared" si="3"/>
        <v>104000</v>
      </c>
    </row>
    <row r="18" spans="1:50">
      <c r="A18" s="21">
        <f t="shared" si="0"/>
        <v>43996</v>
      </c>
      <c r="B18" s="23">
        <v>0</v>
      </c>
      <c r="C18" s="23"/>
      <c r="D18" s="24">
        <f t="shared" si="1"/>
        <v>0</v>
      </c>
      <c r="E18" s="25"/>
      <c r="F18" s="26"/>
      <c r="G18" s="27"/>
      <c r="H18" s="216">
        <f t="shared" si="2"/>
        <v>0</v>
      </c>
      <c r="I18" s="35"/>
      <c r="J18" s="41"/>
      <c r="K18" s="29"/>
      <c r="L18" s="1"/>
      <c r="M18" s="47"/>
      <c r="N18" s="35"/>
      <c r="O18" s="1"/>
      <c r="P18" s="55">
        <v>43844</v>
      </c>
      <c r="Q18" s="35"/>
      <c r="R18" s="138"/>
      <c r="S18" s="139"/>
      <c r="T18" s="138"/>
      <c r="U18" s="190"/>
      <c r="V18" s="138"/>
      <c r="W18" s="141"/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176">
        <f t="shared" si="3"/>
        <v>0</v>
      </c>
    </row>
    <row r="19" spans="1:50">
      <c r="A19" s="21">
        <f t="shared" si="0"/>
        <v>43997</v>
      </c>
      <c r="B19" s="23">
        <v>0</v>
      </c>
      <c r="C19" s="23"/>
      <c r="D19" s="24">
        <f t="shared" si="1"/>
        <v>0</v>
      </c>
      <c r="E19" s="25"/>
      <c r="F19" s="26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0</v>
      </c>
      <c r="O19" s="1"/>
      <c r="P19" s="55">
        <v>43845</v>
      </c>
      <c r="Q19" s="35"/>
      <c r="R19" s="138"/>
      <c r="S19" s="139"/>
      <c r="T19" s="138"/>
      <c r="U19" s="190"/>
      <c r="V19" s="138"/>
      <c r="W19" s="139"/>
      <c r="X19" s="138"/>
      <c r="Y19" s="138"/>
      <c r="Z19" s="139"/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176">
        <f t="shared" si="3"/>
        <v>0</v>
      </c>
    </row>
    <row r="20" spans="1:50">
      <c r="A20" s="21">
        <f t="shared" si="0"/>
        <v>43998</v>
      </c>
      <c r="B20" s="23">
        <v>112000</v>
      </c>
      <c r="C20" s="23">
        <v>60000</v>
      </c>
      <c r="D20" s="24">
        <f t="shared" si="1"/>
        <v>172000</v>
      </c>
      <c r="E20" s="421">
        <f>4920+15270</f>
        <v>20190</v>
      </c>
      <c r="F20" s="26"/>
      <c r="G20" s="401">
        <v>220</v>
      </c>
      <c r="H20" s="216">
        <f t="shared" si="2"/>
        <v>20410</v>
      </c>
      <c r="I20" s="35"/>
      <c r="J20" s="41"/>
      <c r="K20" s="29"/>
      <c r="L20" s="1"/>
      <c r="M20" s="51"/>
      <c r="N20" s="7"/>
      <c r="O20" s="1"/>
      <c r="P20" s="55">
        <v>43846</v>
      </c>
      <c r="Q20" s="35"/>
      <c r="R20" s="138"/>
      <c r="S20" s="139"/>
      <c r="T20" s="138"/>
      <c r="U20" s="190">
        <v>27000</v>
      </c>
      <c r="V20" s="138"/>
      <c r="W20" s="139">
        <v>85000</v>
      </c>
      <c r="X20" s="138"/>
      <c r="Y20" s="138"/>
      <c r="Z20" s="139"/>
      <c r="AA20" s="138"/>
      <c r="AB20" s="139">
        <v>60000</v>
      </c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176">
        <f t="shared" si="3"/>
        <v>172000</v>
      </c>
    </row>
    <row r="21" spans="1:50">
      <c r="A21" s="21">
        <f t="shared" si="0"/>
        <v>43999</v>
      </c>
      <c r="B21" s="23">
        <v>84000</v>
      </c>
      <c r="C21" s="23"/>
      <c r="D21" s="24">
        <f t="shared" si="1"/>
        <v>84000</v>
      </c>
      <c r="E21" s="421">
        <f>9564</f>
        <v>9564</v>
      </c>
      <c r="F21" s="477"/>
      <c r="G21" s="115">
        <f>654+999</f>
        <v>1653</v>
      </c>
      <c r="H21" s="400">
        <f>SUM(E21:G21)</f>
        <v>11217</v>
      </c>
      <c r="I21" s="35"/>
      <c r="J21" s="41"/>
      <c r="K21" s="29"/>
      <c r="L21" s="1"/>
      <c r="M21" s="1"/>
      <c r="N21" s="1"/>
      <c r="O21" s="1"/>
      <c r="P21" s="55">
        <v>43847</v>
      </c>
      <c r="Q21" s="35"/>
      <c r="R21" s="138"/>
      <c r="S21" s="139"/>
      <c r="T21" s="138"/>
      <c r="U21" s="190">
        <v>44000</v>
      </c>
      <c r="V21" s="138"/>
      <c r="W21" s="139">
        <v>25000</v>
      </c>
      <c r="X21" s="138"/>
      <c r="Y21" s="138">
        <v>10000</v>
      </c>
      <c r="Z21" s="139"/>
      <c r="AA21" s="138"/>
      <c r="AB21" s="139"/>
      <c r="AC21" s="138"/>
      <c r="AD21" s="151">
        <v>5000</v>
      </c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176">
        <f t="shared" si="3"/>
        <v>84000</v>
      </c>
    </row>
    <row r="22" spans="1:50">
      <c r="A22" s="21">
        <f t="shared" si="0"/>
        <v>44000</v>
      </c>
      <c r="B22" s="23">
        <v>27000</v>
      </c>
      <c r="C22" s="23"/>
      <c r="D22" s="24">
        <f t="shared" si="1"/>
        <v>27000</v>
      </c>
      <c r="E22" s="25"/>
      <c r="F22" s="477"/>
      <c r="G22" s="297"/>
      <c r="H22" s="400">
        <f t="shared" si="2"/>
        <v>0</v>
      </c>
      <c r="I22" s="35"/>
      <c r="J22" s="41"/>
      <c r="K22" s="29"/>
      <c r="L22" s="1"/>
      <c r="M22" s="1"/>
      <c r="N22" s="1"/>
      <c r="O22" s="1"/>
      <c r="P22" s="55">
        <v>43848</v>
      </c>
      <c r="Q22" s="35"/>
      <c r="R22" s="138"/>
      <c r="S22" s="139"/>
      <c r="T22" s="138"/>
      <c r="U22" s="190">
        <v>22000</v>
      </c>
      <c r="V22" s="138"/>
      <c r="W22" s="139">
        <v>5000</v>
      </c>
      <c r="X22" s="138"/>
      <c r="Y22" s="375"/>
      <c r="Z22" s="153"/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176">
        <f t="shared" si="3"/>
        <v>27000</v>
      </c>
    </row>
    <row r="23" spans="1:50">
      <c r="A23" s="21">
        <f t="shared" si="0"/>
        <v>44001</v>
      </c>
      <c r="B23" s="23">
        <v>134000</v>
      </c>
      <c r="C23" s="23"/>
      <c r="D23" s="24">
        <f t="shared" si="1"/>
        <v>134000</v>
      </c>
      <c r="E23" s="25">
        <f>4752+4896+15210+2580</f>
        <v>27438</v>
      </c>
      <c r="F23" s="477"/>
      <c r="G23" s="115"/>
      <c r="H23" s="400">
        <f t="shared" si="2"/>
        <v>27438</v>
      </c>
      <c r="I23" s="35"/>
      <c r="J23" s="41"/>
      <c r="K23" s="29"/>
      <c r="L23" s="1"/>
      <c r="M23" s="1"/>
      <c r="N23" s="1"/>
      <c r="O23" s="1"/>
      <c r="P23" s="55">
        <v>43849</v>
      </c>
      <c r="Q23" s="35"/>
      <c r="R23" s="138"/>
      <c r="S23" s="139"/>
      <c r="T23" s="138"/>
      <c r="U23" s="190">
        <v>26000</v>
      </c>
      <c r="V23" s="138"/>
      <c r="W23" s="139">
        <v>53000</v>
      </c>
      <c r="X23" s="138"/>
      <c r="Y23" s="138">
        <v>9000</v>
      </c>
      <c r="Z23" s="139"/>
      <c r="AA23" s="138"/>
      <c r="AB23" s="139">
        <v>14000</v>
      </c>
      <c r="AC23" s="138"/>
      <c r="AD23" s="151"/>
      <c r="AE23" s="138"/>
      <c r="AF23" s="149">
        <v>2000</v>
      </c>
      <c r="AG23" s="138"/>
      <c r="AH23" s="149"/>
      <c r="AI23" s="138"/>
      <c r="AJ23" s="149"/>
      <c r="AK23" s="138"/>
      <c r="AL23" s="149"/>
      <c r="AM23" s="138"/>
      <c r="AN23" s="138">
        <v>30000</v>
      </c>
      <c r="AO23" s="138"/>
      <c r="AP23" s="138"/>
      <c r="AQ23" s="160"/>
      <c r="AR23" s="158"/>
      <c r="AS23" s="158"/>
      <c r="AT23" s="158"/>
      <c r="AU23" s="158"/>
      <c r="AV23" s="145"/>
      <c r="AW23" s="138"/>
      <c r="AX23" s="176">
        <f t="shared" si="3"/>
        <v>134000</v>
      </c>
    </row>
    <row r="24" spans="1:50">
      <c r="A24" s="21">
        <f t="shared" si="0"/>
        <v>44002</v>
      </c>
      <c r="B24" s="23">
        <v>152000</v>
      </c>
      <c r="C24" s="23">
        <v>18000</v>
      </c>
      <c r="D24" s="24">
        <f t="shared" si="1"/>
        <v>170000</v>
      </c>
      <c r="E24" s="25"/>
      <c r="F24" s="477">
        <v>2544</v>
      </c>
      <c r="G24" s="115"/>
      <c r="H24" s="400">
        <f t="shared" si="2"/>
        <v>2544</v>
      </c>
      <c r="I24" s="35"/>
      <c r="J24" s="41"/>
      <c r="K24" s="29"/>
      <c r="L24" s="1"/>
      <c r="M24" s="53" t="s">
        <v>34</v>
      </c>
      <c r="N24" s="38">
        <f>D37</f>
        <v>2960000</v>
      </c>
      <c r="O24" s="1"/>
      <c r="P24" s="55">
        <v>43850</v>
      </c>
      <c r="Q24" s="35"/>
      <c r="R24" s="138"/>
      <c r="S24" s="139"/>
      <c r="T24" s="138"/>
      <c r="U24" s="190">
        <v>45000</v>
      </c>
      <c r="V24" s="138"/>
      <c r="W24" s="139">
        <v>45000</v>
      </c>
      <c r="X24" s="138"/>
      <c r="Y24" s="138"/>
      <c r="Z24" s="139"/>
      <c r="AA24" s="138"/>
      <c r="AB24" s="139">
        <v>80000</v>
      </c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176">
        <f t="shared" si="3"/>
        <v>170000</v>
      </c>
    </row>
    <row r="25" spans="1:50">
      <c r="A25" s="21">
        <f t="shared" si="0"/>
        <v>44003</v>
      </c>
      <c r="B25" s="23">
        <v>76000</v>
      </c>
      <c r="C25" s="23"/>
      <c r="D25" s="24">
        <f t="shared" si="1"/>
        <v>76000</v>
      </c>
      <c r="E25" s="25">
        <f>5200+4720+12268+9076+14332</f>
        <v>45596</v>
      </c>
      <c r="F25" s="26">
        <v>5643</v>
      </c>
      <c r="G25" s="27">
        <v>1887</v>
      </c>
      <c r="H25" s="216">
        <f t="shared" si="2"/>
        <v>53126</v>
      </c>
      <c r="I25" s="35"/>
      <c r="J25" s="41"/>
      <c r="K25" s="29"/>
      <c r="L25" s="1"/>
      <c r="M25" s="53" t="s">
        <v>35</v>
      </c>
      <c r="N25" s="38">
        <f>H37</f>
        <v>373950</v>
      </c>
      <c r="O25" s="1"/>
      <c r="P25" s="55">
        <v>43851</v>
      </c>
      <c r="Q25" s="35"/>
      <c r="R25" s="138"/>
      <c r="S25" s="139"/>
      <c r="T25" s="138"/>
      <c r="U25" s="190">
        <v>47000</v>
      </c>
      <c r="V25" s="138">
        <v>25000</v>
      </c>
      <c r="W25" s="139">
        <v>3000</v>
      </c>
      <c r="X25" s="138"/>
      <c r="Y25" s="138"/>
      <c r="Z25" s="139">
        <v>1000</v>
      </c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176">
        <f t="shared" si="3"/>
        <v>76000</v>
      </c>
    </row>
    <row r="26" spans="1:50">
      <c r="A26" s="21">
        <f t="shared" si="0"/>
        <v>44004</v>
      </c>
      <c r="B26" s="23"/>
      <c r="C26" s="23"/>
      <c r="D26" s="24">
        <f t="shared" si="1"/>
        <v>0</v>
      </c>
      <c r="E26" s="25"/>
      <c r="F26" s="26"/>
      <c r="G26" s="27"/>
      <c r="H26" s="216">
        <f t="shared" si="2"/>
        <v>0</v>
      </c>
      <c r="I26" s="35"/>
      <c r="J26" s="41"/>
      <c r="K26" s="29"/>
      <c r="L26" s="1"/>
      <c r="M26" s="53" t="s">
        <v>36</v>
      </c>
      <c r="N26" s="38">
        <f>N20</f>
        <v>0</v>
      </c>
      <c r="O26" s="1"/>
      <c r="P26" s="55">
        <v>43852</v>
      </c>
      <c r="Q26" s="35"/>
      <c r="R26" s="138"/>
      <c r="S26" s="139"/>
      <c r="T26" s="138"/>
      <c r="U26" s="190"/>
      <c r="V26" s="138"/>
      <c r="W26" s="139"/>
      <c r="X26" s="138"/>
      <c r="Y26" s="138"/>
      <c r="Z26" s="139"/>
      <c r="AA26" s="138"/>
      <c r="AB26" s="139"/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176">
        <f t="shared" si="3"/>
        <v>0</v>
      </c>
    </row>
    <row r="27" spans="1:50">
      <c r="A27" s="21">
        <f t="shared" si="0"/>
        <v>44005</v>
      </c>
      <c r="B27" s="23">
        <v>47000</v>
      </c>
      <c r="C27" s="23"/>
      <c r="D27" s="24">
        <f t="shared" si="1"/>
        <v>47000</v>
      </c>
      <c r="E27" s="25">
        <v>4302</v>
      </c>
      <c r="F27" s="26"/>
      <c r="G27" s="27"/>
      <c r="H27" s="216">
        <f t="shared" si="2"/>
        <v>4302</v>
      </c>
      <c r="I27" s="35"/>
      <c r="J27" s="41"/>
      <c r="K27" s="29"/>
      <c r="L27" s="1"/>
      <c r="M27" s="60" t="s">
        <v>37</v>
      </c>
      <c r="N27" s="61">
        <f>IFERROR(N24-N25-N26, "")</f>
        <v>2586050</v>
      </c>
      <c r="O27" s="1"/>
      <c r="P27" s="55">
        <v>43853</v>
      </c>
      <c r="Q27" s="35"/>
      <c r="R27" s="138"/>
      <c r="S27" s="139"/>
      <c r="T27" s="138"/>
      <c r="U27" s="190">
        <v>6000</v>
      </c>
      <c r="V27" s="138"/>
      <c r="W27" s="139">
        <v>5000</v>
      </c>
      <c r="X27" s="138"/>
      <c r="Y27" s="138">
        <v>24000</v>
      </c>
      <c r="Z27" s="139"/>
      <c r="AA27" s="138"/>
      <c r="AB27" s="139">
        <v>12000</v>
      </c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176">
        <f t="shared" si="3"/>
        <v>47000</v>
      </c>
    </row>
    <row r="28" spans="1:50">
      <c r="A28" s="21">
        <f t="shared" si="0"/>
        <v>44006</v>
      </c>
      <c r="B28" s="23">
        <v>70000</v>
      </c>
      <c r="C28" s="23"/>
      <c r="D28" s="24">
        <f t="shared" si="1"/>
        <v>70000</v>
      </c>
      <c r="E28" s="25"/>
      <c r="F28" s="26"/>
      <c r="G28" s="27"/>
      <c r="H28" s="216">
        <f t="shared" si="2"/>
        <v>0</v>
      </c>
      <c r="I28" s="35"/>
      <c r="J28" s="41"/>
      <c r="K28" s="29"/>
      <c r="L28" s="1"/>
      <c r="M28" s="1"/>
      <c r="N28" s="1"/>
      <c r="O28" s="1"/>
      <c r="P28" s="55">
        <v>43854</v>
      </c>
      <c r="Q28" s="35"/>
      <c r="R28" s="138"/>
      <c r="S28" s="139"/>
      <c r="T28" s="138"/>
      <c r="U28" s="190">
        <v>46000</v>
      </c>
      <c r="V28" s="138"/>
      <c r="W28" s="139"/>
      <c r="X28" s="138"/>
      <c r="Y28" s="138">
        <v>9000</v>
      </c>
      <c r="Z28" s="139"/>
      <c r="AA28" s="138"/>
      <c r="AB28" s="139"/>
      <c r="AC28" s="138"/>
      <c r="AD28" s="151">
        <v>15000</v>
      </c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176">
        <f t="shared" si="3"/>
        <v>70000</v>
      </c>
    </row>
    <row r="29" spans="1:50">
      <c r="A29" s="21">
        <f t="shared" si="0"/>
        <v>44007</v>
      </c>
      <c r="B29" s="23">
        <v>127000</v>
      </c>
      <c r="C29" s="23">
        <v>31000</v>
      </c>
      <c r="D29" s="24">
        <f t="shared" si="1"/>
        <v>158000</v>
      </c>
      <c r="E29" s="25">
        <v>10202</v>
      </c>
      <c r="F29" s="26"/>
      <c r="G29" s="27">
        <v>654</v>
      </c>
      <c r="H29" s="216">
        <f t="shared" si="2"/>
        <v>10856</v>
      </c>
      <c r="I29" s="35"/>
      <c r="J29" s="41"/>
      <c r="K29" s="29"/>
      <c r="L29" s="1"/>
      <c r="M29" s="1"/>
      <c r="N29" s="1"/>
      <c r="O29" s="1"/>
      <c r="P29" s="55">
        <v>43855</v>
      </c>
      <c r="Q29" s="35"/>
      <c r="R29" s="138"/>
      <c r="S29" s="139">
        <v>4000</v>
      </c>
      <c r="T29" s="138"/>
      <c r="U29" s="190">
        <v>65000</v>
      </c>
      <c r="V29" s="138"/>
      <c r="W29" s="139">
        <v>28000</v>
      </c>
      <c r="X29" s="138"/>
      <c r="Y29" s="138"/>
      <c r="Z29" s="139">
        <v>6000</v>
      </c>
      <c r="AA29" s="138"/>
      <c r="AB29" s="139">
        <v>55000</v>
      </c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176">
        <f t="shared" si="3"/>
        <v>158000</v>
      </c>
    </row>
    <row r="30" spans="1:50">
      <c r="A30" s="21">
        <f t="shared" si="0"/>
        <v>44008</v>
      </c>
      <c r="B30" s="23">
        <v>197000</v>
      </c>
      <c r="C30" s="23">
        <v>8000</v>
      </c>
      <c r="D30" s="24">
        <f t="shared" si="1"/>
        <v>205000</v>
      </c>
      <c r="E30" s="25">
        <f>4180+8214</f>
        <v>12394</v>
      </c>
      <c r="F30" s="26"/>
      <c r="G30" s="27">
        <v>552</v>
      </c>
      <c r="H30" s="216">
        <f t="shared" si="2"/>
        <v>12946</v>
      </c>
      <c r="I30" s="35"/>
      <c r="J30" s="41"/>
      <c r="K30" s="29"/>
      <c r="L30" s="1"/>
      <c r="M30" s="1"/>
      <c r="N30" s="1"/>
      <c r="O30" s="1"/>
      <c r="P30" s="55">
        <v>43856</v>
      </c>
      <c r="Q30" s="35"/>
      <c r="R30" s="138"/>
      <c r="S30" s="139"/>
      <c r="T30" s="138"/>
      <c r="U30" s="190">
        <v>142000</v>
      </c>
      <c r="V30" s="138"/>
      <c r="W30" s="139">
        <v>8000</v>
      </c>
      <c r="X30" s="138"/>
      <c r="Y30" s="138"/>
      <c r="Z30" s="139"/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>
        <v>12000</v>
      </c>
      <c r="AQ30" s="138"/>
      <c r="AR30" s="138">
        <v>43000</v>
      </c>
      <c r="AS30" s="138"/>
      <c r="AT30" s="138"/>
      <c r="AU30" s="138"/>
      <c r="AV30" s="149"/>
      <c r="AW30" s="138"/>
      <c r="AX30" s="176">
        <f t="shared" si="3"/>
        <v>205000</v>
      </c>
    </row>
    <row r="31" spans="1:50">
      <c r="A31" s="21">
        <f t="shared" si="0"/>
        <v>44009</v>
      </c>
      <c r="B31" s="476">
        <v>168000</v>
      </c>
      <c r="C31" s="23">
        <v>13000</v>
      </c>
      <c r="D31" s="24">
        <f t="shared" si="1"/>
        <v>181000</v>
      </c>
      <c r="E31" s="25">
        <f>4180+1100+3204</f>
        <v>8484</v>
      </c>
      <c r="F31" s="26"/>
      <c r="G31" s="27">
        <f>2913+997</f>
        <v>3910</v>
      </c>
      <c r="H31" s="216">
        <f t="shared" si="2"/>
        <v>12394</v>
      </c>
      <c r="I31" s="35"/>
      <c r="J31" s="41"/>
      <c r="K31" s="29"/>
      <c r="L31" s="1"/>
      <c r="M31" s="1"/>
      <c r="N31" s="1"/>
      <c r="O31" s="1"/>
      <c r="P31" s="55">
        <v>43857</v>
      </c>
      <c r="Q31" s="35"/>
      <c r="R31" s="138"/>
      <c r="S31" s="139"/>
      <c r="T31" s="138"/>
      <c r="U31" s="190">
        <v>25000</v>
      </c>
      <c r="V31" s="138"/>
      <c r="W31" s="139">
        <v>35000</v>
      </c>
      <c r="X31" s="138"/>
      <c r="Y31" s="138"/>
      <c r="Z31" s="139"/>
      <c r="AA31" s="138"/>
      <c r="AB31" s="139">
        <v>100000</v>
      </c>
      <c r="AC31" s="138"/>
      <c r="AD31" s="151"/>
      <c r="AE31" s="138"/>
      <c r="AF31" s="149">
        <v>7000</v>
      </c>
      <c r="AG31" s="138"/>
      <c r="AH31" s="149"/>
      <c r="AI31" s="138"/>
      <c r="AJ31" s="149"/>
      <c r="AK31" s="138"/>
      <c r="AL31" s="149"/>
      <c r="AM31" s="138"/>
      <c r="AN31" s="138"/>
      <c r="AO31" s="138"/>
      <c r="AP31" s="138">
        <v>14000</v>
      </c>
      <c r="AQ31" s="138"/>
      <c r="AR31" s="138"/>
      <c r="AS31" s="138"/>
      <c r="AT31" s="138"/>
      <c r="AU31" s="138"/>
      <c r="AV31" s="149"/>
      <c r="AW31" s="138"/>
      <c r="AX31" s="176">
        <f t="shared" si="3"/>
        <v>181000</v>
      </c>
    </row>
    <row r="32" spans="1:50" ht="19" customHeight="1">
      <c r="A32" s="21">
        <f t="shared" si="0"/>
        <v>44010</v>
      </c>
      <c r="B32" s="23">
        <v>73000</v>
      </c>
      <c r="C32" s="23">
        <v>100000</v>
      </c>
      <c r="D32" s="24">
        <f t="shared" si="1"/>
        <v>173000</v>
      </c>
      <c r="E32" s="25">
        <f>4896+7878</f>
        <v>12774</v>
      </c>
      <c r="F32" s="26">
        <v>7007</v>
      </c>
      <c r="G32" s="27">
        <v>2496</v>
      </c>
      <c r="H32" s="216">
        <f t="shared" si="2"/>
        <v>22277</v>
      </c>
      <c r="I32" s="35"/>
      <c r="J32" s="41"/>
      <c r="K32" s="29"/>
      <c r="L32" s="1"/>
      <c r="M32" s="1"/>
      <c r="N32" s="1"/>
      <c r="O32" s="1"/>
      <c r="P32" s="55">
        <v>43858</v>
      </c>
      <c r="Q32" s="35"/>
      <c r="R32" s="138"/>
      <c r="S32" s="139">
        <v>7000</v>
      </c>
      <c r="T32" s="138"/>
      <c r="U32" s="190">
        <v>54000</v>
      </c>
      <c r="V32" s="138"/>
      <c r="W32" s="139">
        <v>39000</v>
      </c>
      <c r="X32" s="138"/>
      <c r="Y32" s="138">
        <v>5000</v>
      </c>
      <c r="Z32" s="139"/>
      <c r="AA32" s="138"/>
      <c r="AB32" s="139">
        <v>61000</v>
      </c>
      <c r="AC32" s="138"/>
      <c r="AD32" s="151">
        <v>3000</v>
      </c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>
        <v>4000</v>
      </c>
      <c r="AQ32" s="138"/>
      <c r="AR32" s="138"/>
      <c r="AS32" s="138"/>
      <c r="AT32" s="138"/>
      <c r="AU32" s="138"/>
      <c r="AV32" s="149"/>
      <c r="AW32" s="138"/>
      <c r="AX32" s="176">
        <f t="shared" si="3"/>
        <v>173000</v>
      </c>
    </row>
    <row r="33" spans="1:50">
      <c r="A33" s="21">
        <f t="shared" si="0"/>
        <v>44011</v>
      </c>
      <c r="B33" s="23">
        <v>0</v>
      </c>
      <c r="C33" s="23"/>
      <c r="D33" s="24">
        <f t="shared" si="1"/>
        <v>0</v>
      </c>
      <c r="E33" s="40"/>
      <c r="F33" s="26"/>
      <c r="G33" s="27">
        <v>1998</v>
      </c>
      <c r="H33" s="216">
        <f t="shared" si="2"/>
        <v>1998</v>
      </c>
      <c r="I33" s="35"/>
      <c r="J33" s="41"/>
      <c r="K33" s="29"/>
      <c r="L33" s="1"/>
      <c r="M33" s="1"/>
      <c r="N33" s="1"/>
      <c r="O33" s="1"/>
      <c r="P33" s="55">
        <v>43859</v>
      </c>
      <c r="Q33" s="56"/>
      <c r="R33" s="138"/>
      <c r="S33" s="139"/>
      <c r="T33" s="138"/>
      <c r="U33" s="190"/>
      <c r="V33" s="138"/>
      <c r="W33" s="139"/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176">
        <f t="shared" si="3"/>
        <v>0</v>
      </c>
    </row>
    <row r="34" spans="1:50">
      <c r="A34" s="21">
        <f t="shared" si="0"/>
        <v>44012</v>
      </c>
      <c r="B34" s="23">
        <v>104000</v>
      </c>
      <c r="C34" s="23">
        <v>13000</v>
      </c>
      <c r="D34" s="24">
        <f t="shared" si="1"/>
        <v>117000</v>
      </c>
      <c r="E34" s="40"/>
      <c r="F34" s="26"/>
      <c r="G34" s="27"/>
      <c r="H34" s="216">
        <f t="shared" si="2"/>
        <v>0</v>
      </c>
      <c r="I34" s="35"/>
      <c r="J34" s="41"/>
      <c r="K34" s="29"/>
      <c r="L34" s="1"/>
      <c r="M34" s="1"/>
      <c r="N34" s="1"/>
      <c r="O34" s="1"/>
      <c r="P34" s="55">
        <v>43860</v>
      </c>
      <c r="Q34" s="137"/>
      <c r="R34" s="154"/>
      <c r="S34" s="139"/>
      <c r="T34" s="154"/>
      <c r="U34" s="190">
        <v>25000</v>
      </c>
      <c r="V34" s="154"/>
      <c r="W34" s="139">
        <v>30000</v>
      </c>
      <c r="X34" s="154">
        <v>45000</v>
      </c>
      <c r="Y34" s="154">
        <v>2000</v>
      </c>
      <c r="Z34" s="155">
        <v>2000</v>
      </c>
      <c r="AA34" s="154"/>
      <c r="AB34" s="155">
        <v>13000</v>
      </c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176">
        <f t="shared" si="3"/>
        <v>117000</v>
      </c>
    </row>
    <row r="35" spans="1:50" ht="21" thickBot="1">
      <c r="A35" s="21" t="str">
        <f t="shared" si="0"/>
        <v/>
      </c>
      <c r="B35" s="23"/>
      <c r="C35" s="23"/>
      <c r="D35" s="24">
        <f t="shared" si="1"/>
        <v>0</v>
      </c>
      <c r="E35" s="40"/>
      <c r="F35" s="26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>
        <v>43861</v>
      </c>
      <c r="Q35" s="115"/>
      <c r="R35" s="158"/>
      <c r="S35" s="139"/>
      <c r="T35" s="158"/>
      <c r="U35" s="190"/>
      <c r="V35" s="158"/>
      <c r="W35" s="139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176">
        <f t="shared" si="3"/>
        <v>0</v>
      </c>
    </row>
    <row r="36" spans="1:50" ht="21" thickBot="1">
      <c r="A36" s="65"/>
      <c r="B36" s="23"/>
      <c r="C36" s="66"/>
      <c r="D36" s="67"/>
      <c r="E36" s="68"/>
      <c r="F36" s="69"/>
      <c r="G36" s="70"/>
      <c r="H36" s="71"/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39">
        <v>84000</v>
      </c>
      <c r="T36" s="115">
        <f t="shared" si="4"/>
        <v>0</v>
      </c>
      <c r="U36" s="115">
        <f t="shared" si="4"/>
        <v>949000</v>
      </c>
      <c r="V36" s="115">
        <f t="shared" si="4"/>
        <v>25000</v>
      </c>
      <c r="W36" s="115">
        <f t="shared" si="4"/>
        <v>588000</v>
      </c>
      <c r="X36" s="115">
        <f t="shared" si="4"/>
        <v>95000</v>
      </c>
      <c r="Y36" s="115">
        <f t="shared" si="4"/>
        <v>156000</v>
      </c>
      <c r="Z36" s="115">
        <f t="shared" si="4"/>
        <v>13000</v>
      </c>
      <c r="AA36" s="115">
        <f t="shared" si="4"/>
        <v>0</v>
      </c>
      <c r="AB36" s="115">
        <f t="shared" si="4"/>
        <v>818000</v>
      </c>
      <c r="AC36" s="115">
        <f t="shared" si="4"/>
        <v>0</v>
      </c>
      <c r="AD36" s="115">
        <f t="shared" si="4"/>
        <v>54000</v>
      </c>
      <c r="AE36" s="115">
        <f t="shared" si="4"/>
        <v>0</v>
      </c>
      <c r="AF36" s="115">
        <f t="shared" si="4"/>
        <v>9000</v>
      </c>
      <c r="AG36" s="115">
        <f t="shared" si="4"/>
        <v>0</v>
      </c>
      <c r="AH36" s="115">
        <f t="shared" si="4"/>
        <v>0</v>
      </c>
      <c r="AI36" s="115">
        <f t="shared" si="4"/>
        <v>0</v>
      </c>
      <c r="AJ36" s="115">
        <f t="shared" si="4"/>
        <v>23000</v>
      </c>
      <c r="AK36" s="115">
        <f t="shared" si="4"/>
        <v>0</v>
      </c>
      <c r="AL36" s="115">
        <f t="shared" si="4"/>
        <v>5000</v>
      </c>
      <c r="AM36" s="115">
        <f t="shared" si="4"/>
        <v>0</v>
      </c>
      <c r="AN36" s="115">
        <f t="shared" si="4"/>
        <v>44000</v>
      </c>
      <c r="AO36" s="115">
        <f t="shared" si="4"/>
        <v>14000</v>
      </c>
      <c r="AP36" s="115">
        <f t="shared" si="4"/>
        <v>40000</v>
      </c>
      <c r="AQ36" s="115">
        <f t="shared" si="4"/>
        <v>0</v>
      </c>
      <c r="AR36" s="115">
        <f t="shared" si="4"/>
        <v>43000</v>
      </c>
      <c r="AS36" s="115">
        <f t="shared" si="4"/>
        <v>0</v>
      </c>
      <c r="AT36" s="115">
        <f t="shared" si="4"/>
        <v>0</v>
      </c>
      <c r="AU36" s="115">
        <v>13000</v>
      </c>
      <c r="AV36" s="115">
        <f t="shared" si="4"/>
        <v>0</v>
      </c>
      <c r="AW36" s="115">
        <f t="shared" si="4"/>
        <v>0</v>
      </c>
      <c r="AX36" s="2">
        <f>SUM(Q36:AW36)</f>
        <v>2973000</v>
      </c>
    </row>
    <row r="37" spans="1:50" ht="22" thickTop="1" thickBot="1">
      <c r="A37" s="81" t="s">
        <v>33</v>
      </c>
      <c r="B37" s="23">
        <f>SUM(B5:B35)</f>
        <v>2663000</v>
      </c>
      <c r="C37" s="23">
        <f t="shared" ref="C37:J37" si="5">SUM(C5:C35)</f>
        <v>297000</v>
      </c>
      <c r="D37" s="23">
        <f t="shared" si="5"/>
        <v>2960000</v>
      </c>
      <c r="E37" s="23">
        <f t="shared" si="5"/>
        <v>324638</v>
      </c>
      <c r="F37" s="23">
        <f t="shared" si="5"/>
        <v>22201</v>
      </c>
      <c r="G37" s="23">
        <f t="shared" si="5"/>
        <v>27111</v>
      </c>
      <c r="H37" s="23">
        <f t="shared" si="5"/>
        <v>373950</v>
      </c>
      <c r="I37" s="23">
        <f t="shared" si="5"/>
        <v>0</v>
      </c>
      <c r="J37" s="23">
        <f t="shared" si="5"/>
        <v>0</v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90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34">
        <f t="shared" ref="Q38:V38" si="6">Q36*0.35</f>
        <v>0</v>
      </c>
      <c r="R38" s="534">
        <f t="shared" si="6"/>
        <v>0</v>
      </c>
      <c r="S38" s="534">
        <f t="shared" si="6"/>
        <v>29399.999999999996</v>
      </c>
      <c r="T38" s="534">
        <f t="shared" si="6"/>
        <v>0</v>
      </c>
      <c r="U38" s="534">
        <f>U36*0.4</f>
        <v>379600</v>
      </c>
      <c r="V38" s="534">
        <f t="shared" si="6"/>
        <v>8750</v>
      </c>
      <c r="W38" s="534">
        <f>W36*0.35</f>
        <v>205800</v>
      </c>
      <c r="X38" s="534">
        <f>X36*0.3</f>
        <v>28500</v>
      </c>
      <c r="Y38" s="538">
        <f>Y36</f>
        <v>156000</v>
      </c>
      <c r="Z38" s="536">
        <f>Z36*0.35</f>
        <v>4550</v>
      </c>
      <c r="AA38" s="530">
        <f>AA36*0.3</f>
        <v>0</v>
      </c>
      <c r="AB38" s="530">
        <f>AB36*0.4</f>
        <v>327200</v>
      </c>
      <c r="AC38" s="530">
        <f>AC36*0.3</f>
        <v>0</v>
      </c>
      <c r="AD38" s="530">
        <f>AD36*0.35</f>
        <v>18900</v>
      </c>
      <c r="AE38" s="530">
        <f>AE36*0.3</f>
        <v>0</v>
      </c>
      <c r="AF38" s="530">
        <f>AF36*0.35</f>
        <v>3150</v>
      </c>
      <c r="AG38" s="530">
        <f>AG36*0.3</f>
        <v>0</v>
      </c>
      <c r="AH38" s="530">
        <f>AH36*0.35</f>
        <v>0</v>
      </c>
      <c r="AI38" s="530">
        <f>AI36*0.3</f>
        <v>0</v>
      </c>
      <c r="AJ38" s="530">
        <f>AJ36*0.35</f>
        <v>8049.9999999999991</v>
      </c>
      <c r="AK38" s="530">
        <f>AK36*0.3</f>
        <v>0</v>
      </c>
      <c r="AL38" s="530">
        <f>AL36*0.35</f>
        <v>1750</v>
      </c>
      <c r="AM38" s="530">
        <f>AM36*0.3</f>
        <v>0</v>
      </c>
      <c r="AN38" s="536">
        <f t="shared" ref="AN38:AV38" si="7">AN36*0.35</f>
        <v>15399.999999999998</v>
      </c>
      <c r="AO38" s="530">
        <f t="shared" si="7"/>
        <v>4900</v>
      </c>
      <c r="AP38" s="530">
        <f t="shared" si="7"/>
        <v>14000</v>
      </c>
      <c r="AQ38" s="530">
        <f t="shared" si="7"/>
        <v>0</v>
      </c>
      <c r="AR38" s="530">
        <f t="shared" si="7"/>
        <v>15049.999999999998</v>
      </c>
      <c r="AS38" s="530">
        <f t="shared" si="7"/>
        <v>0</v>
      </c>
      <c r="AT38" s="530">
        <f t="shared" si="7"/>
        <v>0</v>
      </c>
      <c r="AU38" s="530">
        <f t="shared" si="7"/>
        <v>4550</v>
      </c>
      <c r="AV38" s="530">
        <f t="shared" si="7"/>
        <v>0</v>
      </c>
      <c r="AW38" s="530">
        <f>AW36*0.3</f>
        <v>0</v>
      </c>
      <c r="AX38" s="182"/>
    </row>
    <row r="39" spans="1:50">
      <c r="A39" s="472" t="s">
        <v>244</v>
      </c>
      <c r="B39" s="472"/>
      <c r="C39" s="91">
        <f>B37-B46</f>
        <v>2613000</v>
      </c>
      <c r="D39" s="1"/>
      <c r="E39" s="2"/>
      <c r="F39" s="2"/>
      <c r="G39" s="378" t="s">
        <v>249</v>
      </c>
      <c r="H39" s="135">
        <f>B46-G37</f>
        <v>22889</v>
      </c>
      <c r="I39" s="2"/>
      <c r="J39" s="2"/>
      <c r="K39" s="1"/>
      <c r="L39" s="1"/>
      <c r="M39" s="1"/>
      <c r="N39" s="1"/>
      <c r="O39" s="182"/>
      <c r="P39" s="541"/>
      <c r="Q39" s="535"/>
      <c r="R39" s="535"/>
      <c r="S39" s="535"/>
      <c r="T39" s="535"/>
      <c r="U39" s="535"/>
      <c r="V39" s="535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297"/>
      <c r="B40" s="135">
        <v>10000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297"/>
      <c r="B41" s="135">
        <v>10000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297"/>
      <c r="B42" s="135">
        <v>10000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297"/>
      <c r="B43" s="135">
        <v>10000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297"/>
      <c r="B44" s="135">
        <v>10000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296" t="s">
        <v>246</v>
      </c>
      <c r="B46" s="135">
        <f>SUM(B40:B45)</f>
        <v>50000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</sheetData>
  <mergeCells count="77">
    <mergeCell ref="AS38:AS39"/>
    <mergeCell ref="AT38:AT39"/>
    <mergeCell ref="AU38:AU39"/>
    <mergeCell ref="AV38:AV39"/>
    <mergeCell ref="AW38:AW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N11:N12"/>
    <mergeCell ref="P38:P39"/>
    <mergeCell ref="Q38:Q39"/>
    <mergeCell ref="R38:R39"/>
    <mergeCell ref="S38:S39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J3:J4"/>
    <mergeCell ref="P3:P4"/>
    <mergeCell ref="Q3:Q4"/>
    <mergeCell ref="R3:R4"/>
    <mergeCell ref="S3:S4"/>
    <mergeCell ref="I3:I4"/>
    <mergeCell ref="A1:A2"/>
    <mergeCell ref="B1:B2"/>
    <mergeCell ref="A3:A4"/>
    <mergeCell ref="B3:D3"/>
    <mergeCell ref="E3:H3"/>
  </mergeCells>
  <phoneticPr fontId="7"/>
  <dataValidations count="2">
    <dataValidation type="list" allowBlank="1" showErrorMessage="1" sqref="Q3:Q4 AD3:AD4 S3:S4 U3:U4 AL3:AL4 AH3:AH4 Z3:Z4 AF3:AF4 AJ3:AJ4 W3:W4 AB3:AB4 AV3:AV4 AN3:AN4 AO3:AU3" xr:uid="{1F52CE62-0BB0-164A-B9D7-AD0E34C6C7A8}">
      <formula1>名前</formula1>
    </dataValidation>
    <dataValidation allowBlank="1" showErrorMessage="1" sqref="R3:R4 AI3:AI4 T3:T4 AC3:AC4 AA3:AA4 AE3:AE4 AG3:AG4 AK3:AK4 AW3:AW4 V3:V4 AM3:AM4 X3:X4 Y3" xr:uid="{4F3C8E1E-BFEC-BA4A-A462-0658372FA6A8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9E65-59CE-9D4B-A577-46E3682827B3}">
  <dimension ref="A1"/>
  <sheetViews>
    <sheetView workbookViewId="0"/>
  </sheetViews>
  <sheetFormatPr baseColWidth="10" defaultColWidth="11.140625" defaultRowHeight="20"/>
  <sheetData/>
  <phoneticPr fontId="7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BD47-AC41-DA4C-995F-163C0B63AA1F}">
  <dimension ref="A1:AX51"/>
  <sheetViews>
    <sheetView topLeftCell="A4" zoomScale="84" workbookViewId="0">
      <selection activeCell="T13" sqref="T13"/>
    </sheetView>
  </sheetViews>
  <sheetFormatPr baseColWidth="10" defaultRowHeight="20"/>
  <cols>
    <col min="1" max="1" width="13.7109375" bestFit="1" customWidth="1"/>
    <col min="38" max="38" width="13.28515625" bestFit="1" customWidth="1"/>
    <col min="43" max="43" width="15.7109375" bestFit="1" customWidth="1"/>
  </cols>
  <sheetData>
    <row r="1" spans="1:50">
      <c r="A1" s="498">
        <v>2020</v>
      </c>
      <c r="B1" s="500">
        <v>7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293</v>
      </c>
      <c r="AC3" s="494">
        <v>0.3</v>
      </c>
      <c r="AD3" s="496" t="s">
        <v>296</v>
      </c>
      <c r="AE3" s="494">
        <v>0.3</v>
      </c>
      <c r="AF3" s="527" t="s">
        <v>297</v>
      </c>
      <c r="AG3" s="494">
        <v>0.3</v>
      </c>
      <c r="AH3" s="492" t="s">
        <v>262</v>
      </c>
      <c r="AI3" s="494">
        <v>0.3</v>
      </c>
      <c r="AJ3" s="496" t="s">
        <v>120</v>
      </c>
      <c r="AK3" s="494">
        <v>0.3</v>
      </c>
      <c r="AL3" s="496" t="s">
        <v>240</v>
      </c>
      <c r="AM3" s="523">
        <v>0.3</v>
      </c>
      <c r="AN3" s="496" t="s">
        <v>273</v>
      </c>
      <c r="AO3" s="520" t="s">
        <v>301</v>
      </c>
      <c r="AP3" s="520" t="s">
        <v>300</v>
      </c>
      <c r="AQ3" s="520" t="s">
        <v>225</v>
      </c>
      <c r="AR3" s="525" t="s">
        <v>280</v>
      </c>
      <c r="AS3" s="520" t="s">
        <v>188</v>
      </c>
      <c r="AT3" s="522" t="s">
        <v>139</v>
      </c>
      <c r="AU3" s="520" t="s">
        <v>248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269</v>
      </c>
      <c r="F4" s="12" t="s">
        <v>299</v>
      </c>
      <c r="G4" s="13" t="s">
        <v>264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44013</v>
      </c>
      <c r="B5" s="23">
        <v>53000</v>
      </c>
      <c r="C5" s="23">
        <v>63000</v>
      </c>
      <c r="D5" s="24">
        <f t="shared" ref="D5:D35" si="1">SUM(B5:C5)</f>
        <v>116000</v>
      </c>
      <c r="E5" s="25">
        <f>5200+31640+25853</f>
        <v>62693</v>
      </c>
      <c r="F5" s="26"/>
      <c r="G5" s="27"/>
      <c r="H5" s="216">
        <f t="shared" ref="H5:H35" si="2">SUM(E5:G5)</f>
        <v>62693</v>
      </c>
      <c r="I5" s="27"/>
      <c r="J5" s="28"/>
      <c r="K5" s="29"/>
      <c r="L5" s="1"/>
      <c r="M5" s="1"/>
      <c r="N5" s="1"/>
      <c r="O5" s="1"/>
      <c r="P5" s="55">
        <v>44013</v>
      </c>
      <c r="Q5" s="35"/>
      <c r="R5" s="138"/>
      <c r="S5" s="139"/>
      <c r="T5" s="138"/>
      <c r="U5" s="190">
        <v>29000</v>
      </c>
      <c r="V5" s="138"/>
      <c r="W5" s="141">
        <v>18000</v>
      </c>
      <c r="X5" s="138"/>
      <c r="Y5" s="166">
        <v>6000</v>
      </c>
      <c r="Z5" s="142">
        <v>13000</v>
      </c>
      <c r="AA5" s="138"/>
      <c r="AB5" s="143"/>
      <c r="AC5" s="138"/>
      <c r="AD5" s="144"/>
      <c r="AE5" s="138"/>
      <c r="AF5" s="145"/>
      <c r="AG5" s="138"/>
      <c r="AH5" s="146">
        <v>50000</v>
      </c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116000</v>
      </c>
    </row>
    <row r="6" spans="1:50">
      <c r="A6" s="21">
        <f t="shared" si="0"/>
        <v>44014</v>
      </c>
      <c r="B6" s="38">
        <v>175000</v>
      </c>
      <c r="C6" s="23">
        <v>104000</v>
      </c>
      <c r="D6" s="24">
        <f t="shared" si="1"/>
        <v>279000</v>
      </c>
      <c r="E6" s="40">
        <v>12284</v>
      </c>
      <c r="F6" s="35"/>
      <c r="G6" s="27"/>
      <c r="H6" s="216">
        <f t="shared" si="2"/>
        <v>12284</v>
      </c>
      <c r="I6" s="35"/>
      <c r="J6" s="41"/>
      <c r="K6" s="29"/>
      <c r="L6" s="1"/>
      <c r="M6" s="1"/>
      <c r="N6" s="1"/>
      <c r="O6" s="1"/>
      <c r="P6" s="55">
        <v>44014</v>
      </c>
      <c r="Q6" s="35"/>
      <c r="R6" s="138"/>
      <c r="S6" s="139">
        <v>54000</v>
      </c>
      <c r="T6" s="138"/>
      <c r="U6" s="143">
        <v>51000</v>
      </c>
      <c r="V6" s="138"/>
      <c r="W6" s="147">
        <v>83000</v>
      </c>
      <c r="X6" s="138"/>
      <c r="Y6" s="166">
        <v>2000</v>
      </c>
      <c r="Z6" s="142">
        <v>54000</v>
      </c>
      <c r="AA6" s="138"/>
      <c r="AB6" s="143"/>
      <c r="AC6" s="138"/>
      <c r="AD6" s="147">
        <v>30000</v>
      </c>
      <c r="AE6" s="138"/>
      <c r="AF6" s="145">
        <v>5000</v>
      </c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 t="shared" ref="AX6:AX35" si="3">SUM(Q6:AW6)</f>
        <v>279000</v>
      </c>
    </row>
    <row r="7" spans="1:50">
      <c r="A7" s="21">
        <f t="shared" si="0"/>
        <v>44015</v>
      </c>
      <c r="B7" s="38">
        <v>185000</v>
      </c>
      <c r="C7" s="23">
        <v>60000</v>
      </c>
      <c r="D7" s="24">
        <f t="shared" si="1"/>
        <v>245000</v>
      </c>
      <c r="E7" s="40">
        <v>7400</v>
      </c>
      <c r="F7" s="35"/>
      <c r="G7" s="27">
        <f>875+1998</f>
        <v>2873</v>
      </c>
      <c r="H7" s="216">
        <f t="shared" si="2"/>
        <v>10273</v>
      </c>
      <c r="I7" s="35"/>
      <c r="J7" s="41"/>
      <c r="K7" s="29"/>
      <c r="L7" s="1"/>
      <c r="M7" s="1"/>
      <c r="N7" s="1"/>
      <c r="O7" s="1"/>
      <c r="P7" s="55">
        <v>44015</v>
      </c>
      <c r="Q7" s="35"/>
      <c r="R7" s="138"/>
      <c r="S7" s="139"/>
      <c r="T7" s="138"/>
      <c r="U7" s="143">
        <v>110000</v>
      </c>
      <c r="V7" s="138"/>
      <c r="W7" s="147">
        <v>64000</v>
      </c>
      <c r="X7" s="138"/>
      <c r="Y7" s="166">
        <v>6000</v>
      </c>
      <c r="Z7" s="142">
        <v>31000</v>
      </c>
      <c r="AA7" s="138"/>
      <c r="AB7" s="139">
        <v>4000</v>
      </c>
      <c r="AC7" s="138"/>
      <c r="AD7" s="148"/>
      <c r="AE7" s="138"/>
      <c r="AF7" s="149"/>
      <c r="AG7" s="138"/>
      <c r="AH7" s="149"/>
      <c r="AI7" s="138"/>
      <c r="AJ7" s="150">
        <v>30000</v>
      </c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si="3"/>
        <v>245000</v>
      </c>
    </row>
    <row r="8" spans="1:50">
      <c r="A8" s="21">
        <f t="shared" si="0"/>
        <v>44016</v>
      </c>
      <c r="B8" s="38">
        <v>97000</v>
      </c>
      <c r="C8" s="23">
        <v>96000</v>
      </c>
      <c r="D8" s="24">
        <f t="shared" si="1"/>
        <v>193000</v>
      </c>
      <c r="E8" s="40">
        <f>10116+13620</f>
        <v>23736</v>
      </c>
      <c r="F8" s="35"/>
      <c r="G8" s="27">
        <f>314+1998+526</f>
        <v>2838</v>
      </c>
      <c r="H8" s="216">
        <f t="shared" si="2"/>
        <v>26574</v>
      </c>
      <c r="I8" s="35"/>
      <c r="J8" s="41"/>
      <c r="K8" s="29"/>
      <c r="L8" s="1"/>
      <c r="M8" s="1"/>
      <c r="N8" s="1"/>
      <c r="O8" s="1"/>
      <c r="P8" s="55">
        <v>44016</v>
      </c>
      <c r="Q8" s="35"/>
      <c r="R8" s="138"/>
      <c r="S8" s="139"/>
      <c r="T8" s="138"/>
      <c r="U8" s="143">
        <v>103000</v>
      </c>
      <c r="V8" s="138"/>
      <c r="W8" s="147"/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>
        <v>90000</v>
      </c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193000</v>
      </c>
    </row>
    <row r="9" spans="1:50">
      <c r="A9" s="21">
        <f t="shared" si="0"/>
        <v>44017</v>
      </c>
      <c r="B9" s="38">
        <v>100000</v>
      </c>
      <c r="C9" s="23"/>
      <c r="D9" s="24">
        <f t="shared" si="1"/>
        <v>100000</v>
      </c>
      <c r="E9" s="40">
        <f>33680+6364</f>
        <v>40044</v>
      </c>
      <c r="F9" s="35"/>
      <c r="G9" s="27">
        <f>1998+2994</f>
        <v>4992</v>
      </c>
      <c r="H9" s="216">
        <f t="shared" si="2"/>
        <v>45036</v>
      </c>
      <c r="I9" s="35"/>
      <c r="J9" s="41"/>
      <c r="K9" s="29"/>
      <c r="L9" s="1"/>
      <c r="M9" s="1"/>
      <c r="N9" s="1"/>
      <c r="O9" s="1"/>
      <c r="P9" s="55">
        <v>44017</v>
      </c>
      <c r="Q9" s="35"/>
      <c r="R9" s="138"/>
      <c r="S9" s="139"/>
      <c r="T9" s="138"/>
      <c r="U9" s="139">
        <v>40000</v>
      </c>
      <c r="V9" s="138">
        <v>25000</v>
      </c>
      <c r="W9" s="152">
        <v>12000</v>
      </c>
      <c r="X9" s="138"/>
      <c r="Y9" s="138"/>
      <c r="Z9" s="139"/>
      <c r="AA9" s="138"/>
      <c r="AB9" s="139"/>
      <c r="AC9" s="138"/>
      <c r="AD9" s="151"/>
      <c r="AE9" s="138"/>
      <c r="AF9" s="149">
        <v>16000</v>
      </c>
      <c r="AG9" s="138"/>
      <c r="AH9" s="149">
        <v>7000</v>
      </c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100000</v>
      </c>
    </row>
    <row r="10" spans="1:50">
      <c r="A10" s="21">
        <f t="shared" si="0"/>
        <v>44018</v>
      </c>
      <c r="B10" s="38">
        <v>111000</v>
      </c>
      <c r="C10" s="23">
        <v>110000</v>
      </c>
      <c r="D10" s="24">
        <f t="shared" si="1"/>
        <v>221000</v>
      </c>
      <c r="E10" s="40">
        <v>1982</v>
      </c>
      <c r="F10" s="35">
        <v>7007</v>
      </c>
      <c r="G10" s="27">
        <v>629</v>
      </c>
      <c r="H10" s="216">
        <f t="shared" si="2"/>
        <v>9618</v>
      </c>
      <c r="I10" s="35"/>
      <c r="J10" s="41"/>
      <c r="K10" s="29"/>
      <c r="L10" s="1"/>
      <c r="M10" s="516" t="s">
        <v>26</v>
      </c>
      <c r="N10" s="517"/>
      <c r="O10" s="1"/>
      <c r="P10" s="55">
        <v>44018</v>
      </c>
      <c r="Q10" s="35"/>
      <c r="R10" s="138"/>
      <c r="S10" s="139"/>
      <c r="T10" s="138"/>
      <c r="U10" s="139">
        <v>39000</v>
      </c>
      <c r="V10" s="138"/>
      <c r="W10" s="139">
        <v>55000</v>
      </c>
      <c r="X10" s="138"/>
      <c r="Y10" s="138">
        <v>17000</v>
      </c>
      <c r="Z10" s="139"/>
      <c r="AA10" s="138"/>
      <c r="AB10" s="139"/>
      <c r="AC10" s="138"/>
      <c r="AD10" s="151"/>
      <c r="AE10" s="138"/>
      <c r="AF10" s="149"/>
      <c r="AG10" s="138"/>
      <c r="AH10" s="149">
        <v>110000</v>
      </c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221000</v>
      </c>
    </row>
    <row r="11" spans="1:50">
      <c r="A11" s="21">
        <f t="shared" si="0"/>
        <v>44019</v>
      </c>
      <c r="B11" s="38">
        <v>71000</v>
      </c>
      <c r="C11" s="23">
        <v>55000</v>
      </c>
      <c r="D11" s="24">
        <f t="shared" si="1"/>
        <v>126000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18">
        <v>320000</v>
      </c>
      <c r="O11" s="1"/>
      <c r="P11" s="55">
        <v>44019</v>
      </c>
      <c r="Q11" s="35"/>
      <c r="R11" s="138"/>
      <c r="S11" s="139"/>
      <c r="T11" s="138"/>
      <c r="U11" s="139">
        <v>27000</v>
      </c>
      <c r="V11" s="138"/>
      <c r="W11" s="139">
        <v>55000</v>
      </c>
      <c r="X11" s="138"/>
      <c r="Y11" s="138">
        <v>14000</v>
      </c>
      <c r="Z11" s="139">
        <v>15000</v>
      </c>
      <c r="AA11" s="138"/>
      <c r="AB11" s="139"/>
      <c r="AC11" s="138"/>
      <c r="AD11" s="151"/>
      <c r="AE11" s="138"/>
      <c r="AF11" s="149">
        <v>15000</v>
      </c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126000</v>
      </c>
    </row>
    <row r="12" spans="1:50">
      <c r="A12" s="21">
        <f t="shared" si="0"/>
        <v>44020</v>
      </c>
      <c r="B12" s="38">
        <v>60000</v>
      </c>
      <c r="C12" s="23">
        <v>80000</v>
      </c>
      <c r="D12" s="24">
        <f t="shared" si="1"/>
        <v>140000</v>
      </c>
      <c r="E12" s="40"/>
      <c r="F12" s="35"/>
      <c r="G12" s="27">
        <v>543</v>
      </c>
      <c r="H12" s="216">
        <f t="shared" si="2"/>
        <v>543</v>
      </c>
      <c r="I12" s="35"/>
      <c r="J12" s="41"/>
      <c r="K12" s="29"/>
      <c r="L12" s="1"/>
      <c r="M12" s="47" t="s">
        <v>28</v>
      </c>
      <c r="N12" s="519"/>
      <c r="O12" s="1"/>
      <c r="P12" s="55">
        <v>44020</v>
      </c>
      <c r="Q12" s="35">
        <v>50000</v>
      </c>
      <c r="R12" s="138">
        <v>40000</v>
      </c>
      <c r="S12" s="139">
        <v>8000</v>
      </c>
      <c r="T12" s="138"/>
      <c r="U12" s="139">
        <v>30000</v>
      </c>
      <c r="V12" s="138"/>
      <c r="W12" s="139"/>
      <c r="X12" s="138"/>
      <c r="Y12" s="138">
        <v>6000</v>
      </c>
      <c r="Z12" s="139">
        <v>6000</v>
      </c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140000</v>
      </c>
    </row>
    <row r="13" spans="1:50">
      <c r="A13" s="21">
        <f t="shared" si="0"/>
        <v>44021</v>
      </c>
      <c r="B13" s="38">
        <v>239000</v>
      </c>
      <c r="C13" s="23">
        <v>20000</v>
      </c>
      <c r="D13" s="24">
        <f t="shared" si="1"/>
        <v>259000</v>
      </c>
      <c r="E13" s="40">
        <f>23688+2360+25152</f>
        <v>51200</v>
      </c>
      <c r="F13" s="35">
        <v>9075</v>
      </c>
      <c r="G13" s="27">
        <v>1998</v>
      </c>
      <c r="H13" s="216">
        <f t="shared" si="2"/>
        <v>62273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44021</v>
      </c>
      <c r="Q13" s="35"/>
      <c r="R13" s="138"/>
      <c r="S13" s="139"/>
      <c r="T13" s="138"/>
      <c r="U13" s="139">
        <v>88000</v>
      </c>
      <c r="V13" s="138"/>
      <c r="W13" s="139">
        <v>7000</v>
      </c>
      <c r="X13" s="138"/>
      <c r="Y13" s="138">
        <v>3000</v>
      </c>
      <c r="Z13" s="139"/>
      <c r="AA13" s="138"/>
      <c r="AB13" s="139"/>
      <c r="AC13" s="138"/>
      <c r="AD13" s="151"/>
      <c r="AE13" s="138"/>
      <c r="AF13" s="149">
        <v>35000</v>
      </c>
      <c r="AG13" s="138"/>
      <c r="AH13" s="149">
        <v>110000</v>
      </c>
      <c r="AI13" s="138"/>
      <c r="AJ13" s="149"/>
      <c r="AK13" s="138"/>
      <c r="AL13" s="149">
        <v>16000</v>
      </c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259000</v>
      </c>
    </row>
    <row r="14" spans="1:50">
      <c r="A14" s="21">
        <f t="shared" si="0"/>
        <v>44022</v>
      </c>
      <c r="B14" s="38">
        <v>279000</v>
      </c>
      <c r="C14" s="23">
        <v>6000</v>
      </c>
      <c r="D14" s="24">
        <f t="shared" si="1"/>
        <v>285000</v>
      </c>
      <c r="E14" s="40">
        <f>9792+10206+7480+20372</f>
        <v>47850</v>
      </c>
      <c r="F14" s="44">
        <v>7007</v>
      </c>
      <c r="G14" s="27">
        <f>2994+4171</f>
        <v>7165</v>
      </c>
      <c r="H14" s="216">
        <f t="shared" si="2"/>
        <v>62022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44022</v>
      </c>
      <c r="Q14" s="35"/>
      <c r="R14" s="138"/>
      <c r="S14" s="139"/>
      <c r="T14" s="138"/>
      <c r="U14" s="139">
        <v>33000</v>
      </c>
      <c r="V14" s="138"/>
      <c r="W14" s="139">
        <v>10000</v>
      </c>
      <c r="X14" s="138"/>
      <c r="Y14" s="138"/>
      <c r="Z14" s="139">
        <v>30000</v>
      </c>
      <c r="AA14" s="138"/>
      <c r="AB14" s="139"/>
      <c r="AC14" s="138"/>
      <c r="AD14" s="151"/>
      <c r="AE14" s="138"/>
      <c r="AF14" s="149"/>
      <c r="AG14" s="138"/>
      <c r="AH14" s="149">
        <v>96000</v>
      </c>
      <c r="AI14" s="138"/>
      <c r="AJ14" s="149">
        <v>32000</v>
      </c>
      <c r="AK14" s="138"/>
      <c r="AL14" s="149">
        <v>8000</v>
      </c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209000</v>
      </c>
    </row>
    <row r="15" spans="1:50">
      <c r="A15" s="21">
        <f t="shared" si="0"/>
        <v>44023</v>
      </c>
      <c r="B15" s="38">
        <v>90000</v>
      </c>
      <c r="C15" s="23">
        <v>24000</v>
      </c>
      <c r="D15" s="24">
        <f t="shared" si="1"/>
        <v>114000</v>
      </c>
      <c r="E15" s="40">
        <v>9792</v>
      </c>
      <c r="F15" s="35"/>
      <c r="G15" s="27">
        <f>1998+1749</f>
        <v>3747</v>
      </c>
      <c r="H15" s="216">
        <f t="shared" si="2"/>
        <v>13539</v>
      </c>
      <c r="I15" s="35"/>
      <c r="J15" s="41"/>
      <c r="K15" s="29"/>
      <c r="L15" s="1"/>
      <c r="M15" s="47" t="s">
        <v>31</v>
      </c>
      <c r="N15" s="35">
        <v>500000</v>
      </c>
      <c r="O15" s="1"/>
      <c r="P15" s="55">
        <v>44023</v>
      </c>
      <c r="Q15" s="35"/>
      <c r="R15" s="138"/>
      <c r="S15" s="139">
        <v>3000</v>
      </c>
      <c r="T15" s="138"/>
      <c r="U15" s="139">
        <v>40000</v>
      </c>
      <c r="V15" s="138"/>
      <c r="W15" s="139">
        <v>41000</v>
      </c>
      <c r="X15" s="138"/>
      <c r="Y15" s="138">
        <v>2000</v>
      </c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>
        <v>4000</v>
      </c>
      <c r="AO15" s="158">
        <v>24000</v>
      </c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114000</v>
      </c>
    </row>
    <row r="16" spans="1:50">
      <c r="A16" s="21">
        <f t="shared" si="0"/>
        <v>44024</v>
      </c>
      <c r="B16" s="38">
        <v>213000</v>
      </c>
      <c r="C16" s="23"/>
      <c r="D16" s="24">
        <f t="shared" si="1"/>
        <v>213000</v>
      </c>
      <c r="E16" s="40">
        <v>23552</v>
      </c>
      <c r="F16" s="35">
        <v>50600</v>
      </c>
      <c r="G16" s="27"/>
      <c r="H16" s="216">
        <f t="shared" si="2"/>
        <v>74152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44024</v>
      </c>
      <c r="Q16" s="35"/>
      <c r="R16" s="138"/>
      <c r="S16" s="139"/>
      <c r="T16" s="138"/>
      <c r="U16" s="139">
        <v>66000</v>
      </c>
      <c r="V16" s="138">
        <v>25000</v>
      </c>
      <c r="W16" s="139">
        <v>30000</v>
      </c>
      <c r="X16" s="138"/>
      <c r="Y16" s="138"/>
      <c r="Z16" s="139"/>
      <c r="AA16" s="138"/>
      <c r="AB16" s="139"/>
      <c r="AC16" s="138"/>
      <c r="AD16" s="151"/>
      <c r="AE16" s="138"/>
      <c r="AF16" s="149">
        <v>22000</v>
      </c>
      <c r="AG16" s="138"/>
      <c r="AH16" s="149">
        <v>70000</v>
      </c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213000</v>
      </c>
    </row>
    <row r="17" spans="1:50">
      <c r="A17" s="21">
        <f t="shared" si="0"/>
        <v>44025</v>
      </c>
      <c r="B17" s="38">
        <v>111000</v>
      </c>
      <c r="C17" s="23"/>
      <c r="D17" s="24">
        <f t="shared" si="1"/>
        <v>111000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55">
        <v>44025</v>
      </c>
      <c r="Q17" s="35"/>
      <c r="R17" s="138"/>
      <c r="S17" s="139"/>
      <c r="T17" s="138"/>
      <c r="U17" s="139">
        <v>31000</v>
      </c>
      <c r="V17" s="138"/>
      <c r="W17" s="139">
        <v>35000</v>
      </c>
      <c r="X17" s="138"/>
      <c r="Y17" s="138">
        <v>45000</v>
      </c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111000</v>
      </c>
    </row>
    <row r="18" spans="1:50">
      <c r="A18" s="21">
        <f t="shared" si="0"/>
        <v>44026</v>
      </c>
      <c r="B18" s="38">
        <v>379000</v>
      </c>
      <c r="C18" s="23">
        <v>11000</v>
      </c>
      <c r="D18" s="24">
        <f t="shared" si="1"/>
        <v>390000</v>
      </c>
      <c r="E18" s="40">
        <f>14862+4664</f>
        <v>19526</v>
      </c>
      <c r="F18" s="35"/>
      <c r="G18" s="27">
        <v>2757</v>
      </c>
      <c r="H18" s="216">
        <f t="shared" si="2"/>
        <v>22283</v>
      </c>
      <c r="I18" s="35"/>
      <c r="J18" s="41"/>
      <c r="K18" s="29"/>
      <c r="L18" s="1"/>
      <c r="M18" s="47"/>
      <c r="N18" s="35"/>
      <c r="O18" s="1"/>
      <c r="P18" s="55">
        <v>44026</v>
      </c>
      <c r="Q18" s="35"/>
      <c r="R18" s="138"/>
      <c r="S18" s="139"/>
      <c r="T18" s="138"/>
      <c r="U18" s="139">
        <v>75000</v>
      </c>
      <c r="V18" s="138"/>
      <c r="W18" s="139">
        <v>145000</v>
      </c>
      <c r="X18" s="138">
        <v>25000</v>
      </c>
      <c r="Y18" s="138">
        <v>4000</v>
      </c>
      <c r="Z18" s="139"/>
      <c r="AA18" s="138"/>
      <c r="AB18" s="139"/>
      <c r="AC18" s="138"/>
      <c r="AD18" s="151"/>
      <c r="AE18" s="138"/>
      <c r="AF18" s="149">
        <v>11000</v>
      </c>
      <c r="AG18" s="138"/>
      <c r="AH18" s="149">
        <v>130000</v>
      </c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390000</v>
      </c>
    </row>
    <row r="19" spans="1:50">
      <c r="A19" s="21">
        <f t="shared" si="0"/>
        <v>44027</v>
      </c>
      <c r="B19" s="38">
        <v>53000</v>
      </c>
      <c r="C19" s="23"/>
      <c r="D19" s="24">
        <f t="shared" si="1"/>
        <v>53000</v>
      </c>
      <c r="E19" s="40"/>
      <c r="F19" s="35"/>
      <c r="G19" s="27">
        <f>2994+327</f>
        <v>3321</v>
      </c>
      <c r="H19" s="216">
        <f t="shared" si="2"/>
        <v>3321</v>
      </c>
      <c r="I19" s="35"/>
      <c r="J19" s="41"/>
      <c r="K19" s="29"/>
      <c r="L19" s="1"/>
      <c r="M19" s="49" t="s">
        <v>33</v>
      </c>
      <c r="N19" s="50">
        <f>SUM(N11:N18)</f>
        <v>876000</v>
      </c>
      <c r="O19" s="1"/>
      <c r="P19" s="55">
        <v>44027</v>
      </c>
      <c r="Q19" s="35"/>
      <c r="R19" s="138"/>
      <c r="S19" s="139"/>
      <c r="T19" s="138"/>
      <c r="U19" s="139">
        <v>40000</v>
      </c>
      <c r="V19" s="138"/>
      <c r="W19" s="139">
        <v>7000</v>
      </c>
      <c r="X19" s="138"/>
      <c r="Y19" s="138"/>
      <c r="Z19" s="139"/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>
        <v>6000</v>
      </c>
      <c r="AQ19" s="168"/>
      <c r="AR19" s="158"/>
      <c r="AS19" s="158"/>
      <c r="AT19" s="158"/>
      <c r="AU19" s="158"/>
      <c r="AV19" s="145"/>
      <c r="AW19" s="138"/>
      <c r="AX19" s="2">
        <f t="shared" si="3"/>
        <v>53000</v>
      </c>
    </row>
    <row r="20" spans="1:50">
      <c r="A20" s="21">
        <f t="shared" si="0"/>
        <v>44028</v>
      </c>
      <c r="B20" s="38">
        <v>158000</v>
      </c>
      <c r="C20" s="38">
        <v>30000</v>
      </c>
      <c r="D20" s="24">
        <f t="shared" si="1"/>
        <v>188000</v>
      </c>
      <c r="E20" s="40">
        <v>7344</v>
      </c>
      <c r="F20" s="35"/>
      <c r="G20" s="27"/>
      <c r="H20" s="216">
        <f t="shared" si="2"/>
        <v>7344</v>
      </c>
      <c r="I20" s="35"/>
      <c r="J20" s="41"/>
      <c r="K20" s="29"/>
      <c r="L20" s="1"/>
      <c r="M20" s="51"/>
      <c r="N20" s="7"/>
      <c r="O20" s="1"/>
      <c r="P20" s="55">
        <v>44028</v>
      </c>
      <c r="Q20" s="35"/>
      <c r="R20" s="138"/>
      <c r="S20" s="139"/>
      <c r="T20" s="138"/>
      <c r="U20" s="139">
        <v>54000</v>
      </c>
      <c r="V20" s="138"/>
      <c r="W20" s="139">
        <v>29000</v>
      </c>
      <c r="X20" s="138"/>
      <c r="Y20" s="138">
        <v>2000</v>
      </c>
      <c r="Z20" s="139">
        <v>15000</v>
      </c>
      <c r="AA20" s="138"/>
      <c r="AB20" s="139"/>
      <c r="AC20" s="138"/>
      <c r="AD20" s="151"/>
      <c r="AE20" s="138"/>
      <c r="AF20" s="149"/>
      <c r="AG20" s="138"/>
      <c r="AH20" s="149">
        <v>88000</v>
      </c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188000</v>
      </c>
    </row>
    <row r="21" spans="1:50">
      <c r="A21" s="21">
        <f t="shared" si="0"/>
        <v>44029</v>
      </c>
      <c r="B21" s="38">
        <v>180000</v>
      </c>
      <c r="C21" s="38"/>
      <c r="D21" s="24">
        <f t="shared" si="1"/>
        <v>180000</v>
      </c>
      <c r="E21" s="40">
        <v>12440</v>
      </c>
      <c r="F21" s="35">
        <f>7007+3828</f>
        <v>10835</v>
      </c>
      <c r="G21" s="27">
        <v>2997</v>
      </c>
      <c r="H21" s="216">
        <f t="shared" si="2"/>
        <v>26272</v>
      </c>
      <c r="I21" s="35"/>
      <c r="J21" s="41"/>
      <c r="K21" s="29"/>
      <c r="L21" s="1"/>
      <c r="M21" s="1"/>
      <c r="N21" s="1"/>
      <c r="O21" s="1"/>
      <c r="P21" s="55">
        <v>44029</v>
      </c>
      <c r="Q21" s="35"/>
      <c r="R21" s="138"/>
      <c r="S21" s="139">
        <v>20000</v>
      </c>
      <c r="T21" s="138">
        <v>40000</v>
      </c>
      <c r="U21" s="139">
        <v>65000</v>
      </c>
      <c r="V21" s="138"/>
      <c r="W21" s="139">
        <v>43000</v>
      </c>
      <c r="X21" s="138"/>
      <c r="Y21" s="138">
        <v>2000</v>
      </c>
      <c r="Z21" s="139"/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>
        <v>10000</v>
      </c>
      <c r="AR21" s="158"/>
      <c r="AS21" s="158"/>
      <c r="AT21" s="158"/>
      <c r="AU21" s="158"/>
      <c r="AV21" s="145"/>
      <c r="AW21" s="138"/>
      <c r="AX21" s="2">
        <f t="shared" si="3"/>
        <v>180000</v>
      </c>
    </row>
    <row r="22" spans="1:50">
      <c r="A22" s="21">
        <f t="shared" si="0"/>
        <v>44030</v>
      </c>
      <c r="B22" s="38">
        <v>158000</v>
      </c>
      <c r="C22" s="38"/>
      <c r="D22" s="24">
        <f t="shared" si="1"/>
        <v>158000</v>
      </c>
      <c r="E22" s="40">
        <f>1752+23216+16492+9792</f>
        <v>51252</v>
      </c>
      <c r="F22" s="35">
        <v>4147</v>
      </c>
      <c r="G22" s="27"/>
      <c r="H22" s="216">
        <f t="shared" si="2"/>
        <v>55399</v>
      </c>
      <c r="I22" s="35"/>
      <c r="J22" s="41"/>
      <c r="K22" s="29"/>
      <c r="L22" s="1"/>
      <c r="M22" s="1"/>
      <c r="N22" s="1"/>
      <c r="O22" s="1"/>
      <c r="P22" s="55">
        <v>44030</v>
      </c>
      <c r="Q22" s="35"/>
      <c r="R22" s="138"/>
      <c r="S22" s="139"/>
      <c r="T22" s="138"/>
      <c r="U22" s="139">
        <v>25000</v>
      </c>
      <c r="V22" s="138"/>
      <c r="W22" s="139">
        <v>68000</v>
      </c>
      <c r="X22" s="138"/>
      <c r="Y22" s="375"/>
      <c r="Z22" s="153">
        <v>5000</v>
      </c>
      <c r="AA22" s="138"/>
      <c r="AB22" s="139"/>
      <c r="AC22" s="138"/>
      <c r="AD22" s="151"/>
      <c r="AE22" s="138"/>
      <c r="AF22" s="139">
        <v>5000</v>
      </c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>
        <v>55000</v>
      </c>
      <c r="AS22" s="158"/>
      <c r="AT22" s="158"/>
      <c r="AU22" s="158"/>
      <c r="AV22" s="145"/>
      <c r="AW22" s="138"/>
      <c r="AX22" s="2">
        <f t="shared" si="3"/>
        <v>158000</v>
      </c>
    </row>
    <row r="23" spans="1:50">
      <c r="A23" s="21">
        <f t="shared" si="0"/>
        <v>44031</v>
      </c>
      <c r="B23" s="38">
        <v>0</v>
      </c>
      <c r="C23" s="38"/>
      <c r="D23" s="24">
        <f t="shared" si="1"/>
        <v>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44031</v>
      </c>
      <c r="Q23" s="35"/>
      <c r="R23" s="138"/>
      <c r="S23" s="139"/>
      <c r="T23" s="138"/>
      <c r="U23" s="139"/>
      <c r="V23" s="138"/>
      <c r="W23" s="139"/>
      <c r="X23" s="138"/>
      <c r="Y23" s="138"/>
      <c r="Z23" s="139"/>
      <c r="AA23" s="138"/>
      <c r="AB23" s="139"/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0</v>
      </c>
    </row>
    <row r="24" spans="1:50">
      <c r="A24" s="21">
        <f t="shared" si="0"/>
        <v>44032</v>
      </c>
      <c r="B24" s="38">
        <v>0</v>
      </c>
      <c r="C24" s="38"/>
      <c r="D24" s="24">
        <f t="shared" si="1"/>
        <v>0</v>
      </c>
      <c r="E24" s="40"/>
      <c r="F24" s="35"/>
      <c r="G24" s="27">
        <v>2729</v>
      </c>
      <c r="H24" s="216">
        <f t="shared" si="2"/>
        <v>2729</v>
      </c>
      <c r="I24" s="35"/>
      <c r="J24" s="41"/>
      <c r="K24" s="29"/>
      <c r="L24" s="1"/>
      <c r="M24" s="53" t="s">
        <v>34</v>
      </c>
      <c r="N24" s="38">
        <f>D37</f>
        <v>4872650</v>
      </c>
      <c r="O24" s="1"/>
      <c r="P24" s="55">
        <v>44032</v>
      </c>
      <c r="Q24" s="35"/>
      <c r="R24" s="138"/>
      <c r="S24" s="139"/>
      <c r="T24" s="138"/>
      <c r="U24" s="139"/>
      <c r="V24" s="138"/>
      <c r="W24" s="139"/>
      <c r="X24" s="138"/>
      <c r="Y24" s="138"/>
      <c r="Z24" s="139"/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0</v>
      </c>
    </row>
    <row r="25" spans="1:50">
      <c r="A25" s="21">
        <f t="shared" si="0"/>
        <v>44033</v>
      </c>
      <c r="B25" s="38">
        <v>108000</v>
      </c>
      <c r="C25" s="38">
        <v>31000</v>
      </c>
      <c r="D25" s="24">
        <f t="shared" si="1"/>
        <v>139000</v>
      </c>
      <c r="E25" s="40">
        <f>5900+10816</f>
        <v>16716</v>
      </c>
      <c r="F25" s="35"/>
      <c r="G25" s="27"/>
      <c r="H25" s="216">
        <f t="shared" si="2"/>
        <v>16716</v>
      </c>
      <c r="I25" s="35"/>
      <c r="J25" s="41"/>
      <c r="K25" s="29"/>
      <c r="L25" s="1"/>
      <c r="M25" s="53" t="s">
        <v>35</v>
      </c>
      <c r="N25" s="38">
        <f>H37</f>
        <v>603672</v>
      </c>
      <c r="O25" s="1"/>
      <c r="P25" s="55">
        <v>44033</v>
      </c>
      <c r="Q25" s="35"/>
      <c r="R25" s="138"/>
      <c r="S25" s="139">
        <v>12500</v>
      </c>
      <c r="T25" s="138"/>
      <c r="U25" s="139">
        <v>30000</v>
      </c>
      <c r="V25" s="138"/>
      <c r="W25" s="139">
        <v>14000</v>
      </c>
      <c r="X25" s="138"/>
      <c r="Y25" s="138"/>
      <c r="Z25" s="139">
        <v>70500</v>
      </c>
      <c r="AA25" s="138"/>
      <c r="AB25" s="139"/>
      <c r="AC25" s="138"/>
      <c r="AD25" s="151"/>
      <c r="AE25" s="138"/>
      <c r="AF25" s="149"/>
      <c r="AG25" s="138"/>
      <c r="AH25" s="149">
        <v>12000</v>
      </c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139000</v>
      </c>
    </row>
    <row r="26" spans="1:50">
      <c r="A26" s="21">
        <f t="shared" si="0"/>
        <v>44034</v>
      </c>
      <c r="B26" s="38">
        <v>73000</v>
      </c>
      <c r="C26" s="38">
        <v>15000</v>
      </c>
      <c r="D26" s="24">
        <f t="shared" si="1"/>
        <v>88000</v>
      </c>
      <c r="E26" s="40">
        <v>1000</v>
      </c>
      <c r="F26" s="35"/>
      <c r="G26" s="27">
        <v>327</v>
      </c>
      <c r="H26" s="216">
        <f t="shared" si="2"/>
        <v>1327</v>
      </c>
      <c r="I26" s="35"/>
      <c r="J26" s="41"/>
      <c r="K26" s="29"/>
      <c r="L26" s="1"/>
      <c r="M26" s="53" t="s">
        <v>36</v>
      </c>
      <c r="N26" s="38">
        <f>N19</f>
        <v>876000</v>
      </c>
      <c r="O26" s="1"/>
      <c r="P26" s="55">
        <v>44034</v>
      </c>
      <c r="Q26" s="35"/>
      <c r="R26" s="138"/>
      <c r="S26" s="139"/>
      <c r="T26" s="138"/>
      <c r="U26" s="139">
        <v>29000</v>
      </c>
      <c r="V26" s="138"/>
      <c r="W26" s="139">
        <v>18000</v>
      </c>
      <c r="X26" s="138"/>
      <c r="Y26" s="138"/>
      <c r="Z26" s="139">
        <v>6000</v>
      </c>
      <c r="AA26" s="138"/>
      <c r="AB26" s="139"/>
      <c r="AC26" s="138"/>
      <c r="AD26" s="151"/>
      <c r="AE26" s="138"/>
      <c r="AF26" s="149">
        <v>26000</v>
      </c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>
        <v>9000</v>
      </c>
      <c r="AT26" s="158"/>
      <c r="AU26" s="158"/>
      <c r="AV26" s="145"/>
      <c r="AW26" s="138"/>
      <c r="AX26" s="2">
        <f t="shared" si="3"/>
        <v>88000</v>
      </c>
    </row>
    <row r="27" spans="1:50">
      <c r="A27" s="21">
        <f t="shared" si="0"/>
        <v>44035</v>
      </c>
      <c r="B27" s="38">
        <v>249000</v>
      </c>
      <c r="C27" s="38">
        <v>40000</v>
      </c>
      <c r="D27" s="24">
        <f t="shared" si="1"/>
        <v>289000</v>
      </c>
      <c r="E27" s="40">
        <v>5500</v>
      </c>
      <c r="F27" s="35"/>
      <c r="G27" s="27">
        <v>1998</v>
      </c>
      <c r="H27" s="216">
        <f t="shared" si="2"/>
        <v>7498</v>
      </c>
      <c r="I27" s="35"/>
      <c r="J27" s="41"/>
      <c r="K27" s="29"/>
      <c r="L27" s="1"/>
      <c r="M27" s="60" t="s">
        <v>37</v>
      </c>
      <c r="N27" s="61">
        <f>IFERROR(N24-N25-N26, "")</f>
        <v>3392978</v>
      </c>
      <c r="O27" s="1"/>
      <c r="P27" s="55">
        <v>44035</v>
      </c>
      <c r="Q27" s="35"/>
      <c r="R27" s="138">
        <v>40000</v>
      </c>
      <c r="S27" s="139"/>
      <c r="T27" s="138"/>
      <c r="U27" s="139">
        <v>58000</v>
      </c>
      <c r="V27" s="138"/>
      <c r="W27" s="139">
        <v>79000</v>
      </c>
      <c r="X27" s="138"/>
      <c r="Y27" s="138">
        <v>90000</v>
      </c>
      <c r="Z27" s="139"/>
      <c r="AA27" s="138"/>
      <c r="AB27" s="139"/>
      <c r="AC27" s="138"/>
      <c r="AD27" s="151"/>
      <c r="AE27" s="138"/>
      <c r="AF27" s="149"/>
      <c r="AG27" s="138"/>
      <c r="AH27" s="149">
        <v>18000</v>
      </c>
      <c r="AI27" s="138"/>
      <c r="AJ27" s="149"/>
      <c r="AK27" s="138"/>
      <c r="AL27" s="149">
        <v>4000</v>
      </c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289000</v>
      </c>
    </row>
    <row r="28" spans="1:50">
      <c r="A28" s="21">
        <f t="shared" si="0"/>
        <v>44036</v>
      </c>
      <c r="B28" s="38">
        <v>64000</v>
      </c>
      <c r="C28" s="38">
        <v>15000</v>
      </c>
      <c r="D28" s="24">
        <f t="shared" si="1"/>
        <v>79000</v>
      </c>
      <c r="E28" s="299">
        <f>1000+16314</f>
        <v>17314</v>
      </c>
      <c r="F28" s="35"/>
      <c r="G28" s="27">
        <f>654+2994</f>
        <v>3648</v>
      </c>
      <c r="H28" s="216">
        <f t="shared" si="2"/>
        <v>20962</v>
      </c>
      <c r="I28" s="35"/>
      <c r="J28" s="41"/>
      <c r="K28" s="29"/>
      <c r="L28" s="1"/>
      <c r="M28" s="1"/>
      <c r="N28" s="1"/>
      <c r="O28" s="1"/>
      <c r="P28" s="55">
        <v>44036</v>
      </c>
      <c r="Q28" s="35"/>
      <c r="R28" s="138"/>
      <c r="S28" s="139"/>
      <c r="T28" s="138"/>
      <c r="U28" s="139">
        <v>6000</v>
      </c>
      <c r="V28" s="138"/>
      <c r="W28" s="139">
        <v>72000</v>
      </c>
      <c r="X28" s="138"/>
      <c r="Y28" s="138"/>
      <c r="Z28" s="139">
        <v>1000</v>
      </c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79000</v>
      </c>
    </row>
    <row r="29" spans="1:50">
      <c r="A29" s="21">
        <f t="shared" si="0"/>
        <v>44037</v>
      </c>
      <c r="B29" s="38">
        <v>161650</v>
      </c>
      <c r="C29" s="38"/>
      <c r="D29" s="24">
        <f t="shared" si="1"/>
        <v>161650</v>
      </c>
      <c r="E29" s="40"/>
      <c r="F29" s="35"/>
      <c r="G29" s="27"/>
      <c r="H29" s="216">
        <f t="shared" si="2"/>
        <v>0</v>
      </c>
      <c r="I29" s="35"/>
      <c r="J29" s="41"/>
      <c r="K29" s="29"/>
      <c r="L29" s="1"/>
      <c r="M29" s="1"/>
      <c r="N29" s="1"/>
      <c r="O29" s="1"/>
      <c r="P29" s="55">
        <v>44037</v>
      </c>
      <c r="Q29" s="35"/>
      <c r="R29" s="138"/>
      <c r="S29" s="139">
        <v>41000</v>
      </c>
      <c r="T29" s="138"/>
      <c r="U29" s="139">
        <v>91000</v>
      </c>
      <c r="V29" s="138"/>
      <c r="W29" s="139"/>
      <c r="X29" s="138"/>
      <c r="Y29" s="138">
        <v>18650</v>
      </c>
      <c r="Z29" s="139">
        <v>6000</v>
      </c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>
        <v>5000</v>
      </c>
      <c r="AU29" s="138"/>
      <c r="AV29" s="149"/>
      <c r="AW29" s="138"/>
      <c r="AX29" s="2">
        <f t="shared" si="3"/>
        <v>161650</v>
      </c>
    </row>
    <row r="30" spans="1:50">
      <c r="A30" s="21">
        <f t="shared" si="0"/>
        <v>44038</v>
      </c>
      <c r="B30" s="38">
        <v>24000</v>
      </c>
      <c r="C30" s="38"/>
      <c r="D30" s="24">
        <f t="shared" si="1"/>
        <v>24000</v>
      </c>
      <c r="E30" s="40"/>
      <c r="F30" s="35"/>
      <c r="G30" s="27">
        <v>165</v>
      </c>
      <c r="H30" s="216">
        <f t="shared" si="2"/>
        <v>165</v>
      </c>
      <c r="I30" s="35"/>
      <c r="J30" s="41"/>
      <c r="K30" s="29"/>
      <c r="L30" s="1"/>
      <c r="M30" s="1"/>
      <c r="N30" s="1"/>
      <c r="O30" s="1"/>
      <c r="P30" s="55">
        <v>44038</v>
      </c>
      <c r="Q30" s="35"/>
      <c r="R30" s="138"/>
      <c r="S30" s="139"/>
      <c r="T30" s="138"/>
      <c r="U30" s="139"/>
      <c r="V30" s="138"/>
      <c r="W30" s="139">
        <v>6000</v>
      </c>
      <c r="X30" s="138"/>
      <c r="Y30" s="138"/>
      <c r="Z30" s="139"/>
      <c r="AA30" s="138"/>
      <c r="AB30" s="139"/>
      <c r="AC30" s="138"/>
      <c r="AD30" s="151"/>
      <c r="AE30" s="138"/>
      <c r="AF30" s="149"/>
      <c r="AG30" s="138"/>
      <c r="AH30" s="149">
        <v>18000</v>
      </c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24000</v>
      </c>
    </row>
    <row r="31" spans="1:50">
      <c r="A31" s="21">
        <f t="shared" si="0"/>
        <v>44039</v>
      </c>
      <c r="B31" s="38">
        <v>45000</v>
      </c>
      <c r="C31" s="38">
        <v>45000</v>
      </c>
      <c r="D31" s="24">
        <f t="shared" si="1"/>
        <v>90000</v>
      </c>
      <c r="E31" s="40">
        <f>8224+4712</f>
        <v>12936</v>
      </c>
      <c r="F31" s="35"/>
      <c r="G31" s="27"/>
      <c r="H31" s="216">
        <f t="shared" si="2"/>
        <v>12936</v>
      </c>
      <c r="I31" s="35"/>
      <c r="J31" s="41"/>
      <c r="K31" s="29"/>
      <c r="L31" s="1"/>
      <c r="M31" s="1"/>
      <c r="N31" s="1"/>
      <c r="O31" s="1"/>
      <c r="P31" s="55">
        <v>44039</v>
      </c>
      <c r="Q31" s="35"/>
      <c r="R31" s="138"/>
      <c r="S31" s="139"/>
      <c r="T31" s="138"/>
      <c r="U31" s="139">
        <v>8000</v>
      </c>
      <c r="V31" s="138"/>
      <c r="W31" s="139"/>
      <c r="X31" s="138"/>
      <c r="Y31" s="138"/>
      <c r="Z31" s="139">
        <v>37000</v>
      </c>
      <c r="AA31" s="138"/>
      <c r="AB31" s="139"/>
      <c r="AC31" s="138"/>
      <c r="AD31" s="151"/>
      <c r="AE31" s="138"/>
      <c r="AF31" s="149"/>
      <c r="AG31" s="138"/>
      <c r="AH31" s="149">
        <v>45000</v>
      </c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90000</v>
      </c>
    </row>
    <row r="32" spans="1:50">
      <c r="A32" s="21">
        <f t="shared" si="0"/>
        <v>44040</v>
      </c>
      <c r="B32" s="38">
        <v>67000</v>
      </c>
      <c r="C32" s="38"/>
      <c r="D32" s="24">
        <f t="shared" si="1"/>
        <v>67000</v>
      </c>
      <c r="E32" s="40"/>
      <c r="F32" s="35"/>
      <c r="G32" s="27">
        <f>272+1298</f>
        <v>1570</v>
      </c>
      <c r="H32" s="216">
        <f t="shared" si="2"/>
        <v>1570</v>
      </c>
      <c r="I32" s="35"/>
      <c r="J32" s="41"/>
      <c r="K32" s="29"/>
      <c r="L32" s="1"/>
      <c r="M32" s="1"/>
      <c r="N32" s="1"/>
      <c r="O32" s="1"/>
      <c r="P32" s="55">
        <v>44040</v>
      </c>
      <c r="Q32" s="35"/>
      <c r="R32" s="138"/>
      <c r="S32" s="139"/>
      <c r="T32" s="138"/>
      <c r="U32" s="139">
        <v>10000</v>
      </c>
      <c r="V32" s="138"/>
      <c r="W32" s="139">
        <v>44000</v>
      </c>
      <c r="X32" s="138"/>
      <c r="Y32" s="138">
        <v>7000</v>
      </c>
      <c r="Z32" s="139">
        <v>6000</v>
      </c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67000</v>
      </c>
    </row>
    <row r="33" spans="1:50">
      <c r="A33" s="21">
        <f t="shared" si="0"/>
        <v>44041</v>
      </c>
      <c r="B33" s="38">
        <v>71000</v>
      </c>
      <c r="C33" s="38"/>
      <c r="D33" s="24">
        <f t="shared" si="1"/>
        <v>71000</v>
      </c>
      <c r="E33" s="40">
        <v>8828</v>
      </c>
      <c r="F33" s="35"/>
      <c r="G33" s="27"/>
      <c r="H33" s="216">
        <f t="shared" si="2"/>
        <v>8828</v>
      </c>
      <c r="I33" s="35"/>
      <c r="J33" s="41"/>
      <c r="K33" s="29"/>
      <c r="L33" s="1"/>
      <c r="M33" s="1"/>
      <c r="N33" s="1"/>
      <c r="O33" s="1"/>
      <c r="P33" s="55">
        <v>44041</v>
      </c>
      <c r="Q33" s="56"/>
      <c r="R33" s="138"/>
      <c r="S33" s="139"/>
      <c r="T33" s="138"/>
      <c r="U33" s="139">
        <v>44000</v>
      </c>
      <c r="V33" s="138"/>
      <c r="W33" s="139">
        <v>24000</v>
      </c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>
        <v>3000</v>
      </c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71000</v>
      </c>
    </row>
    <row r="34" spans="1:50">
      <c r="A34" s="21">
        <f t="shared" si="0"/>
        <v>44042</v>
      </c>
      <c r="B34" s="38">
        <v>256000</v>
      </c>
      <c r="C34" s="38"/>
      <c r="D34" s="24">
        <f t="shared" si="1"/>
        <v>256000</v>
      </c>
      <c r="E34" s="40">
        <f>2140+8480+3300</f>
        <v>13920</v>
      </c>
      <c r="F34" s="35"/>
      <c r="G34" s="27"/>
      <c r="H34" s="216">
        <f t="shared" si="2"/>
        <v>13920</v>
      </c>
      <c r="I34" s="35"/>
      <c r="J34" s="41"/>
      <c r="K34" s="29"/>
      <c r="L34" s="1"/>
      <c r="M34" s="1"/>
      <c r="N34" s="1"/>
      <c r="O34" s="1"/>
      <c r="P34" s="55">
        <v>44042</v>
      </c>
      <c r="Q34" s="137"/>
      <c r="R34" s="154"/>
      <c r="S34" s="155"/>
      <c r="T34" s="154"/>
      <c r="U34" s="155">
        <v>64000</v>
      </c>
      <c r="V34" s="154"/>
      <c r="W34" s="155">
        <v>77000</v>
      </c>
      <c r="X34" s="154">
        <v>25000</v>
      </c>
      <c r="Y34" s="154"/>
      <c r="Z34" s="155">
        <v>15000</v>
      </c>
      <c r="AA34" s="154"/>
      <c r="AB34" s="155"/>
      <c r="AC34" s="154"/>
      <c r="AD34" s="156"/>
      <c r="AE34" s="154"/>
      <c r="AF34" s="157">
        <v>15000</v>
      </c>
      <c r="AG34" s="154"/>
      <c r="AH34" s="157"/>
      <c r="AI34" s="154"/>
      <c r="AJ34" s="157"/>
      <c r="AK34" s="154"/>
      <c r="AL34" s="157">
        <v>60000</v>
      </c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256000</v>
      </c>
    </row>
    <row r="35" spans="1:50" ht="21" thickBot="1">
      <c r="A35" s="21">
        <f t="shared" si="0"/>
        <v>44043</v>
      </c>
      <c r="B35" s="38">
        <v>226000</v>
      </c>
      <c r="C35" s="38">
        <v>11000</v>
      </c>
      <c r="D35" s="24">
        <f t="shared" si="1"/>
        <v>237000</v>
      </c>
      <c r="E35" s="40">
        <f>5961+7662+3148</f>
        <v>16771</v>
      </c>
      <c r="F35" s="35"/>
      <c r="G35" s="27">
        <f>975+2997+654+1998</f>
        <v>6624</v>
      </c>
      <c r="H35" s="216">
        <f t="shared" si="2"/>
        <v>23395</v>
      </c>
      <c r="I35" s="57"/>
      <c r="J35" s="58"/>
      <c r="K35" s="59"/>
      <c r="L35" s="1"/>
      <c r="M35" s="1"/>
      <c r="N35" s="1"/>
      <c r="O35" s="1"/>
      <c r="P35" s="55">
        <v>44043</v>
      </c>
      <c r="Q35" s="115"/>
      <c r="R35" s="158"/>
      <c r="S35" s="147">
        <v>45000</v>
      </c>
      <c r="T35" s="158">
        <v>20000</v>
      </c>
      <c r="U35" s="147">
        <v>58000</v>
      </c>
      <c r="V35" s="158"/>
      <c r="W35" s="147">
        <v>18000</v>
      </c>
      <c r="X35" s="158"/>
      <c r="Y35" s="158"/>
      <c r="Z35" s="147">
        <v>26000</v>
      </c>
      <c r="AA35" s="158"/>
      <c r="AB35" s="147"/>
      <c r="AC35" s="158"/>
      <c r="AD35" s="147"/>
      <c r="AE35" s="158"/>
      <c r="AF35" s="147"/>
      <c r="AG35" s="158"/>
      <c r="AH35" s="147">
        <v>70000</v>
      </c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237000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酒屋（カード）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">
        <v>42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50000</v>
      </c>
      <c r="R36" s="115">
        <f t="shared" si="4"/>
        <v>80000</v>
      </c>
      <c r="S36" s="115">
        <f t="shared" si="4"/>
        <v>183500</v>
      </c>
      <c r="T36" s="115">
        <f t="shared" si="4"/>
        <v>60000</v>
      </c>
      <c r="U36" s="115">
        <f t="shared" si="4"/>
        <v>1344000</v>
      </c>
      <c r="V36" s="115">
        <f t="shared" si="4"/>
        <v>50000</v>
      </c>
      <c r="W36" s="115">
        <f t="shared" si="4"/>
        <v>1054000</v>
      </c>
      <c r="X36" s="115">
        <f t="shared" si="4"/>
        <v>50000</v>
      </c>
      <c r="Y36" s="115">
        <f t="shared" si="4"/>
        <v>224650</v>
      </c>
      <c r="Z36" s="115">
        <f t="shared" si="4"/>
        <v>336500</v>
      </c>
      <c r="AA36" s="115">
        <f t="shared" si="4"/>
        <v>0</v>
      </c>
      <c r="AB36" s="115">
        <f t="shared" si="4"/>
        <v>4000</v>
      </c>
      <c r="AC36" s="115">
        <f t="shared" si="4"/>
        <v>0</v>
      </c>
      <c r="AD36" s="115">
        <f t="shared" si="4"/>
        <v>30000</v>
      </c>
      <c r="AE36" s="115">
        <f t="shared" si="4"/>
        <v>0</v>
      </c>
      <c r="AF36" s="115">
        <f t="shared" si="4"/>
        <v>150000</v>
      </c>
      <c r="AG36" s="115">
        <f t="shared" si="4"/>
        <v>0</v>
      </c>
      <c r="AH36" s="115">
        <f t="shared" si="4"/>
        <v>917000</v>
      </c>
      <c r="AI36" s="115">
        <f t="shared" si="4"/>
        <v>0</v>
      </c>
      <c r="AJ36" s="115">
        <f t="shared" si="4"/>
        <v>62000</v>
      </c>
      <c r="AK36" s="115">
        <f t="shared" si="4"/>
        <v>0</v>
      </c>
      <c r="AL36" s="115">
        <f t="shared" si="4"/>
        <v>88000</v>
      </c>
      <c r="AM36" s="115">
        <f t="shared" si="4"/>
        <v>0</v>
      </c>
      <c r="AN36" s="115">
        <f t="shared" si="4"/>
        <v>4000</v>
      </c>
      <c r="AO36" s="115">
        <f t="shared" si="4"/>
        <v>24000</v>
      </c>
      <c r="AP36" s="115">
        <f t="shared" si="4"/>
        <v>6000</v>
      </c>
      <c r="AQ36" s="115">
        <f t="shared" si="4"/>
        <v>10000</v>
      </c>
      <c r="AR36" s="115">
        <f t="shared" si="4"/>
        <v>55000</v>
      </c>
      <c r="AS36" s="115">
        <f t="shared" si="4"/>
        <v>9000</v>
      </c>
      <c r="AT36" s="115">
        <f t="shared" si="4"/>
        <v>5000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>SUM(Q36:AW36)</f>
        <v>4796650</v>
      </c>
    </row>
    <row r="37" spans="1:50" ht="22" thickTop="1" thickBot="1">
      <c r="A37" s="81" t="s">
        <v>33</v>
      </c>
      <c r="B37" s="82">
        <f t="shared" ref="B37:I37" si="5">SUM(B5:B35)</f>
        <v>4056650</v>
      </c>
      <c r="C37" s="82">
        <f t="shared" si="5"/>
        <v>816000</v>
      </c>
      <c r="D37" s="82">
        <f t="shared" si="5"/>
        <v>4872650</v>
      </c>
      <c r="E37" s="83">
        <f t="shared" si="5"/>
        <v>464080</v>
      </c>
      <c r="F37" s="84">
        <f t="shared" si="5"/>
        <v>88671</v>
      </c>
      <c r="G37" s="84">
        <f t="shared" si="5"/>
        <v>50921</v>
      </c>
      <c r="H37" s="132">
        <f t="shared" si="5"/>
        <v>603672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17500</v>
      </c>
      <c r="R38" s="542">
        <f>R36*0.3</f>
        <v>24000</v>
      </c>
      <c r="S38" s="544">
        <f>S36*0.35</f>
        <v>64224.999999999993</v>
      </c>
      <c r="T38" s="544">
        <f>T36*0.3</f>
        <v>18000</v>
      </c>
      <c r="U38" s="532">
        <f>U36*0.4</f>
        <v>537600</v>
      </c>
      <c r="V38" s="532">
        <f>V36*0.3</f>
        <v>15000</v>
      </c>
      <c r="W38" s="534">
        <f>W36*0.4</f>
        <v>421600</v>
      </c>
      <c r="X38" s="534">
        <f>X36*0.3</f>
        <v>15000</v>
      </c>
      <c r="Y38" s="538">
        <v>0</v>
      </c>
      <c r="Z38" s="536">
        <f>Z36*0.35</f>
        <v>117774.99999999999</v>
      </c>
      <c r="AA38" s="530">
        <f>AA36*0.3</f>
        <v>0</v>
      </c>
      <c r="AB38" s="530">
        <f>AB36*0.35</f>
        <v>1400</v>
      </c>
      <c r="AC38" s="530">
        <f>AC36*0.3</f>
        <v>0</v>
      </c>
      <c r="AD38" s="530">
        <f>AD36*0.35</f>
        <v>10500</v>
      </c>
      <c r="AE38" s="530">
        <f>AE36*0.3</f>
        <v>0</v>
      </c>
      <c r="AF38" s="530">
        <f>AF36*0.35</f>
        <v>52500</v>
      </c>
      <c r="AG38" s="530">
        <f>AG36*0.3</f>
        <v>0</v>
      </c>
      <c r="AH38" s="530">
        <f>AH36*0.4</f>
        <v>366800</v>
      </c>
      <c r="AI38" s="530">
        <f>AI36*0.3</f>
        <v>0</v>
      </c>
      <c r="AJ38" s="530">
        <f>AJ36*0.35</f>
        <v>21700</v>
      </c>
      <c r="AK38" s="530">
        <f>AK36*0.3</f>
        <v>0</v>
      </c>
      <c r="AL38" s="530">
        <f>AL36*0.35</f>
        <v>30799.999999999996</v>
      </c>
      <c r="AM38" s="530">
        <f>AM36*0.3</f>
        <v>0</v>
      </c>
      <c r="AN38" s="536">
        <f t="shared" ref="AN38:AV38" si="6">AN36*0.35</f>
        <v>1400</v>
      </c>
      <c r="AO38" s="530">
        <f t="shared" si="6"/>
        <v>8400</v>
      </c>
      <c r="AP38" s="530">
        <f t="shared" si="6"/>
        <v>2100</v>
      </c>
      <c r="AQ38" s="530">
        <f t="shared" si="6"/>
        <v>3500</v>
      </c>
      <c r="AR38" s="530">
        <f t="shared" si="6"/>
        <v>19250</v>
      </c>
      <c r="AS38" s="530">
        <f t="shared" si="6"/>
        <v>3150</v>
      </c>
      <c r="AT38" s="530">
        <f t="shared" si="6"/>
        <v>1750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480">
        <f>SUM(Q38:AW38)</f>
        <v>1753950</v>
      </c>
    </row>
    <row r="39" spans="1:50">
      <c r="A39" s="475" t="s">
        <v>244</v>
      </c>
      <c r="B39" s="475" t="s">
        <v>245</v>
      </c>
      <c r="C39" s="1"/>
      <c r="D39" s="1"/>
      <c r="E39" s="2"/>
      <c r="F39" s="2"/>
      <c r="G39" s="378" t="s">
        <v>249</v>
      </c>
      <c r="H39" s="135">
        <f>B46-F37-G37</f>
        <v>408</v>
      </c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480"/>
    </row>
    <row r="40" spans="1:50">
      <c r="A40" s="306">
        <v>44378</v>
      </c>
      <c r="B40" s="135">
        <v>140000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306"/>
      <c r="B41" s="13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306"/>
      <c r="B42" s="13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306"/>
      <c r="B43" s="13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306"/>
      <c r="B44" s="13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297"/>
      <c r="B45" s="13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296" t="s">
        <v>246</v>
      </c>
      <c r="B46" s="135">
        <f>SUM(B40:B45)</f>
        <v>140000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</sheetData>
  <mergeCells count="77">
    <mergeCell ref="I3:I4"/>
    <mergeCell ref="A1:A2"/>
    <mergeCell ref="B1:B2"/>
    <mergeCell ref="A3:A4"/>
    <mergeCell ref="B3:D3"/>
    <mergeCell ref="E3:H3"/>
    <mergeCell ref="J3:J4"/>
    <mergeCell ref="P3:P4"/>
    <mergeCell ref="Q3:Q4"/>
    <mergeCell ref="R3:R4"/>
    <mergeCell ref="S3:S4"/>
    <mergeCell ref="AW3:AW4"/>
    <mergeCell ref="M10:N10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T38:T39"/>
    <mergeCell ref="AS3:AS4"/>
    <mergeCell ref="AT3:AT4"/>
    <mergeCell ref="AU3:AU4"/>
    <mergeCell ref="AV3:AV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T3:T4"/>
    <mergeCell ref="N11:N12"/>
    <mergeCell ref="P38:P39"/>
    <mergeCell ref="Q38:Q39"/>
    <mergeCell ref="R38:R39"/>
    <mergeCell ref="S38:S39"/>
    <mergeCell ref="AF38:AF39"/>
    <mergeCell ref="U38:U39"/>
    <mergeCell ref="V38:V39"/>
    <mergeCell ref="W38:W39"/>
    <mergeCell ref="X38:X39"/>
    <mergeCell ref="Y38:Y39"/>
    <mergeCell ref="Z38:Z39"/>
    <mergeCell ref="AA38:AA39"/>
    <mergeCell ref="AB38:AB39"/>
    <mergeCell ref="AC38:AC39"/>
    <mergeCell ref="AD38:AD39"/>
    <mergeCell ref="AE38:AE39"/>
    <mergeCell ref="AR38:AR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AO38:AO39"/>
    <mergeCell ref="AP38:AP39"/>
    <mergeCell ref="AQ38:AQ39"/>
    <mergeCell ref="AS38:AS39"/>
    <mergeCell ref="AT38:AT39"/>
    <mergeCell ref="AU38:AU39"/>
    <mergeCell ref="AV38:AV39"/>
    <mergeCell ref="AW38:AW39"/>
  </mergeCells>
  <phoneticPr fontId="7"/>
  <dataValidations count="2">
    <dataValidation type="list" allowBlank="1" showErrorMessage="1" sqref="Q3:Q4 AD3:AD4 S3:S4 U3:U4 AL3:AL4 AH3:AH4 Z3:Z4 AF3:AF4 AJ3:AJ4 W3:W4 AB3:AB4 AV3:AV4 AN3:AN4 AO3:AU3" xr:uid="{7F1DEF88-3733-6C4A-A686-652E5C77E875}">
      <formula1>名前</formula1>
    </dataValidation>
    <dataValidation allowBlank="1" showErrorMessage="1" sqref="R3:R4 AI3:AI4 T3:T4 AC3:AC4 AA3:AA4 AE3:AE4 AG3:AG4 AK3:AK4 AW3:AW4 V3:V4 AM3:AM4 X3:X4 Y3" xr:uid="{6D65CE2F-6820-F14E-92E8-8669DD5927A9}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57DE-4782-F140-B6A4-BB5DFE404C13}">
  <dimension ref="A1:AX51"/>
  <sheetViews>
    <sheetView topLeftCell="A15" zoomScaleNormal="159" workbookViewId="0">
      <selection activeCell="D28" sqref="D28"/>
    </sheetView>
  </sheetViews>
  <sheetFormatPr baseColWidth="10" defaultRowHeight="20"/>
  <cols>
    <col min="1" max="1" width="13.7109375" bestFit="1" customWidth="1"/>
  </cols>
  <sheetData>
    <row r="1" spans="1:50">
      <c r="A1" s="498">
        <v>2021</v>
      </c>
      <c r="B1" s="500">
        <v>8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302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297</v>
      </c>
      <c r="AC3" s="494">
        <v>0.3</v>
      </c>
      <c r="AD3" s="496" t="s">
        <v>293</v>
      </c>
      <c r="AE3" s="494">
        <v>0.3</v>
      </c>
      <c r="AF3" s="527" t="s">
        <v>296</v>
      </c>
      <c r="AG3" s="494">
        <v>0.3</v>
      </c>
      <c r="AH3" s="492" t="s">
        <v>262</v>
      </c>
      <c r="AI3" s="494">
        <v>0.3</v>
      </c>
      <c r="AJ3" s="496" t="s">
        <v>139</v>
      </c>
      <c r="AK3" s="494">
        <v>0.3</v>
      </c>
      <c r="AL3" s="496" t="s">
        <v>188</v>
      </c>
      <c r="AM3" s="523">
        <v>0.3</v>
      </c>
      <c r="AN3" s="496" t="s">
        <v>280</v>
      </c>
      <c r="AO3" s="520" t="s">
        <v>240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269</v>
      </c>
      <c r="F4" s="12" t="s">
        <v>299</v>
      </c>
      <c r="G4" s="13" t="s">
        <v>264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</row>
    <row r="5" spans="1:50">
      <c r="A5" s="21">
        <f t="shared" ref="A5:A35" si="0">IF(DAY(DATE($A$1,$B$1,ROW()-4))=ROW()-4,DATE($A$1,$B$1,ROW()-4),"")</f>
        <v>44409</v>
      </c>
      <c r="B5" s="23">
        <v>92000</v>
      </c>
      <c r="C5" s="23">
        <v>28000</v>
      </c>
      <c r="D5" s="24">
        <f t="shared" ref="D5:D35" si="1">SUM(B5:C5)</f>
        <v>120000</v>
      </c>
      <c r="E5" s="25">
        <f>5440+19100+15842+44512</f>
        <v>84894</v>
      </c>
      <c r="F5" s="26">
        <v>9174</v>
      </c>
      <c r="G5" s="27">
        <f>1988+2994</f>
        <v>4982</v>
      </c>
      <c r="H5" s="216">
        <f t="shared" ref="H5:H35" si="2">SUM(E5:G5)</f>
        <v>99050</v>
      </c>
      <c r="I5" s="320">
        <v>1000</v>
      </c>
      <c r="J5" s="28"/>
      <c r="K5" s="29"/>
      <c r="L5" s="1"/>
      <c r="M5" s="1"/>
      <c r="N5" s="1"/>
      <c r="O5" s="1"/>
      <c r="P5" s="55">
        <v>44409</v>
      </c>
      <c r="Q5" s="35"/>
      <c r="R5" s="138"/>
      <c r="S5" s="139"/>
      <c r="T5" s="138"/>
      <c r="U5" s="190">
        <v>64000</v>
      </c>
      <c r="V5" s="138"/>
      <c r="W5" s="141">
        <v>15000</v>
      </c>
      <c r="X5" s="138"/>
      <c r="Y5" s="166"/>
      <c r="Z5" s="142">
        <v>3000</v>
      </c>
      <c r="AA5" s="138"/>
      <c r="AB5" s="143">
        <v>38000</v>
      </c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120000</v>
      </c>
    </row>
    <row r="6" spans="1:50">
      <c r="A6" s="21">
        <f t="shared" si="0"/>
        <v>44410</v>
      </c>
      <c r="B6" s="38">
        <v>68000</v>
      </c>
      <c r="C6" s="23"/>
      <c r="D6" s="24">
        <f t="shared" si="1"/>
        <v>68000</v>
      </c>
      <c r="E6" s="40"/>
      <c r="F6" s="35"/>
      <c r="G6" s="27">
        <f>1428</f>
        <v>1428</v>
      </c>
      <c r="H6" s="216">
        <f t="shared" si="2"/>
        <v>1428</v>
      </c>
      <c r="I6" s="247"/>
      <c r="J6" s="41"/>
      <c r="K6" s="29"/>
      <c r="L6" s="1"/>
      <c r="M6" s="1"/>
      <c r="N6" s="1"/>
      <c r="O6" s="1"/>
      <c r="P6" s="55">
        <v>44410</v>
      </c>
      <c r="Q6" s="35"/>
      <c r="R6" s="138"/>
      <c r="S6" s="139"/>
      <c r="T6" s="138"/>
      <c r="U6" s="143">
        <v>25000</v>
      </c>
      <c r="V6" s="138"/>
      <c r="W6" s="147">
        <v>34000</v>
      </c>
      <c r="X6" s="138"/>
      <c r="Y6" s="166">
        <v>9000</v>
      </c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 t="shared" ref="AX6:AX36" si="3">SUM(Q6:AW6)</f>
        <v>68000</v>
      </c>
    </row>
    <row r="7" spans="1:50">
      <c r="A7" s="21">
        <f t="shared" si="0"/>
        <v>44411</v>
      </c>
      <c r="B7" s="38">
        <v>239000</v>
      </c>
      <c r="C7" s="23">
        <v>8000</v>
      </c>
      <c r="D7" s="24">
        <f t="shared" si="1"/>
        <v>247000</v>
      </c>
      <c r="E7" s="40">
        <v>4664</v>
      </c>
      <c r="F7" s="35"/>
      <c r="G7" s="27"/>
      <c r="H7" s="216">
        <f t="shared" si="2"/>
        <v>4664</v>
      </c>
      <c r="I7" s="247"/>
      <c r="J7" s="41"/>
      <c r="K7" s="29"/>
      <c r="L7" s="1"/>
      <c r="M7" s="1"/>
      <c r="N7" s="1"/>
      <c r="O7" s="1"/>
      <c r="P7" s="55">
        <v>44411</v>
      </c>
      <c r="Q7" s="35"/>
      <c r="R7" s="138"/>
      <c r="S7" s="139"/>
      <c r="T7" s="138"/>
      <c r="U7" s="143">
        <v>87000</v>
      </c>
      <c r="V7" s="138"/>
      <c r="W7" s="147">
        <v>88000</v>
      </c>
      <c r="X7" s="138"/>
      <c r="Y7" s="166">
        <v>2000</v>
      </c>
      <c r="Z7" s="142">
        <v>10000</v>
      </c>
      <c r="AA7" s="138"/>
      <c r="AB7" s="139"/>
      <c r="AC7" s="138"/>
      <c r="AD7" s="148"/>
      <c r="AE7" s="138"/>
      <c r="AF7" s="149"/>
      <c r="AG7" s="138"/>
      <c r="AH7" s="149">
        <v>60000</v>
      </c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si="3"/>
        <v>247000</v>
      </c>
    </row>
    <row r="8" spans="1:50">
      <c r="A8" s="21">
        <f t="shared" si="0"/>
        <v>44412</v>
      </c>
      <c r="B8" s="38">
        <v>95000</v>
      </c>
      <c r="C8" s="23"/>
      <c r="D8" s="24">
        <f t="shared" si="1"/>
        <v>95000</v>
      </c>
      <c r="E8" s="40">
        <f>13944+2580</f>
        <v>16524</v>
      </c>
      <c r="F8" s="35"/>
      <c r="G8" s="27">
        <f>2994+2994</f>
        <v>5988</v>
      </c>
      <c r="H8" s="216">
        <f t="shared" si="2"/>
        <v>22512</v>
      </c>
      <c r="I8" s="247"/>
      <c r="J8" s="41"/>
      <c r="K8" s="29"/>
      <c r="L8" s="1"/>
      <c r="M8" s="1"/>
      <c r="N8" s="1"/>
      <c r="O8" s="1"/>
      <c r="P8" s="55">
        <v>44412</v>
      </c>
      <c r="Q8" s="35"/>
      <c r="R8" s="138"/>
      <c r="S8" s="139"/>
      <c r="T8" s="138"/>
      <c r="U8" s="143">
        <v>55000</v>
      </c>
      <c r="V8" s="138"/>
      <c r="W8" s="147">
        <v>40000</v>
      </c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95000</v>
      </c>
    </row>
    <row r="9" spans="1:50">
      <c r="A9" s="21">
        <f t="shared" si="0"/>
        <v>44413</v>
      </c>
      <c r="B9" s="38">
        <v>73000</v>
      </c>
      <c r="C9" s="23">
        <f>9000+9000</f>
        <v>18000</v>
      </c>
      <c r="D9" s="24">
        <f t="shared" si="1"/>
        <v>91000</v>
      </c>
      <c r="E9" s="40">
        <f>20898+2720</f>
        <v>23618</v>
      </c>
      <c r="F9" s="35">
        <v>7007</v>
      </c>
      <c r="G9" s="27"/>
      <c r="H9" s="216">
        <f t="shared" si="2"/>
        <v>30625</v>
      </c>
      <c r="I9" s="247"/>
      <c r="J9" s="41"/>
      <c r="K9" s="29"/>
      <c r="L9" s="1"/>
      <c r="M9" s="1"/>
      <c r="N9" s="1"/>
      <c r="O9" s="1"/>
      <c r="P9" s="55">
        <v>44413</v>
      </c>
      <c r="Q9" s="35"/>
      <c r="R9" s="138"/>
      <c r="S9" s="139">
        <v>15000</v>
      </c>
      <c r="T9" s="138"/>
      <c r="U9" s="139">
        <v>31000</v>
      </c>
      <c r="V9" s="138"/>
      <c r="W9" s="152"/>
      <c r="X9" s="138"/>
      <c r="Y9" s="138">
        <v>18000</v>
      </c>
      <c r="Z9" s="139">
        <v>20000</v>
      </c>
      <c r="AA9" s="138"/>
      <c r="AB9" s="139"/>
      <c r="AC9" s="138"/>
      <c r="AD9" s="151"/>
      <c r="AE9" s="138"/>
      <c r="AF9" s="149"/>
      <c r="AG9" s="138"/>
      <c r="AH9" s="149">
        <v>7000</v>
      </c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91000</v>
      </c>
    </row>
    <row r="10" spans="1:50">
      <c r="A10" s="21">
        <f t="shared" si="0"/>
        <v>44414</v>
      </c>
      <c r="B10" s="38">
        <v>101000</v>
      </c>
      <c r="C10" s="23">
        <f>23000+12000+15000</f>
        <v>50000</v>
      </c>
      <c r="D10" s="24">
        <f t="shared" si="1"/>
        <v>151000</v>
      </c>
      <c r="E10" s="40"/>
      <c r="F10" s="35"/>
      <c r="G10" s="27">
        <v>327</v>
      </c>
      <c r="H10" s="216">
        <f t="shared" si="2"/>
        <v>327</v>
      </c>
      <c r="I10" s="247"/>
      <c r="J10" s="41"/>
      <c r="K10" s="29"/>
      <c r="L10" s="1"/>
      <c r="M10" s="516" t="s">
        <v>26</v>
      </c>
      <c r="N10" s="517"/>
      <c r="O10" s="1"/>
      <c r="P10" s="55">
        <v>44414</v>
      </c>
      <c r="Q10" s="35"/>
      <c r="R10" s="138"/>
      <c r="S10" s="139"/>
      <c r="T10" s="138"/>
      <c r="U10" s="139">
        <v>43000</v>
      </c>
      <c r="V10" s="138"/>
      <c r="W10" s="139">
        <v>36000</v>
      </c>
      <c r="X10" s="138"/>
      <c r="Y10" s="138"/>
      <c r="Z10" s="139">
        <v>33000</v>
      </c>
      <c r="AA10" s="138"/>
      <c r="AB10" s="139">
        <v>12000</v>
      </c>
      <c r="AC10" s="138"/>
      <c r="AD10" s="151"/>
      <c r="AE10" s="138"/>
      <c r="AF10" s="149"/>
      <c r="AG10" s="138"/>
      <c r="AH10" s="149">
        <v>27000</v>
      </c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151000</v>
      </c>
    </row>
    <row r="11" spans="1:50">
      <c r="A11" s="21">
        <f t="shared" si="0"/>
        <v>44415</v>
      </c>
      <c r="B11" s="38">
        <v>191000</v>
      </c>
      <c r="C11" s="23"/>
      <c r="D11" s="24">
        <f t="shared" si="1"/>
        <v>191000</v>
      </c>
      <c r="E11" s="40">
        <f>9292+1800+2448</f>
        <v>13540</v>
      </c>
      <c r="F11" s="35"/>
      <c r="G11" s="27"/>
      <c r="H11" s="216">
        <f t="shared" si="2"/>
        <v>13540</v>
      </c>
      <c r="I11" s="247"/>
      <c r="J11" s="41"/>
      <c r="K11" s="29"/>
      <c r="L11" s="1"/>
      <c r="M11" s="47" t="s">
        <v>27</v>
      </c>
      <c r="N11" s="518">
        <v>310000</v>
      </c>
      <c r="O11" s="1"/>
      <c r="P11" s="55">
        <v>44415</v>
      </c>
      <c r="Q11" s="35"/>
      <c r="R11" s="138"/>
      <c r="S11" s="139">
        <v>6000</v>
      </c>
      <c r="T11" s="138"/>
      <c r="U11" s="139">
        <v>79000</v>
      </c>
      <c r="V11" s="138"/>
      <c r="W11" s="139">
        <v>12000</v>
      </c>
      <c r="X11" s="138"/>
      <c r="Y11" s="138"/>
      <c r="Z11" s="139">
        <v>49000</v>
      </c>
      <c r="AA11" s="138"/>
      <c r="AB11" s="139"/>
      <c r="AC11" s="138"/>
      <c r="AD11" s="151"/>
      <c r="AE11" s="138"/>
      <c r="AF11" s="149"/>
      <c r="AG11" s="138"/>
      <c r="AH11" s="149">
        <v>45000</v>
      </c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191000</v>
      </c>
    </row>
    <row r="12" spans="1:50">
      <c r="A12" s="21">
        <f t="shared" si="0"/>
        <v>44416</v>
      </c>
      <c r="B12" s="38">
        <v>158000</v>
      </c>
      <c r="C12" s="23"/>
      <c r="D12" s="24">
        <f t="shared" si="1"/>
        <v>158000</v>
      </c>
      <c r="E12" s="40">
        <f>7714+13614</f>
        <v>21328</v>
      </c>
      <c r="F12" s="35"/>
      <c r="G12" s="27">
        <f>654+933</f>
        <v>1587</v>
      </c>
      <c r="H12" s="216">
        <f t="shared" si="2"/>
        <v>22915</v>
      </c>
      <c r="I12" s="247"/>
      <c r="J12" s="41"/>
      <c r="K12" s="29"/>
      <c r="L12" s="1"/>
      <c r="M12" s="47" t="s">
        <v>28</v>
      </c>
      <c r="N12" s="519"/>
      <c r="O12" s="1"/>
      <c r="P12" s="55">
        <v>44416</v>
      </c>
      <c r="Q12" s="35"/>
      <c r="R12" s="138"/>
      <c r="S12" s="139"/>
      <c r="T12" s="138"/>
      <c r="U12" s="139">
        <v>105000</v>
      </c>
      <c r="V12" s="138"/>
      <c r="W12" s="139">
        <v>53000</v>
      </c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158000</v>
      </c>
    </row>
    <row r="13" spans="1:50">
      <c r="A13" s="21">
        <f t="shared" si="0"/>
        <v>44417</v>
      </c>
      <c r="B13" s="38">
        <v>146000</v>
      </c>
      <c r="C13" s="23">
        <f>50000+10000</f>
        <v>60000</v>
      </c>
      <c r="D13" s="24">
        <f t="shared" si="1"/>
        <v>206000</v>
      </c>
      <c r="E13" s="40">
        <v>12060</v>
      </c>
      <c r="F13" s="35"/>
      <c r="G13" s="27">
        <f>2994+1998</f>
        <v>4992</v>
      </c>
      <c r="H13" s="216">
        <f t="shared" si="2"/>
        <v>17052</v>
      </c>
      <c r="I13" s="247"/>
      <c r="J13" s="41"/>
      <c r="K13" s="29"/>
      <c r="L13" s="1"/>
      <c r="M13" s="47" t="s">
        <v>29</v>
      </c>
      <c r="N13" s="35">
        <v>7000</v>
      </c>
      <c r="O13" s="1"/>
      <c r="P13" s="55">
        <v>44417</v>
      </c>
      <c r="Q13" s="35"/>
      <c r="R13" s="138"/>
      <c r="S13" s="139">
        <v>15000</v>
      </c>
      <c r="T13" s="138"/>
      <c r="U13" s="139">
        <v>105000</v>
      </c>
      <c r="V13" s="138">
        <v>40000</v>
      </c>
      <c r="W13" s="139">
        <v>28000</v>
      </c>
      <c r="X13" s="138"/>
      <c r="Y13" s="138"/>
      <c r="Z13" s="139">
        <v>18000</v>
      </c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206000</v>
      </c>
    </row>
    <row r="14" spans="1:50">
      <c r="A14" s="21">
        <f t="shared" si="0"/>
        <v>44418</v>
      </c>
      <c r="B14" s="38">
        <v>144000</v>
      </c>
      <c r="C14" s="23"/>
      <c r="D14" s="24">
        <f t="shared" si="1"/>
        <v>144000</v>
      </c>
      <c r="E14" s="40">
        <v>1620</v>
      </c>
      <c r="F14" s="44"/>
      <c r="G14" s="27">
        <v>1980</v>
      </c>
      <c r="H14" s="216">
        <f t="shared" si="2"/>
        <v>3600</v>
      </c>
      <c r="I14" s="247"/>
      <c r="J14" s="41"/>
      <c r="K14" s="29"/>
      <c r="L14" s="1"/>
      <c r="M14" s="47" t="s">
        <v>30</v>
      </c>
      <c r="N14" s="35">
        <v>4000</v>
      </c>
      <c r="O14" s="1"/>
      <c r="P14" s="55">
        <v>44418</v>
      </c>
      <c r="Q14" s="35"/>
      <c r="R14" s="138"/>
      <c r="S14" s="139">
        <v>10000</v>
      </c>
      <c r="T14" s="138"/>
      <c r="U14" s="139">
        <v>2000</v>
      </c>
      <c r="V14" s="138"/>
      <c r="W14" s="139">
        <v>49000</v>
      </c>
      <c r="X14" s="138"/>
      <c r="Y14" s="138">
        <v>23000</v>
      </c>
      <c r="Z14" s="139">
        <v>51000</v>
      </c>
      <c r="AA14" s="138"/>
      <c r="AB14" s="139">
        <v>9000</v>
      </c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144000</v>
      </c>
    </row>
    <row r="15" spans="1:50">
      <c r="A15" s="21">
        <f t="shared" si="0"/>
        <v>44419</v>
      </c>
      <c r="B15" s="38">
        <v>17000</v>
      </c>
      <c r="C15" s="23"/>
      <c r="D15" s="24">
        <f t="shared" si="1"/>
        <v>17000</v>
      </c>
      <c r="E15" s="40"/>
      <c r="F15" s="35"/>
      <c r="G15" s="27">
        <v>2994</v>
      </c>
      <c r="H15" s="216">
        <f t="shared" si="2"/>
        <v>2994</v>
      </c>
      <c r="I15" s="247"/>
      <c r="J15" s="41"/>
      <c r="K15" s="29"/>
      <c r="L15" s="1"/>
      <c r="M15" s="47" t="s">
        <v>31</v>
      </c>
      <c r="N15" s="35">
        <v>500000</v>
      </c>
      <c r="O15" s="1"/>
      <c r="P15" s="55">
        <v>44419</v>
      </c>
      <c r="Q15" s="35"/>
      <c r="R15" s="138"/>
      <c r="S15" s="139"/>
      <c r="T15" s="138"/>
      <c r="U15" s="139">
        <v>17000</v>
      </c>
      <c r="V15" s="138"/>
      <c r="W15" s="139"/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17000</v>
      </c>
    </row>
    <row r="16" spans="1:50">
      <c r="A16" s="21">
        <f t="shared" si="0"/>
        <v>44420</v>
      </c>
      <c r="B16" s="38">
        <v>143000</v>
      </c>
      <c r="C16" s="23"/>
      <c r="D16" s="24">
        <f t="shared" si="1"/>
        <v>143000</v>
      </c>
      <c r="E16" s="40">
        <f>2742+21934</f>
        <v>24676</v>
      </c>
      <c r="F16" s="35">
        <v>7007</v>
      </c>
      <c r="G16" s="27"/>
      <c r="H16" s="216">
        <f t="shared" si="2"/>
        <v>31683</v>
      </c>
      <c r="I16" s="247"/>
      <c r="J16" s="41"/>
      <c r="K16" s="29"/>
      <c r="L16" s="1"/>
      <c r="M16" s="47" t="s">
        <v>32</v>
      </c>
      <c r="N16" s="35">
        <v>45000</v>
      </c>
      <c r="O16" s="1"/>
      <c r="P16" s="55">
        <v>44420</v>
      </c>
      <c r="Q16" s="35"/>
      <c r="R16" s="138"/>
      <c r="S16" s="139"/>
      <c r="T16" s="138"/>
      <c r="U16" s="139">
        <v>72000</v>
      </c>
      <c r="V16" s="138"/>
      <c r="W16" s="139">
        <v>6000</v>
      </c>
      <c r="X16" s="138"/>
      <c r="Y16" s="138">
        <v>10000</v>
      </c>
      <c r="Z16" s="139">
        <v>15000</v>
      </c>
      <c r="AA16" s="138"/>
      <c r="AB16" s="139"/>
      <c r="AC16" s="138"/>
      <c r="AD16" s="151"/>
      <c r="AE16" s="138"/>
      <c r="AF16" s="149"/>
      <c r="AG16" s="138"/>
      <c r="AH16" s="149">
        <v>40000</v>
      </c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143000</v>
      </c>
    </row>
    <row r="17" spans="1:50">
      <c r="A17" s="21">
        <f t="shared" si="0"/>
        <v>44421</v>
      </c>
      <c r="B17" s="38">
        <v>79000</v>
      </c>
      <c r="C17" s="23">
        <v>15000</v>
      </c>
      <c r="D17" s="24">
        <f t="shared" si="1"/>
        <v>94000</v>
      </c>
      <c r="E17" s="40">
        <v>8190</v>
      </c>
      <c r="F17" s="35">
        <f>3729</f>
        <v>3729</v>
      </c>
      <c r="G17" s="27">
        <v>654</v>
      </c>
      <c r="H17" s="216">
        <f t="shared" si="2"/>
        <v>12573</v>
      </c>
      <c r="I17" s="247"/>
      <c r="J17" s="41"/>
      <c r="K17" s="29"/>
      <c r="L17" s="1"/>
      <c r="M17" s="47"/>
      <c r="N17" s="35"/>
      <c r="O17" s="1"/>
      <c r="P17" s="55">
        <v>44421</v>
      </c>
      <c r="Q17" s="35"/>
      <c r="R17" s="138"/>
      <c r="S17" s="139"/>
      <c r="T17" s="138"/>
      <c r="U17" s="139">
        <v>34000</v>
      </c>
      <c r="V17" s="138"/>
      <c r="W17" s="139">
        <v>28000</v>
      </c>
      <c r="X17" s="138"/>
      <c r="Y17" s="138">
        <v>29000</v>
      </c>
      <c r="Z17" s="139"/>
      <c r="AA17" s="138"/>
      <c r="AB17" s="139">
        <v>3000</v>
      </c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94000</v>
      </c>
    </row>
    <row r="18" spans="1:50">
      <c r="A18" s="21">
        <f t="shared" si="0"/>
        <v>44422</v>
      </c>
      <c r="B18" s="38">
        <v>154000</v>
      </c>
      <c r="C18" s="23"/>
      <c r="D18" s="24">
        <f t="shared" si="1"/>
        <v>154000</v>
      </c>
      <c r="E18" s="40">
        <f>8464+3590+9270</f>
        <v>21324</v>
      </c>
      <c r="F18" s="35"/>
      <c r="G18" s="27">
        <f>1083+1998</f>
        <v>3081</v>
      </c>
      <c r="H18" s="216">
        <f t="shared" si="2"/>
        <v>24405</v>
      </c>
      <c r="I18" s="247"/>
      <c r="J18" s="41"/>
      <c r="K18" s="29"/>
      <c r="L18" s="1"/>
      <c r="M18" s="47"/>
      <c r="N18" s="35"/>
      <c r="O18" s="1"/>
      <c r="P18" s="55">
        <v>44422</v>
      </c>
      <c r="Q18" s="35"/>
      <c r="R18" s="138"/>
      <c r="S18" s="139"/>
      <c r="T18" s="138"/>
      <c r="U18" s="139">
        <v>85000</v>
      </c>
      <c r="V18" s="138"/>
      <c r="W18" s="139">
        <v>56000</v>
      </c>
      <c r="X18" s="138"/>
      <c r="Y18" s="138"/>
      <c r="Z18" s="139">
        <v>13000</v>
      </c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154000</v>
      </c>
    </row>
    <row r="19" spans="1:50">
      <c r="A19" s="21">
        <f t="shared" si="0"/>
        <v>44423</v>
      </c>
      <c r="B19" s="38">
        <v>93000</v>
      </c>
      <c r="C19" s="23">
        <v>29500</v>
      </c>
      <c r="D19" s="24">
        <f t="shared" si="1"/>
        <v>122500</v>
      </c>
      <c r="E19" s="40">
        <f>14990+6852</f>
        <v>21842</v>
      </c>
      <c r="F19" s="35"/>
      <c r="G19" s="27">
        <v>2994</v>
      </c>
      <c r="H19" s="216">
        <f t="shared" si="2"/>
        <v>24836</v>
      </c>
      <c r="I19" s="247"/>
      <c r="J19" s="41"/>
      <c r="K19" s="29"/>
      <c r="L19" s="1"/>
      <c r="M19" s="49" t="s">
        <v>33</v>
      </c>
      <c r="N19" s="50">
        <f>SUM(N11:N18)</f>
        <v>866000</v>
      </c>
      <c r="O19" s="1"/>
      <c r="P19" s="55">
        <v>44423</v>
      </c>
      <c r="Q19" s="35"/>
      <c r="R19" s="138"/>
      <c r="S19" s="139"/>
      <c r="T19" s="138"/>
      <c r="U19" s="139">
        <v>58000</v>
      </c>
      <c r="V19" s="138"/>
      <c r="W19" s="139">
        <v>8000</v>
      </c>
      <c r="X19" s="138"/>
      <c r="Y19" s="138"/>
      <c r="Z19" s="139">
        <v>27000</v>
      </c>
      <c r="AA19" s="138"/>
      <c r="AB19" s="139"/>
      <c r="AC19" s="138"/>
      <c r="AD19" s="151"/>
      <c r="AE19" s="138"/>
      <c r="AF19" s="149"/>
      <c r="AG19" s="138"/>
      <c r="AH19" s="149"/>
      <c r="AI19" s="138"/>
      <c r="AJ19" s="149">
        <v>29500</v>
      </c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122500</v>
      </c>
    </row>
    <row r="20" spans="1:50">
      <c r="A20" s="21">
        <f t="shared" si="0"/>
        <v>44424</v>
      </c>
      <c r="B20" s="38">
        <v>39000</v>
      </c>
      <c r="C20" s="38"/>
      <c r="D20" s="24">
        <f t="shared" si="1"/>
        <v>39000</v>
      </c>
      <c r="E20" s="40"/>
      <c r="F20" s="35"/>
      <c r="G20" s="27"/>
      <c r="H20" s="216">
        <f t="shared" si="2"/>
        <v>0</v>
      </c>
      <c r="I20" s="247"/>
      <c r="J20" s="41"/>
      <c r="K20" s="29"/>
      <c r="L20" s="1"/>
      <c r="M20" s="51"/>
      <c r="N20" s="7"/>
      <c r="O20" s="1"/>
      <c r="P20" s="55">
        <v>44424</v>
      </c>
      <c r="Q20" s="35"/>
      <c r="R20" s="138"/>
      <c r="S20" s="139"/>
      <c r="T20" s="138"/>
      <c r="U20" s="139">
        <v>3000</v>
      </c>
      <c r="V20" s="138"/>
      <c r="W20" s="139">
        <v>18000</v>
      </c>
      <c r="X20" s="138"/>
      <c r="Y20" s="138">
        <v>6000</v>
      </c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>
        <v>12000</v>
      </c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39000</v>
      </c>
    </row>
    <row r="21" spans="1:50">
      <c r="A21" s="21">
        <f t="shared" si="0"/>
        <v>44425</v>
      </c>
      <c r="B21" s="38"/>
      <c r="C21" s="38"/>
      <c r="D21" s="24">
        <f t="shared" si="1"/>
        <v>0</v>
      </c>
      <c r="E21" s="40"/>
      <c r="F21" s="35"/>
      <c r="G21" s="27">
        <v>756</v>
      </c>
      <c r="H21" s="216">
        <f t="shared" si="2"/>
        <v>756</v>
      </c>
      <c r="I21" s="247"/>
      <c r="J21" s="41"/>
      <c r="K21" s="29"/>
      <c r="L21" s="1"/>
      <c r="M21" s="1"/>
      <c r="N21" s="1"/>
      <c r="O21" s="1"/>
      <c r="P21" s="55">
        <v>44425</v>
      </c>
      <c r="Q21" s="35"/>
      <c r="R21" s="138"/>
      <c r="S21" s="139"/>
      <c r="T21" s="138"/>
      <c r="U21" s="139"/>
      <c r="V21" s="138"/>
      <c r="W21" s="139"/>
      <c r="X21" s="138"/>
      <c r="Y21" s="138"/>
      <c r="Z21" s="139"/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0</v>
      </c>
    </row>
    <row r="22" spans="1:50">
      <c r="A22" s="21">
        <f t="shared" si="0"/>
        <v>44426</v>
      </c>
      <c r="B22" s="38">
        <v>152200</v>
      </c>
      <c r="C22" s="38"/>
      <c r="D22" s="24">
        <f t="shared" si="1"/>
        <v>152200</v>
      </c>
      <c r="E22" s="40"/>
      <c r="F22" s="35"/>
      <c r="G22" s="27"/>
      <c r="H22" s="216">
        <f t="shared" si="2"/>
        <v>0</v>
      </c>
      <c r="I22" s="247"/>
      <c r="J22" s="41"/>
      <c r="K22" s="29"/>
      <c r="L22" s="1"/>
      <c r="M22" s="1"/>
      <c r="N22" s="1"/>
      <c r="O22" s="1"/>
      <c r="P22" s="55">
        <v>44426</v>
      </c>
      <c r="Q22" s="35"/>
      <c r="R22" s="138"/>
      <c r="S22" s="139">
        <v>82200</v>
      </c>
      <c r="T22" s="138"/>
      <c r="U22" s="139">
        <v>20000</v>
      </c>
      <c r="V22" s="138"/>
      <c r="W22" s="139"/>
      <c r="X22" s="138"/>
      <c r="Y22" s="375"/>
      <c r="Z22" s="153"/>
      <c r="AA22" s="138"/>
      <c r="AB22" s="139">
        <v>50000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152200</v>
      </c>
    </row>
    <row r="23" spans="1:50">
      <c r="A23" s="21">
        <f t="shared" si="0"/>
        <v>44427</v>
      </c>
      <c r="B23" s="38">
        <v>115000</v>
      </c>
      <c r="C23" s="38"/>
      <c r="D23" s="24">
        <f t="shared" si="1"/>
        <v>115000</v>
      </c>
      <c r="E23" s="40">
        <f>26414</f>
        <v>26414</v>
      </c>
      <c r="F23" s="35"/>
      <c r="G23" s="27"/>
      <c r="H23" s="216">
        <f t="shared" si="2"/>
        <v>26414</v>
      </c>
      <c r="I23" s="247"/>
      <c r="J23" s="41"/>
      <c r="K23" s="29"/>
      <c r="L23" s="1"/>
      <c r="M23" s="1"/>
      <c r="N23" s="1"/>
      <c r="O23" s="1"/>
      <c r="P23" s="55">
        <v>44427</v>
      </c>
      <c r="Q23" s="35"/>
      <c r="R23" s="138"/>
      <c r="S23" s="139"/>
      <c r="T23" s="138"/>
      <c r="U23" s="139">
        <v>41000</v>
      </c>
      <c r="V23" s="138"/>
      <c r="W23" s="139">
        <v>12000</v>
      </c>
      <c r="X23" s="138"/>
      <c r="Y23" s="138"/>
      <c r="Z23" s="139">
        <v>52000</v>
      </c>
      <c r="AA23" s="138"/>
      <c r="AB23" s="139">
        <v>10000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115000</v>
      </c>
    </row>
    <row r="24" spans="1:50">
      <c r="A24" s="21">
        <f t="shared" si="0"/>
        <v>44428</v>
      </c>
      <c r="B24" s="38">
        <v>179000</v>
      </c>
      <c r="C24" s="38"/>
      <c r="D24" s="24">
        <f t="shared" si="1"/>
        <v>179000</v>
      </c>
      <c r="E24" s="40">
        <f>11480+19004+18230</f>
        <v>48714</v>
      </c>
      <c r="F24" s="35"/>
      <c r="G24" s="27">
        <f>654+1086</f>
        <v>1740</v>
      </c>
      <c r="H24" s="216">
        <f t="shared" si="2"/>
        <v>50454</v>
      </c>
      <c r="I24" s="247"/>
      <c r="J24" s="41"/>
      <c r="K24" s="29"/>
      <c r="L24" s="1"/>
      <c r="M24" s="53" t="s">
        <v>34</v>
      </c>
      <c r="N24" s="38">
        <f>D37</f>
        <v>4174700</v>
      </c>
      <c r="O24" s="1"/>
      <c r="P24" s="55">
        <v>44428</v>
      </c>
      <c r="Q24" s="35"/>
      <c r="R24" s="138"/>
      <c r="S24" s="139">
        <v>32000</v>
      </c>
      <c r="T24" s="138"/>
      <c r="U24" s="139">
        <v>15000</v>
      </c>
      <c r="V24" s="138"/>
      <c r="W24" s="139">
        <v>64000</v>
      </c>
      <c r="X24" s="138"/>
      <c r="Y24" s="138">
        <v>6000</v>
      </c>
      <c r="Z24" s="139"/>
      <c r="AA24" s="138"/>
      <c r="AB24" s="139">
        <v>10000</v>
      </c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>
        <v>40000</v>
      </c>
      <c r="AO24" s="138">
        <v>12000</v>
      </c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179000</v>
      </c>
    </row>
    <row r="25" spans="1:50">
      <c r="A25" s="21">
        <f t="shared" si="0"/>
        <v>44429</v>
      </c>
      <c r="B25" s="38">
        <v>139000</v>
      </c>
      <c r="C25" s="38">
        <v>60000</v>
      </c>
      <c r="D25" s="24">
        <f t="shared" si="1"/>
        <v>199000</v>
      </c>
      <c r="E25" s="40">
        <v>6284</v>
      </c>
      <c r="F25" s="35"/>
      <c r="G25" s="27">
        <v>2994</v>
      </c>
      <c r="H25" s="216">
        <f t="shared" si="2"/>
        <v>9278</v>
      </c>
      <c r="I25" s="247"/>
      <c r="J25" s="41"/>
      <c r="K25" s="29"/>
      <c r="L25" s="1"/>
      <c r="M25" s="53" t="s">
        <v>35</v>
      </c>
      <c r="N25" s="38">
        <f>H37</f>
        <v>543289</v>
      </c>
      <c r="O25" s="1"/>
      <c r="P25" s="55">
        <v>44429</v>
      </c>
      <c r="Q25" s="35"/>
      <c r="R25" s="138"/>
      <c r="S25" s="139"/>
      <c r="T25" s="138"/>
      <c r="U25" s="139">
        <v>51000</v>
      </c>
      <c r="V25" s="138"/>
      <c r="W25" s="139">
        <v>70000</v>
      </c>
      <c r="X25" s="138"/>
      <c r="Y25" s="138">
        <v>4000</v>
      </c>
      <c r="Z25" s="139">
        <v>45000</v>
      </c>
      <c r="AA25" s="138"/>
      <c r="AB25" s="139">
        <v>29000</v>
      </c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199000</v>
      </c>
    </row>
    <row r="26" spans="1:50">
      <c r="A26" s="21">
        <f t="shared" si="0"/>
        <v>44430</v>
      </c>
      <c r="B26" s="38">
        <v>118000</v>
      </c>
      <c r="C26" s="38">
        <f>16000+90000</f>
        <v>106000</v>
      </c>
      <c r="D26" s="24">
        <f t="shared" si="1"/>
        <v>224000</v>
      </c>
      <c r="E26" s="40">
        <v>12240</v>
      </c>
      <c r="F26" s="35"/>
      <c r="G26" s="27">
        <v>2997</v>
      </c>
      <c r="H26" s="216">
        <f t="shared" si="2"/>
        <v>15237</v>
      </c>
      <c r="I26" s="247"/>
      <c r="J26" s="41"/>
      <c r="K26" s="29"/>
      <c r="L26" s="1"/>
      <c r="M26" s="53" t="s">
        <v>36</v>
      </c>
      <c r="N26" s="38">
        <f>N19</f>
        <v>866000</v>
      </c>
      <c r="O26" s="1"/>
      <c r="P26" s="55">
        <v>44430</v>
      </c>
      <c r="Q26" s="35"/>
      <c r="R26" s="138"/>
      <c r="S26" s="139">
        <v>6000</v>
      </c>
      <c r="T26" s="138"/>
      <c r="U26" s="139">
        <v>4000</v>
      </c>
      <c r="V26" s="138"/>
      <c r="W26" s="139">
        <v>20000</v>
      </c>
      <c r="X26" s="138"/>
      <c r="Y26" s="138">
        <v>4000</v>
      </c>
      <c r="Z26" s="139">
        <v>31000</v>
      </c>
      <c r="AA26" s="138"/>
      <c r="AB26" s="139">
        <v>69000</v>
      </c>
      <c r="AC26" s="138"/>
      <c r="AD26" s="151"/>
      <c r="AE26" s="138"/>
      <c r="AF26" s="149"/>
      <c r="AG26" s="138"/>
      <c r="AH26" s="149">
        <v>45000</v>
      </c>
      <c r="AI26" s="138">
        <v>45000</v>
      </c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224000</v>
      </c>
    </row>
    <row r="27" spans="1:50">
      <c r="A27" s="21">
        <f t="shared" si="0"/>
        <v>44431</v>
      </c>
      <c r="B27" s="38">
        <v>86000</v>
      </c>
      <c r="C27" s="38"/>
      <c r="D27" s="24">
        <f t="shared" si="1"/>
        <v>86000</v>
      </c>
      <c r="E27" s="40">
        <v>16614</v>
      </c>
      <c r="F27" s="35"/>
      <c r="G27" s="27"/>
      <c r="H27" s="216">
        <f t="shared" si="2"/>
        <v>16614</v>
      </c>
      <c r="I27" s="247"/>
      <c r="J27" s="41"/>
      <c r="K27" s="29"/>
      <c r="L27" s="1"/>
      <c r="M27" s="60" t="s">
        <v>37</v>
      </c>
      <c r="N27" s="61">
        <f>IFERROR(N24-N25-N26, "")</f>
        <v>2765411</v>
      </c>
      <c r="O27" s="1"/>
      <c r="P27" s="55">
        <v>44431</v>
      </c>
      <c r="Q27" s="35"/>
      <c r="R27" s="138"/>
      <c r="S27" s="139"/>
      <c r="T27" s="138"/>
      <c r="U27" s="139">
        <v>34000</v>
      </c>
      <c r="V27" s="138"/>
      <c r="W27" s="139">
        <v>46000</v>
      </c>
      <c r="X27" s="138"/>
      <c r="Y27" s="138"/>
      <c r="Z27" s="139"/>
      <c r="AA27" s="138"/>
      <c r="AB27" s="139">
        <v>6000</v>
      </c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86000</v>
      </c>
    </row>
    <row r="28" spans="1:50">
      <c r="A28" s="21">
        <f t="shared" si="0"/>
        <v>44432</v>
      </c>
      <c r="B28" s="38">
        <v>81000</v>
      </c>
      <c r="C28" s="38"/>
      <c r="D28" s="24">
        <f t="shared" si="1"/>
        <v>81000</v>
      </c>
      <c r="E28" s="299"/>
      <c r="F28" s="35"/>
      <c r="G28" s="27"/>
      <c r="H28" s="216">
        <f t="shared" si="2"/>
        <v>0</v>
      </c>
      <c r="I28" s="247"/>
      <c r="J28" s="41"/>
      <c r="K28" s="29"/>
      <c r="L28" s="1"/>
      <c r="M28" s="1"/>
      <c r="N28" s="1"/>
      <c r="O28" s="1"/>
      <c r="P28" s="55">
        <v>44432</v>
      </c>
      <c r="Q28" s="35"/>
      <c r="R28" s="138"/>
      <c r="S28" s="139"/>
      <c r="T28" s="138"/>
      <c r="U28" s="139">
        <v>2000</v>
      </c>
      <c r="V28" s="138"/>
      <c r="W28" s="139">
        <v>5000</v>
      </c>
      <c r="X28" s="138"/>
      <c r="Y28" s="138"/>
      <c r="Z28" s="139">
        <v>5000</v>
      </c>
      <c r="AA28" s="138"/>
      <c r="AB28" s="139">
        <v>14000</v>
      </c>
      <c r="AC28" s="138"/>
      <c r="AD28" s="151"/>
      <c r="AE28" s="138"/>
      <c r="AF28" s="149"/>
      <c r="AG28" s="138"/>
      <c r="AH28" s="149">
        <v>55000</v>
      </c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81000</v>
      </c>
    </row>
    <row r="29" spans="1:50">
      <c r="A29" s="21">
        <f t="shared" si="0"/>
        <v>44433</v>
      </c>
      <c r="B29" s="38">
        <v>153000</v>
      </c>
      <c r="C29" s="38"/>
      <c r="D29" s="24">
        <f t="shared" si="1"/>
        <v>153000</v>
      </c>
      <c r="E29" s="40">
        <f>6562+22940</f>
        <v>29502</v>
      </c>
      <c r="F29" s="35"/>
      <c r="G29" s="27"/>
      <c r="H29" s="216">
        <f t="shared" si="2"/>
        <v>29502</v>
      </c>
      <c r="I29" s="247"/>
      <c r="J29" s="41"/>
      <c r="K29" s="29"/>
      <c r="L29" s="1"/>
      <c r="M29" s="1"/>
      <c r="N29" s="1"/>
      <c r="O29" s="1"/>
      <c r="P29" s="55">
        <v>44433</v>
      </c>
      <c r="Q29" s="35"/>
      <c r="R29" s="138"/>
      <c r="S29" s="139"/>
      <c r="T29" s="138"/>
      <c r="U29" s="139">
        <v>26000</v>
      </c>
      <c r="V29" s="138"/>
      <c r="W29" s="139">
        <v>44000</v>
      </c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>
        <v>28000</v>
      </c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98000</v>
      </c>
    </row>
    <row r="30" spans="1:50">
      <c r="A30" s="21">
        <f t="shared" si="0"/>
        <v>44434</v>
      </c>
      <c r="B30" s="38">
        <v>92000</v>
      </c>
      <c r="C30" s="38">
        <v>30000</v>
      </c>
      <c r="D30" s="24">
        <f t="shared" si="1"/>
        <v>122000</v>
      </c>
      <c r="E30" s="40"/>
      <c r="F30" s="35"/>
      <c r="G30" s="27">
        <v>327</v>
      </c>
      <c r="H30" s="216">
        <f t="shared" si="2"/>
        <v>327</v>
      </c>
      <c r="I30" s="247"/>
      <c r="J30" s="41"/>
      <c r="K30" s="29"/>
      <c r="L30" s="1"/>
      <c r="M30" s="1"/>
      <c r="N30" s="1"/>
      <c r="O30" s="1"/>
      <c r="P30" s="55">
        <v>44434</v>
      </c>
      <c r="Q30" s="35"/>
      <c r="R30" s="138"/>
      <c r="S30" s="139"/>
      <c r="T30" s="138"/>
      <c r="U30" s="139">
        <v>23000</v>
      </c>
      <c r="V30" s="138">
        <v>20000</v>
      </c>
      <c r="W30" s="139">
        <v>11000</v>
      </c>
      <c r="X30" s="138"/>
      <c r="Y30" s="138">
        <v>3000</v>
      </c>
      <c r="Z30" s="139"/>
      <c r="AA30" s="138"/>
      <c r="AB30" s="139"/>
      <c r="AC30" s="138"/>
      <c r="AD30" s="151">
        <v>43000</v>
      </c>
      <c r="AE30" s="138"/>
      <c r="AF30" s="149">
        <v>22000</v>
      </c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122000</v>
      </c>
    </row>
    <row r="31" spans="1:50">
      <c r="A31" s="21">
        <f t="shared" si="0"/>
        <v>44435</v>
      </c>
      <c r="B31" s="38">
        <v>55000</v>
      </c>
      <c r="C31" s="38"/>
      <c r="D31" s="24">
        <f t="shared" si="1"/>
        <v>55000</v>
      </c>
      <c r="E31" s="40">
        <f>7200+12200</f>
        <v>19400</v>
      </c>
      <c r="F31" s="35"/>
      <c r="G31" s="27">
        <v>781</v>
      </c>
      <c r="H31" s="216">
        <f t="shared" si="2"/>
        <v>20181</v>
      </c>
      <c r="I31" s="247"/>
      <c r="J31" s="41"/>
      <c r="K31" s="29"/>
      <c r="L31" s="1"/>
      <c r="M31" s="1"/>
      <c r="N31" s="1"/>
      <c r="O31" s="1"/>
      <c r="P31" s="55">
        <v>44435</v>
      </c>
      <c r="Q31" s="35"/>
      <c r="R31" s="138"/>
      <c r="S31" s="139"/>
      <c r="T31" s="138"/>
      <c r="U31" s="139">
        <v>12000</v>
      </c>
      <c r="V31" s="138"/>
      <c r="W31" s="139">
        <v>43000</v>
      </c>
      <c r="X31" s="138"/>
      <c r="Y31" s="138"/>
      <c r="Z31" s="139"/>
      <c r="AA31" s="138"/>
      <c r="AB31" s="139"/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55000</v>
      </c>
    </row>
    <row r="32" spans="1:50">
      <c r="A32" s="21">
        <f t="shared" si="0"/>
        <v>44436</v>
      </c>
      <c r="B32" s="38">
        <v>155000</v>
      </c>
      <c r="C32" s="38">
        <v>6000</v>
      </c>
      <c r="D32" s="24">
        <f t="shared" si="1"/>
        <v>161000</v>
      </c>
      <c r="E32" s="40">
        <f>1890+3500</f>
        <v>5390</v>
      </c>
      <c r="F32" s="35"/>
      <c r="G32" s="27">
        <v>978</v>
      </c>
      <c r="H32" s="216">
        <f t="shared" si="2"/>
        <v>6368</v>
      </c>
      <c r="I32" s="247"/>
      <c r="J32" s="41"/>
      <c r="K32" s="29"/>
      <c r="L32" s="1"/>
      <c r="M32" s="1"/>
      <c r="N32" s="1"/>
      <c r="O32" s="1"/>
      <c r="P32" s="55">
        <v>44436</v>
      </c>
      <c r="Q32" s="35"/>
      <c r="R32" s="138"/>
      <c r="S32" s="139"/>
      <c r="T32" s="138"/>
      <c r="U32" s="139">
        <v>36000</v>
      </c>
      <c r="V32" s="138"/>
      <c r="W32" s="139">
        <v>54000</v>
      </c>
      <c r="X32" s="138"/>
      <c r="Y32" s="138">
        <v>8000</v>
      </c>
      <c r="Z32" s="139">
        <v>24000</v>
      </c>
      <c r="AA32" s="138"/>
      <c r="AB32" s="139"/>
      <c r="AC32" s="138"/>
      <c r="AD32" s="151">
        <v>14000</v>
      </c>
      <c r="AE32" s="138"/>
      <c r="AF32" s="149"/>
      <c r="AG32" s="138"/>
      <c r="AH32" s="149">
        <v>25000</v>
      </c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161000</v>
      </c>
    </row>
    <row r="33" spans="1:50">
      <c r="A33" s="21">
        <f t="shared" si="0"/>
        <v>44437</v>
      </c>
      <c r="B33" s="38">
        <v>43000</v>
      </c>
      <c r="C33" s="38">
        <v>120000</v>
      </c>
      <c r="D33" s="24">
        <f t="shared" si="1"/>
        <v>163000</v>
      </c>
      <c r="E33" s="40">
        <f>5600+6364</f>
        <v>11964</v>
      </c>
      <c r="F33" s="35"/>
      <c r="G33" s="27">
        <v>2994</v>
      </c>
      <c r="H33" s="216">
        <f t="shared" si="2"/>
        <v>14958</v>
      </c>
      <c r="I33" s="247"/>
      <c r="J33" s="41"/>
      <c r="K33" s="29"/>
      <c r="L33" s="1"/>
      <c r="M33" s="1"/>
      <c r="N33" s="1"/>
      <c r="O33" s="1"/>
      <c r="P33" s="55">
        <v>44437</v>
      </c>
      <c r="Q33" s="56"/>
      <c r="R33" s="138"/>
      <c r="S33" s="139">
        <v>12000</v>
      </c>
      <c r="T33" s="138"/>
      <c r="U33" s="139">
        <v>4000</v>
      </c>
      <c r="V33" s="138"/>
      <c r="W33" s="139">
        <v>58000</v>
      </c>
      <c r="X33" s="138"/>
      <c r="Y33" s="138">
        <v>6000</v>
      </c>
      <c r="Z33" s="139"/>
      <c r="AA33" s="138"/>
      <c r="AB33" s="139">
        <v>13000</v>
      </c>
      <c r="AC33" s="138"/>
      <c r="AD33" s="151"/>
      <c r="AE33" s="138"/>
      <c r="AF33" s="149"/>
      <c r="AG33" s="138"/>
      <c r="AH33" s="149">
        <v>70000</v>
      </c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163000</v>
      </c>
    </row>
    <row r="34" spans="1:50">
      <c r="A34" s="21">
        <f t="shared" si="0"/>
        <v>44438</v>
      </c>
      <c r="B34" s="38">
        <v>70000</v>
      </c>
      <c r="C34" s="38"/>
      <c r="D34" s="24">
        <f t="shared" si="1"/>
        <v>70000</v>
      </c>
      <c r="E34" s="40"/>
      <c r="F34" s="35"/>
      <c r="G34" s="27">
        <v>2994</v>
      </c>
      <c r="H34" s="216">
        <f t="shared" si="2"/>
        <v>2994</v>
      </c>
      <c r="I34" s="247"/>
      <c r="J34" s="41"/>
      <c r="K34" s="29"/>
      <c r="L34" s="1"/>
      <c r="M34" s="1"/>
      <c r="N34" s="1"/>
      <c r="O34" s="1"/>
      <c r="P34" s="55">
        <v>44438</v>
      </c>
      <c r="Q34" s="137"/>
      <c r="R34" s="154"/>
      <c r="S34" s="155"/>
      <c r="T34" s="154"/>
      <c r="U34" s="155">
        <v>28000</v>
      </c>
      <c r="V34" s="154"/>
      <c r="W34" s="155"/>
      <c r="X34" s="154"/>
      <c r="Y34" s="154"/>
      <c r="Z34" s="155"/>
      <c r="AA34" s="154"/>
      <c r="AB34" s="155">
        <v>42000</v>
      </c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70000</v>
      </c>
    </row>
    <row r="35" spans="1:50" ht="21" thickBot="1">
      <c r="A35" s="21">
        <f t="shared" si="0"/>
        <v>44439</v>
      </c>
      <c r="B35" s="38">
        <v>214000</v>
      </c>
      <c r="C35" s="38">
        <v>160000</v>
      </c>
      <c r="D35" s="24">
        <f t="shared" si="1"/>
        <v>374000</v>
      </c>
      <c r="E35" s="40">
        <f>1740+2080+17840+5360+10982</f>
        <v>38002</v>
      </c>
      <c r="F35" s="35"/>
      <c r="G35" s="27"/>
      <c r="H35" s="216">
        <f t="shared" si="2"/>
        <v>38002</v>
      </c>
      <c r="I35" s="323"/>
      <c r="J35" s="58"/>
      <c r="K35" s="59"/>
      <c r="L35" s="1"/>
      <c r="M35" s="1"/>
      <c r="N35" s="1"/>
      <c r="O35" s="1"/>
      <c r="P35" s="55">
        <v>44439</v>
      </c>
      <c r="Q35" s="115"/>
      <c r="R35" s="158"/>
      <c r="S35" s="147"/>
      <c r="T35" s="158"/>
      <c r="U35" s="147">
        <v>22000</v>
      </c>
      <c r="V35" s="158"/>
      <c r="W35" s="147">
        <v>20000</v>
      </c>
      <c r="X35" s="158"/>
      <c r="Y35" s="158">
        <v>7000</v>
      </c>
      <c r="Z35" s="147">
        <v>39000</v>
      </c>
      <c r="AA35" s="158"/>
      <c r="AB35" s="147">
        <v>30000</v>
      </c>
      <c r="AC35" s="158"/>
      <c r="AD35" s="147">
        <v>96000</v>
      </c>
      <c r="AE35" s="158"/>
      <c r="AF35" s="147"/>
      <c r="AG35" s="158"/>
      <c r="AH35" s="147">
        <v>115000</v>
      </c>
      <c r="AI35" s="158">
        <v>45000</v>
      </c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374000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酒屋（カード）</v>
      </c>
      <c r="F36" s="69" t="str">
        <f>F4</f>
        <v>酒屋（現金）</v>
      </c>
      <c r="G36" s="70" t="str">
        <f>G4</f>
        <v>その他</v>
      </c>
      <c r="H36" s="71" t="s">
        <v>41</v>
      </c>
      <c r="I36" s="481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178200</v>
      </c>
      <c r="T36" s="115">
        <f t="shared" si="4"/>
        <v>0</v>
      </c>
      <c r="U36" s="115">
        <f t="shared" si="4"/>
        <v>1183000</v>
      </c>
      <c r="V36" s="115">
        <f t="shared" si="4"/>
        <v>60000</v>
      </c>
      <c r="W36" s="115">
        <f t="shared" si="4"/>
        <v>918000</v>
      </c>
      <c r="X36" s="115">
        <f t="shared" si="4"/>
        <v>0</v>
      </c>
      <c r="Y36" s="115">
        <f t="shared" si="4"/>
        <v>135000</v>
      </c>
      <c r="Z36" s="115">
        <f t="shared" si="4"/>
        <v>435000</v>
      </c>
      <c r="AA36" s="115">
        <f t="shared" si="4"/>
        <v>0</v>
      </c>
      <c r="AB36" s="115">
        <f t="shared" si="4"/>
        <v>335000</v>
      </c>
      <c r="AC36" s="115">
        <f t="shared" si="4"/>
        <v>0</v>
      </c>
      <c r="AD36" s="115">
        <f t="shared" si="4"/>
        <v>153000</v>
      </c>
      <c r="AE36" s="115">
        <f t="shared" si="4"/>
        <v>0</v>
      </c>
      <c r="AF36" s="115">
        <f t="shared" si="4"/>
        <v>22000</v>
      </c>
      <c r="AG36" s="115">
        <f t="shared" si="4"/>
        <v>0</v>
      </c>
      <c r="AH36" s="115">
        <f t="shared" si="4"/>
        <v>517000</v>
      </c>
      <c r="AI36" s="115">
        <f t="shared" si="4"/>
        <v>90000</v>
      </c>
      <c r="AJ36" s="115">
        <f t="shared" si="4"/>
        <v>29500</v>
      </c>
      <c r="AK36" s="115">
        <f t="shared" si="4"/>
        <v>0</v>
      </c>
      <c r="AL36" s="115">
        <f t="shared" si="4"/>
        <v>12000</v>
      </c>
      <c r="AM36" s="115">
        <f t="shared" si="4"/>
        <v>0</v>
      </c>
      <c r="AN36" s="115">
        <f t="shared" si="4"/>
        <v>40000</v>
      </c>
      <c r="AO36" s="115">
        <f t="shared" si="4"/>
        <v>12000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4119700</v>
      </c>
    </row>
    <row r="37" spans="1:50" ht="22" thickTop="1" thickBot="1">
      <c r="A37" s="81" t="s">
        <v>33</v>
      </c>
      <c r="B37" s="82">
        <f t="shared" ref="B37:I37" si="5">SUM(B5:B35)</f>
        <v>3484200</v>
      </c>
      <c r="C37" s="82">
        <f t="shared" si="5"/>
        <v>690500</v>
      </c>
      <c r="D37" s="82">
        <f t="shared" si="5"/>
        <v>4174700</v>
      </c>
      <c r="E37" s="83">
        <f t="shared" si="5"/>
        <v>468804</v>
      </c>
      <c r="F37" s="84">
        <f t="shared" si="5"/>
        <v>26917</v>
      </c>
      <c r="G37" s="84">
        <f t="shared" si="5"/>
        <v>47568</v>
      </c>
      <c r="H37" s="132">
        <f t="shared" si="5"/>
        <v>543289</v>
      </c>
      <c r="I37" s="86">
        <f t="shared" si="5"/>
        <v>1000</v>
      </c>
      <c r="J37" s="86">
        <f>IFERROR(32/I37, "")</f>
        <v>3.2000000000000001E-2</v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62369.999999999993</v>
      </c>
      <c r="T38" s="544">
        <f>T36*0.3</f>
        <v>0</v>
      </c>
      <c r="U38" s="532">
        <f>U36*0.4</f>
        <v>473200</v>
      </c>
      <c r="V38" s="532">
        <f>V36*0.3</f>
        <v>18000</v>
      </c>
      <c r="W38" s="534">
        <f>W36*0.4</f>
        <v>367200</v>
      </c>
      <c r="X38" s="534">
        <f>X36*0.3</f>
        <v>0</v>
      </c>
      <c r="Y38" s="538">
        <f>Y36</f>
        <v>135000</v>
      </c>
      <c r="Z38" s="536">
        <f>Z36*0.35</f>
        <v>152250</v>
      </c>
      <c r="AA38" s="530">
        <f>AA36*0.3</f>
        <v>0</v>
      </c>
      <c r="AB38" s="530">
        <f>AB36*0.35</f>
        <v>117249.99999999999</v>
      </c>
      <c r="AC38" s="530">
        <f>AC36*0.3</f>
        <v>0</v>
      </c>
      <c r="AD38" s="530">
        <f>AD36*0.35</f>
        <v>53550</v>
      </c>
      <c r="AE38" s="530">
        <f>AE36*0.3</f>
        <v>0</v>
      </c>
      <c r="AF38" s="530">
        <f>AF36*0.35</f>
        <v>7699.9999999999991</v>
      </c>
      <c r="AG38" s="530">
        <f>AG36*0.3</f>
        <v>0</v>
      </c>
      <c r="AH38" s="530">
        <f>AH36*0.35</f>
        <v>180950</v>
      </c>
      <c r="AI38" s="530">
        <f>AI36*0.3</f>
        <v>27000</v>
      </c>
      <c r="AJ38" s="530">
        <f>AJ36*0.35</f>
        <v>10325</v>
      </c>
      <c r="AK38" s="530">
        <f>AK36*0.3</f>
        <v>0</v>
      </c>
      <c r="AL38" s="530">
        <f>AL36*0.35</f>
        <v>4200</v>
      </c>
      <c r="AM38" s="530">
        <f>AM36*0.3</f>
        <v>0</v>
      </c>
      <c r="AN38" s="536">
        <f t="shared" ref="AN38:AV38" si="6">AN36*0.35</f>
        <v>14000</v>
      </c>
      <c r="AO38" s="530">
        <f t="shared" si="6"/>
        <v>4200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1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1"/>
      <c r="B40" s="552">
        <f>B1</f>
        <v>8</v>
      </c>
      <c r="C40" s="547"/>
      <c r="D40" s="548">
        <v>75000</v>
      </c>
      <c r="E40" s="549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1"/>
      <c r="B41" s="182"/>
      <c r="C41" s="1"/>
      <c r="D41" s="1"/>
      <c r="E41" s="372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1"/>
      <c r="B42" s="496" t="s">
        <v>307</v>
      </c>
      <c r="C42" s="496"/>
      <c r="D42" s="496" t="s">
        <v>308</v>
      </c>
      <c r="E42" s="4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546">
        <f>B37-D40</f>
        <v>3409200</v>
      </c>
      <c r="C43" s="547"/>
      <c r="D43" s="548">
        <f>D40-F37-G37</f>
        <v>515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</sheetData>
  <mergeCells count="85">
    <mergeCell ref="B40:C40"/>
    <mergeCell ref="D40:E40"/>
    <mergeCell ref="B42:C42"/>
    <mergeCell ref="D42:E42"/>
    <mergeCell ref="B43:C43"/>
    <mergeCell ref="D43:E43"/>
    <mergeCell ref="AS38:AS39"/>
    <mergeCell ref="AT38:AT39"/>
    <mergeCell ref="AU38:AU39"/>
    <mergeCell ref="AV38:AV39"/>
    <mergeCell ref="AW38:AW39"/>
    <mergeCell ref="B39:C39"/>
    <mergeCell ref="D39:E39"/>
    <mergeCell ref="AM38:AM39"/>
    <mergeCell ref="AN38:AN39"/>
    <mergeCell ref="AO38:AO39"/>
    <mergeCell ref="AA38:AA39"/>
    <mergeCell ref="AB38:AB39"/>
    <mergeCell ref="AC38:AC39"/>
    <mergeCell ref="AD38:AD39"/>
    <mergeCell ref="AE38:AE39"/>
    <mergeCell ref="AF38:AF39"/>
    <mergeCell ref="U38:U39"/>
    <mergeCell ref="V38:V39"/>
    <mergeCell ref="W38:W39"/>
    <mergeCell ref="X38:X39"/>
    <mergeCell ref="Y38:Y39"/>
    <mergeCell ref="AP38:AP39"/>
    <mergeCell ref="AQ38:AQ39"/>
    <mergeCell ref="AR38:AR39"/>
    <mergeCell ref="AG38:AG39"/>
    <mergeCell ref="AH38:AH39"/>
    <mergeCell ref="AI38:AI39"/>
    <mergeCell ref="AJ38:AJ39"/>
    <mergeCell ref="AK38:AK39"/>
    <mergeCell ref="AL38:AL39"/>
    <mergeCell ref="Z38:Z39"/>
    <mergeCell ref="N11:N12"/>
    <mergeCell ref="P38:P39"/>
    <mergeCell ref="Q38:Q39"/>
    <mergeCell ref="R38:R39"/>
    <mergeCell ref="S38:S39"/>
    <mergeCell ref="T38:T39"/>
    <mergeCell ref="AS3:AS4"/>
    <mergeCell ref="AT3:AT4"/>
    <mergeCell ref="AU3:AU4"/>
    <mergeCell ref="AV3:AV4"/>
    <mergeCell ref="AW3:AW4"/>
    <mergeCell ref="M10:N10"/>
    <mergeCell ref="AM3:AM4"/>
    <mergeCell ref="AN3:AN4"/>
    <mergeCell ref="AO3:AO4"/>
    <mergeCell ref="AP3:AP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AQ3:AQ4"/>
    <mergeCell ref="AR3:AR4"/>
    <mergeCell ref="AG3:AG4"/>
    <mergeCell ref="AH3:AH4"/>
    <mergeCell ref="AI3:AI4"/>
    <mergeCell ref="AJ3:AJ4"/>
    <mergeCell ref="AK3:AK4"/>
    <mergeCell ref="AL3:AL4"/>
    <mergeCell ref="Z3:Z4"/>
    <mergeCell ref="J3:J4"/>
    <mergeCell ref="P3:P4"/>
    <mergeCell ref="Q3:Q4"/>
    <mergeCell ref="R3:R4"/>
    <mergeCell ref="S3:S4"/>
    <mergeCell ref="T3:T4"/>
    <mergeCell ref="I3:I4"/>
    <mergeCell ref="A1:A2"/>
    <mergeCell ref="B1:B2"/>
    <mergeCell ref="A3:A4"/>
    <mergeCell ref="B3:D3"/>
    <mergeCell ref="E3:H3"/>
  </mergeCells>
  <phoneticPr fontId="7"/>
  <dataValidations count="2">
    <dataValidation type="list" allowBlank="1" showErrorMessage="1" sqref="Q3:Q4 AD3:AD4 S3:S4 U3:U4 AL3:AL4 AH3:AH4 Z3:Z4 AF3:AF4 AJ3:AJ4 W3:W4 AB3:AB4 AV3:AV4 AN3:AN4 AO3:AU3" xr:uid="{7E56F6BA-AD5F-244C-AE5B-ADFA8EF05D53}">
      <formula1>名前</formula1>
    </dataValidation>
    <dataValidation allowBlank="1" showErrorMessage="1" sqref="R3:R4 AI3:AI4 T3:T4 AC3:AC4 AA3:AA4 AE3:AE4 AG3:AG4 AK3:AK4 AW3:AW4 V3:V4 AM3:AM4 X3:X4 Y3" xr:uid="{23A45488-E712-1747-8F38-1BE26282D254}"/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4C6-B7E7-AF4E-9C31-294664AB1A4D}">
  <dimension ref="A1:AZ49"/>
  <sheetViews>
    <sheetView topLeftCell="A10" zoomScale="89" workbookViewId="0">
      <selection activeCell="E31" sqref="E31"/>
    </sheetView>
  </sheetViews>
  <sheetFormatPr baseColWidth="10" defaultRowHeight="20"/>
  <cols>
    <col min="1" max="1" width="13.7109375" bestFit="1" customWidth="1"/>
  </cols>
  <sheetData>
    <row r="1" spans="1:52">
      <c r="A1" s="498">
        <v>2021</v>
      </c>
      <c r="B1" s="500">
        <v>9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297</v>
      </c>
      <c r="AC3" s="494">
        <v>0.3</v>
      </c>
      <c r="AD3" s="496" t="s">
        <v>262</v>
      </c>
      <c r="AE3" s="494">
        <v>0.3</v>
      </c>
      <c r="AF3" s="527" t="s">
        <v>296</v>
      </c>
      <c r="AG3" s="494">
        <v>0.3</v>
      </c>
      <c r="AH3" s="492" t="s">
        <v>280</v>
      </c>
      <c r="AI3" s="494">
        <v>0.3</v>
      </c>
      <c r="AJ3" s="496" t="s">
        <v>240</v>
      </c>
      <c r="AK3" s="494">
        <v>0.3</v>
      </c>
      <c r="AL3" s="496" t="s">
        <v>300</v>
      </c>
      <c r="AM3" s="523">
        <v>0.3</v>
      </c>
      <c r="AN3" s="496" t="s">
        <v>77</v>
      </c>
      <c r="AO3" s="520" t="s">
        <v>248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  <c r="AY3" s="1"/>
      <c r="AZ3" s="1"/>
    </row>
    <row r="4" spans="1:52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  <c r="AY4" s="1"/>
      <c r="AZ4" s="1"/>
    </row>
    <row r="5" spans="1:52">
      <c r="A5" s="21">
        <f t="shared" ref="A5:A35" si="0">IF(DAY(DATE($A$1,$B$1,ROW()-4))=ROW()-4,DATE($A$1,$B$1,ROW()-4),"")</f>
        <v>44440</v>
      </c>
      <c r="B5" s="23">
        <v>141000</v>
      </c>
      <c r="C5" s="23">
        <v>40000</v>
      </c>
      <c r="D5" s="24">
        <f t="shared" ref="D5:D35" si="1">SUM(B5:C5)</f>
        <v>181000</v>
      </c>
      <c r="E5" s="25">
        <f>9600+13610+38212</f>
        <v>61422</v>
      </c>
      <c r="F5" s="26"/>
      <c r="G5" s="27">
        <f>654+2994+1324</f>
        <v>4972</v>
      </c>
      <c r="H5" s="216">
        <f t="shared" ref="H5:H35" si="2">SUM(E5:G5)</f>
        <v>66394</v>
      </c>
      <c r="I5" s="27"/>
      <c r="J5" s="28"/>
      <c r="K5" s="29"/>
      <c r="L5" s="1"/>
      <c r="M5" s="1"/>
      <c r="N5" s="1"/>
      <c r="O5" s="1"/>
      <c r="P5" s="55">
        <v>44440</v>
      </c>
      <c r="Q5" s="35"/>
      <c r="R5" s="138"/>
      <c r="S5" s="139"/>
      <c r="T5" s="138"/>
      <c r="U5" s="190">
        <v>68000</v>
      </c>
      <c r="V5" s="138"/>
      <c r="W5" s="141">
        <v>72000</v>
      </c>
      <c r="X5" s="138"/>
      <c r="Y5" s="166"/>
      <c r="Z5" s="142">
        <v>23000</v>
      </c>
      <c r="AA5" s="138"/>
      <c r="AB5" s="143">
        <v>18000</v>
      </c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181000</v>
      </c>
      <c r="AY5" s="1"/>
      <c r="AZ5" s="1"/>
    </row>
    <row r="6" spans="1:52">
      <c r="A6" s="21">
        <f t="shared" si="0"/>
        <v>44441</v>
      </c>
      <c r="B6" s="38">
        <v>55000</v>
      </c>
      <c r="C6" s="23"/>
      <c r="D6" s="24">
        <f t="shared" si="1"/>
        <v>55000</v>
      </c>
      <c r="E6" s="40"/>
      <c r="F6" s="35"/>
      <c r="G6" s="27"/>
      <c r="H6" s="216">
        <f t="shared" si="2"/>
        <v>0</v>
      </c>
      <c r="I6" s="35"/>
      <c r="J6" s="41"/>
      <c r="K6" s="29"/>
      <c r="L6" s="1"/>
      <c r="M6" s="1"/>
      <c r="N6" s="1"/>
      <c r="O6" s="1"/>
      <c r="P6" s="55">
        <v>44441</v>
      </c>
      <c r="Q6" s="35"/>
      <c r="R6" s="138"/>
      <c r="S6" s="139"/>
      <c r="T6" s="138"/>
      <c r="U6" s="143">
        <v>15000</v>
      </c>
      <c r="V6" s="138"/>
      <c r="W6" s="147">
        <v>10000</v>
      </c>
      <c r="X6" s="138"/>
      <c r="Y6" s="166">
        <v>2000</v>
      </c>
      <c r="Z6" s="142">
        <v>13000</v>
      </c>
      <c r="AA6" s="138"/>
      <c r="AB6" s="143">
        <v>15000</v>
      </c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55000</v>
      </c>
      <c r="AY6" s="1"/>
      <c r="AZ6" s="1"/>
    </row>
    <row r="7" spans="1:52">
      <c r="A7" s="21">
        <f t="shared" si="0"/>
        <v>44442</v>
      </c>
      <c r="B7" s="38">
        <v>85000</v>
      </c>
      <c r="C7" s="23">
        <f>5000+5000</f>
        <v>10000</v>
      </c>
      <c r="D7" s="24">
        <f t="shared" si="1"/>
        <v>95000</v>
      </c>
      <c r="E7" s="40">
        <f>1696+9612+1164</f>
        <v>12472</v>
      </c>
      <c r="F7" s="35">
        <v>7007</v>
      </c>
      <c r="G7" s="27"/>
      <c r="H7" s="216">
        <f t="shared" si="2"/>
        <v>19479</v>
      </c>
      <c r="I7" s="35"/>
      <c r="J7" s="41"/>
      <c r="K7" s="29"/>
      <c r="L7" s="1"/>
      <c r="M7" s="1"/>
      <c r="N7" s="1"/>
      <c r="O7" s="1"/>
      <c r="P7" s="55">
        <v>44442</v>
      </c>
      <c r="Q7" s="35"/>
      <c r="R7" s="138"/>
      <c r="S7" s="139">
        <v>5000</v>
      </c>
      <c r="T7" s="138"/>
      <c r="U7" s="143">
        <v>44000</v>
      </c>
      <c r="V7" s="138"/>
      <c r="W7" s="147">
        <v>7000</v>
      </c>
      <c r="X7" s="138"/>
      <c r="Y7" s="166">
        <v>16000</v>
      </c>
      <c r="Z7" s="142">
        <v>5000</v>
      </c>
      <c r="AA7" s="138"/>
      <c r="AB7" s="139">
        <v>18000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95000</v>
      </c>
      <c r="AY7" s="1"/>
      <c r="AZ7" s="1"/>
    </row>
    <row r="8" spans="1:52">
      <c r="A8" s="21">
        <f t="shared" si="0"/>
        <v>44443</v>
      </c>
      <c r="B8" s="38">
        <v>132000</v>
      </c>
      <c r="C8" s="23"/>
      <c r="D8" s="24">
        <f t="shared" si="1"/>
        <v>132000</v>
      </c>
      <c r="E8" s="40"/>
      <c r="F8" s="35"/>
      <c r="G8" s="27">
        <f>2994+6540</f>
        <v>9534</v>
      </c>
      <c r="H8" s="216">
        <f t="shared" si="2"/>
        <v>9534</v>
      </c>
      <c r="I8" s="35"/>
      <c r="J8" s="41"/>
      <c r="K8" s="29"/>
      <c r="L8" s="1"/>
      <c r="M8" s="1"/>
      <c r="N8" s="1"/>
      <c r="O8" s="1"/>
      <c r="P8" s="55">
        <v>44443</v>
      </c>
      <c r="Q8" s="35"/>
      <c r="R8" s="138"/>
      <c r="S8" s="139"/>
      <c r="T8" s="138"/>
      <c r="U8" s="143">
        <v>53000</v>
      </c>
      <c r="V8" s="138"/>
      <c r="W8" s="147">
        <v>2000</v>
      </c>
      <c r="X8" s="138"/>
      <c r="Y8" s="166"/>
      <c r="Z8" s="142">
        <v>5000</v>
      </c>
      <c r="AA8" s="138"/>
      <c r="AB8" s="139">
        <v>14000</v>
      </c>
      <c r="AC8" s="138"/>
      <c r="AD8" s="151">
        <v>58000</v>
      </c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132000</v>
      </c>
      <c r="AY8" s="1"/>
      <c r="AZ8" s="1"/>
    </row>
    <row r="9" spans="1:52">
      <c r="A9" s="21">
        <f t="shared" si="0"/>
        <v>44444</v>
      </c>
      <c r="B9" s="38">
        <v>98000</v>
      </c>
      <c r="C9" s="23">
        <v>50000</v>
      </c>
      <c r="D9" s="24">
        <f t="shared" si="1"/>
        <v>148000</v>
      </c>
      <c r="E9" s="40">
        <f>12850+17552+3052</f>
        <v>33454</v>
      </c>
      <c r="F9" s="35">
        <v>3828</v>
      </c>
      <c r="G9" s="27">
        <v>178</v>
      </c>
      <c r="H9" s="216">
        <f t="shared" si="2"/>
        <v>37460</v>
      </c>
      <c r="I9" s="35"/>
      <c r="J9" s="41"/>
      <c r="K9" s="29"/>
      <c r="L9" s="1"/>
      <c r="M9" s="1"/>
      <c r="N9" s="1"/>
      <c r="O9" s="1"/>
      <c r="P9" s="55">
        <v>44444</v>
      </c>
      <c r="Q9" s="35"/>
      <c r="R9" s="138"/>
      <c r="S9" s="139"/>
      <c r="T9" s="138"/>
      <c r="U9" s="139">
        <v>50000</v>
      </c>
      <c r="V9" s="138"/>
      <c r="W9" s="152">
        <v>41000</v>
      </c>
      <c r="X9" s="138"/>
      <c r="Y9" s="138"/>
      <c r="Z9" s="139"/>
      <c r="AA9" s="138"/>
      <c r="AB9" s="139"/>
      <c r="AC9" s="138"/>
      <c r="AD9" s="151">
        <v>50000</v>
      </c>
      <c r="AE9" s="138"/>
      <c r="AF9" s="149">
        <v>7000</v>
      </c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148000</v>
      </c>
      <c r="AY9" s="1"/>
      <c r="AZ9" s="1"/>
    </row>
    <row r="10" spans="1:52">
      <c r="A10" s="21">
        <f t="shared" si="0"/>
        <v>44445</v>
      </c>
      <c r="B10" s="38">
        <v>153000</v>
      </c>
      <c r="C10" s="23">
        <v>6000</v>
      </c>
      <c r="D10" s="24">
        <f t="shared" si="1"/>
        <v>159000</v>
      </c>
      <c r="E10" s="40">
        <f>6270+6800</f>
        <v>13070</v>
      </c>
      <c r="F10" s="35"/>
      <c r="G10" s="27">
        <f>654+1434</f>
        <v>2088</v>
      </c>
      <c r="H10" s="216">
        <f t="shared" si="2"/>
        <v>15158</v>
      </c>
      <c r="I10" s="35"/>
      <c r="J10" s="41"/>
      <c r="K10" s="29"/>
      <c r="L10" s="1"/>
      <c r="M10" s="516" t="s">
        <v>26</v>
      </c>
      <c r="N10" s="517"/>
      <c r="O10" s="1"/>
      <c r="P10" s="55">
        <v>44445</v>
      </c>
      <c r="Q10" s="35"/>
      <c r="R10" s="138"/>
      <c r="S10" s="139"/>
      <c r="T10" s="138"/>
      <c r="U10" s="139">
        <v>41000</v>
      </c>
      <c r="V10" s="138"/>
      <c r="W10" s="139">
        <v>62000</v>
      </c>
      <c r="X10" s="138"/>
      <c r="Y10" s="138">
        <v>11000</v>
      </c>
      <c r="Z10" s="139"/>
      <c r="AA10" s="138"/>
      <c r="AB10" s="139">
        <v>23000</v>
      </c>
      <c r="AC10" s="138"/>
      <c r="AD10" s="151"/>
      <c r="AE10" s="138"/>
      <c r="AF10" s="149">
        <v>22000</v>
      </c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159000</v>
      </c>
      <c r="AY10" s="1"/>
      <c r="AZ10" s="1"/>
    </row>
    <row r="11" spans="1:52">
      <c r="A11" s="21">
        <f t="shared" si="0"/>
        <v>44446</v>
      </c>
      <c r="B11" s="38">
        <v>29000</v>
      </c>
      <c r="C11" s="23">
        <v>60000</v>
      </c>
      <c r="D11" s="24">
        <f t="shared" si="1"/>
        <v>89000</v>
      </c>
      <c r="E11" s="40">
        <v>6864</v>
      </c>
      <c r="F11" s="35"/>
      <c r="G11" s="27">
        <v>2994</v>
      </c>
      <c r="H11" s="216">
        <f t="shared" si="2"/>
        <v>9858</v>
      </c>
      <c r="I11" s="35"/>
      <c r="J11" s="41"/>
      <c r="K11" s="29"/>
      <c r="L11" s="1"/>
      <c r="M11" s="47" t="s">
        <v>27</v>
      </c>
      <c r="N11" s="518">
        <v>310000</v>
      </c>
      <c r="O11" s="1"/>
      <c r="P11" s="55">
        <v>44446</v>
      </c>
      <c r="Q11" s="35"/>
      <c r="R11" s="138"/>
      <c r="S11" s="139"/>
      <c r="T11" s="138"/>
      <c r="U11" s="139">
        <v>17000</v>
      </c>
      <c r="V11" s="138"/>
      <c r="W11" s="139">
        <v>12000</v>
      </c>
      <c r="X11" s="138"/>
      <c r="Y11" s="138"/>
      <c r="Z11" s="139"/>
      <c r="AA11" s="138"/>
      <c r="AB11" s="139"/>
      <c r="AC11" s="138"/>
      <c r="AD11" s="151">
        <v>60000</v>
      </c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89000</v>
      </c>
      <c r="AY11" s="1"/>
      <c r="AZ11" s="1"/>
    </row>
    <row r="12" spans="1:52">
      <c r="A12" s="21">
        <f t="shared" si="0"/>
        <v>44447</v>
      </c>
      <c r="B12" s="38">
        <v>141000</v>
      </c>
      <c r="C12" s="23">
        <v>21000</v>
      </c>
      <c r="D12" s="24">
        <f t="shared" si="1"/>
        <v>162000</v>
      </c>
      <c r="E12" s="40"/>
      <c r="F12" s="35"/>
      <c r="G12" s="27">
        <v>447</v>
      </c>
      <c r="H12" s="216">
        <f t="shared" si="2"/>
        <v>447</v>
      </c>
      <c r="I12" s="35"/>
      <c r="J12" s="41"/>
      <c r="K12" s="29"/>
      <c r="L12" s="1"/>
      <c r="M12" s="47" t="s">
        <v>28</v>
      </c>
      <c r="N12" s="519"/>
      <c r="O12" s="1"/>
      <c r="P12" s="55">
        <v>44447</v>
      </c>
      <c r="Q12" s="35"/>
      <c r="R12" s="138"/>
      <c r="S12" s="139">
        <v>35000</v>
      </c>
      <c r="T12" s="138"/>
      <c r="U12" s="139">
        <v>20000</v>
      </c>
      <c r="V12" s="138"/>
      <c r="W12" s="139">
        <v>45000</v>
      </c>
      <c r="X12" s="138"/>
      <c r="Y12" s="138"/>
      <c r="Z12" s="139">
        <v>17000</v>
      </c>
      <c r="AA12" s="138"/>
      <c r="AB12" s="139">
        <v>13000</v>
      </c>
      <c r="AC12" s="138"/>
      <c r="AD12" s="151"/>
      <c r="AE12" s="138"/>
      <c r="AF12" s="149"/>
      <c r="AG12" s="138"/>
      <c r="AH12" s="149">
        <v>32000</v>
      </c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162000</v>
      </c>
      <c r="AY12" s="1"/>
      <c r="AZ12" s="1"/>
    </row>
    <row r="13" spans="1:52">
      <c r="A13" s="21">
        <f t="shared" si="0"/>
        <v>44448</v>
      </c>
      <c r="B13" s="38">
        <v>33000</v>
      </c>
      <c r="C13" s="23">
        <v>50000</v>
      </c>
      <c r="D13" s="24">
        <f t="shared" si="1"/>
        <v>83000</v>
      </c>
      <c r="E13" s="40">
        <f>20570+21600</f>
        <v>42170</v>
      </c>
      <c r="F13" s="35"/>
      <c r="G13" s="27"/>
      <c r="H13" s="216">
        <f t="shared" si="2"/>
        <v>42170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44448</v>
      </c>
      <c r="Q13" s="35"/>
      <c r="R13" s="138"/>
      <c r="S13" s="139"/>
      <c r="T13" s="138"/>
      <c r="U13" s="139">
        <v>28000</v>
      </c>
      <c r="V13" s="138"/>
      <c r="W13" s="139">
        <v>1000</v>
      </c>
      <c r="X13" s="138"/>
      <c r="Y13" s="138"/>
      <c r="Z13" s="139"/>
      <c r="AA13" s="138"/>
      <c r="AB13" s="139"/>
      <c r="AC13" s="138"/>
      <c r="AD13" s="151">
        <v>50000</v>
      </c>
      <c r="AE13" s="138"/>
      <c r="AF13" s="149"/>
      <c r="AG13" s="138"/>
      <c r="AH13" s="149"/>
      <c r="AI13" s="138"/>
      <c r="AJ13" s="149">
        <v>4000</v>
      </c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83000</v>
      </c>
      <c r="AY13" s="1"/>
      <c r="AZ13" s="1"/>
    </row>
    <row r="14" spans="1:52">
      <c r="A14" s="21">
        <f t="shared" si="0"/>
        <v>44449</v>
      </c>
      <c r="B14" s="38">
        <v>137000</v>
      </c>
      <c r="C14" s="23">
        <v>15000</v>
      </c>
      <c r="D14" s="24">
        <f t="shared" si="1"/>
        <v>152000</v>
      </c>
      <c r="E14" s="40">
        <f>7880+3276</f>
        <v>11156</v>
      </c>
      <c r="F14" s="44"/>
      <c r="G14" s="27">
        <f>654+220</f>
        <v>874</v>
      </c>
      <c r="H14" s="216">
        <f t="shared" si="2"/>
        <v>12030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44449</v>
      </c>
      <c r="Q14" s="35"/>
      <c r="R14" s="138"/>
      <c r="S14" s="139"/>
      <c r="T14" s="138"/>
      <c r="U14" s="139">
        <v>39000</v>
      </c>
      <c r="V14" s="138"/>
      <c r="W14" s="139">
        <v>49000</v>
      </c>
      <c r="X14" s="138"/>
      <c r="Y14" s="138">
        <v>6000</v>
      </c>
      <c r="Z14" s="139">
        <v>44000</v>
      </c>
      <c r="AA14" s="138"/>
      <c r="AB14" s="139"/>
      <c r="AC14" s="138"/>
      <c r="AD14" s="151">
        <v>4000</v>
      </c>
      <c r="AE14" s="138"/>
      <c r="AF14" s="149"/>
      <c r="AG14" s="138"/>
      <c r="AH14" s="149"/>
      <c r="AI14" s="138"/>
      <c r="AJ14" s="149"/>
      <c r="AK14" s="138"/>
      <c r="AL14" s="149">
        <v>10000</v>
      </c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152000</v>
      </c>
      <c r="AY14" s="1"/>
      <c r="AZ14" s="1"/>
    </row>
    <row r="15" spans="1:52">
      <c r="A15" s="21">
        <f t="shared" si="0"/>
        <v>44450</v>
      </c>
      <c r="B15" s="38">
        <v>116000</v>
      </c>
      <c r="C15" s="23">
        <v>12000</v>
      </c>
      <c r="D15" s="24">
        <f t="shared" si="1"/>
        <v>128000</v>
      </c>
      <c r="E15" s="40">
        <f>1420+1782</f>
        <v>3202</v>
      </c>
      <c r="F15" s="35">
        <v>10494</v>
      </c>
      <c r="G15" s="27">
        <v>1080</v>
      </c>
      <c r="H15" s="216">
        <f t="shared" si="2"/>
        <v>14776</v>
      </c>
      <c r="I15" s="35"/>
      <c r="J15" s="41"/>
      <c r="K15" s="29"/>
      <c r="L15" s="1"/>
      <c r="M15" s="47" t="s">
        <v>31</v>
      </c>
      <c r="N15" s="35">
        <v>450000</v>
      </c>
      <c r="O15" s="1"/>
      <c r="P15" s="55">
        <v>44450</v>
      </c>
      <c r="Q15" s="35"/>
      <c r="R15" s="138"/>
      <c r="S15" s="139"/>
      <c r="T15" s="138"/>
      <c r="U15" s="139">
        <v>128000</v>
      </c>
      <c r="V15" s="138"/>
      <c r="W15" s="139"/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128000</v>
      </c>
      <c r="AY15" s="1"/>
      <c r="AZ15" s="1"/>
    </row>
    <row r="16" spans="1:52" ht="19" customHeight="1">
      <c r="A16" s="21">
        <f t="shared" si="0"/>
        <v>44451</v>
      </c>
      <c r="B16" s="38">
        <v>122000</v>
      </c>
      <c r="C16" s="23">
        <v>65000</v>
      </c>
      <c r="D16" s="24">
        <f t="shared" si="1"/>
        <v>187000</v>
      </c>
      <c r="E16" s="40">
        <v>4394</v>
      </c>
      <c r="F16" s="35"/>
      <c r="G16" s="27"/>
      <c r="H16" s="216">
        <f t="shared" si="2"/>
        <v>4394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44451</v>
      </c>
      <c r="Q16" s="35"/>
      <c r="R16" s="138"/>
      <c r="S16" s="139"/>
      <c r="T16" s="138"/>
      <c r="U16" s="139">
        <v>80000</v>
      </c>
      <c r="V16" s="138"/>
      <c r="W16" s="139">
        <v>30000</v>
      </c>
      <c r="X16" s="138"/>
      <c r="Y16" s="138">
        <v>16000</v>
      </c>
      <c r="Z16" s="139">
        <v>32000</v>
      </c>
      <c r="AA16" s="138"/>
      <c r="AB16" s="139"/>
      <c r="AC16" s="138"/>
      <c r="AD16" s="151">
        <v>29000</v>
      </c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187000</v>
      </c>
      <c r="AY16" s="1"/>
      <c r="AZ16" s="1"/>
    </row>
    <row r="17" spans="1:52">
      <c r="A17" s="21">
        <f t="shared" si="0"/>
        <v>44452</v>
      </c>
      <c r="B17" s="38">
        <v>31000</v>
      </c>
      <c r="C17" s="23"/>
      <c r="D17" s="24">
        <f t="shared" si="1"/>
        <v>31000</v>
      </c>
      <c r="E17" s="40">
        <f>3260+18570</f>
        <v>21830</v>
      </c>
      <c r="F17" s="35"/>
      <c r="G17" s="27">
        <f>1848+739+1103+3657</f>
        <v>7347</v>
      </c>
      <c r="H17" s="216">
        <f t="shared" si="2"/>
        <v>29177</v>
      </c>
      <c r="I17" s="35"/>
      <c r="J17" s="41"/>
      <c r="K17" s="29"/>
      <c r="L17" s="1"/>
      <c r="M17" s="47"/>
      <c r="N17" s="35"/>
      <c r="O17" s="1"/>
      <c r="P17" s="55">
        <v>44452</v>
      </c>
      <c r="Q17" s="35"/>
      <c r="R17" s="138"/>
      <c r="S17" s="139"/>
      <c r="T17" s="138"/>
      <c r="U17" s="139"/>
      <c r="V17" s="138"/>
      <c r="W17" s="139">
        <v>19000</v>
      </c>
      <c r="X17" s="138"/>
      <c r="Y17" s="138"/>
      <c r="Z17" s="139"/>
      <c r="AA17" s="138"/>
      <c r="AB17" s="139"/>
      <c r="AC17" s="138"/>
      <c r="AD17" s="151">
        <v>12000</v>
      </c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31000</v>
      </c>
      <c r="AY17" s="1"/>
      <c r="AZ17" s="1"/>
    </row>
    <row r="18" spans="1:52">
      <c r="A18" s="21">
        <f t="shared" si="0"/>
        <v>44453</v>
      </c>
      <c r="B18" s="38">
        <v>37000</v>
      </c>
      <c r="C18" s="23"/>
      <c r="D18" s="24">
        <f t="shared" si="1"/>
        <v>37000</v>
      </c>
      <c r="E18" s="40">
        <v>6420</v>
      </c>
      <c r="F18" s="35"/>
      <c r="G18" s="27"/>
      <c r="H18" s="216">
        <f t="shared" si="2"/>
        <v>6420</v>
      </c>
      <c r="I18" s="35"/>
      <c r="J18" s="41"/>
      <c r="K18" s="29"/>
      <c r="L18" s="1"/>
      <c r="M18" s="47"/>
      <c r="N18" s="35"/>
      <c r="O18" s="1"/>
      <c r="P18" s="55">
        <v>44453</v>
      </c>
      <c r="Q18" s="35"/>
      <c r="R18" s="138"/>
      <c r="S18" s="139"/>
      <c r="T18" s="138"/>
      <c r="U18" s="139"/>
      <c r="V18" s="138"/>
      <c r="W18" s="139"/>
      <c r="X18" s="138"/>
      <c r="Y18" s="138"/>
      <c r="Z18" s="139">
        <v>14000</v>
      </c>
      <c r="AA18" s="138"/>
      <c r="AB18" s="139">
        <v>11000</v>
      </c>
      <c r="AC18" s="138"/>
      <c r="AD18" s="151">
        <v>12000</v>
      </c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37000</v>
      </c>
      <c r="AY18" s="1"/>
      <c r="AZ18" s="1"/>
    </row>
    <row r="19" spans="1:52">
      <c r="A19" s="21">
        <f t="shared" si="0"/>
        <v>44454</v>
      </c>
      <c r="B19" s="38">
        <v>161000</v>
      </c>
      <c r="C19" s="23"/>
      <c r="D19" s="24">
        <f t="shared" si="1"/>
        <v>161000</v>
      </c>
      <c r="E19" s="40"/>
      <c r="F19" s="35"/>
      <c r="G19" s="27"/>
      <c r="H19" s="216">
        <f t="shared" si="2"/>
        <v>0</v>
      </c>
      <c r="I19" s="35">
        <v>3000</v>
      </c>
      <c r="J19" s="41"/>
      <c r="K19" s="29"/>
      <c r="L19" s="1"/>
      <c r="M19" s="49" t="s">
        <v>33</v>
      </c>
      <c r="N19" s="50">
        <f>SUM(N11:N18)</f>
        <v>816000</v>
      </c>
      <c r="O19" s="1"/>
      <c r="P19" s="55">
        <v>44454</v>
      </c>
      <c r="Q19" s="35"/>
      <c r="R19" s="138"/>
      <c r="S19" s="139"/>
      <c r="T19" s="138"/>
      <c r="U19" s="139">
        <v>105000</v>
      </c>
      <c r="V19" s="138"/>
      <c r="W19" s="139">
        <v>4000</v>
      </c>
      <c r="X19" s="138"/>
      <c r="Y19" s="138"/>
      <c r="Z19" s="139">
        <v>10000</v>
      </c>
      <c r="AA19" s="138"/>
      <c r="AB19" s="139">
        <v>42000</v>
      </c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161000</v>
      </c>
      <c r="AY19" s="1"/>
      <c r="AZ19" s="1"/>
    </row>
    <row r="20" spans="1:52">
      <c r="A20" s="21">
        <f t="shared" si="0"/>
        <v>44455</v>
      </c>
      <c r="B20" s="38">
        <v>85000</v>
      </c>
      <c r="C20" s="38"/>
      <c r="D20" s="24">
        <f t="shared" si="1"/>
        <v>85000</v>
      </c>
      <c r="E20" s="40">
        <v>6974</v>
      </c>
      <c r="F20" s="35"/>
      <c r="G20" s="27"/>
      <c r="H20" s="216">
        <f t="shared" si="2"/>
        <v>6974</v>
      </c>
      <c r="I20" s="35"/>
      <c r="J20" s="41"/>
      <c r="K20" s="29"/>
      <c r="L20" s="1"/>
      <c r="M20" s="51"/>
      <c r="N20" s="7"/>
      <c r="O20" s="1"/>
      <c r="P20" s="55">
        <v>44455</v>
      </c>
      <c r="Q20" s="35"/>
      <c r="R20" s="138"/>
      <c r="S20" s="139"/>
      <c r="T20" s="138"/>
      <c r="U20" s="139">
        <v>20000</v>
      </c>
      <c r="V20" s="138"/>
      <c r="W20" s="139">
        <v>1000</v>
      </c>
      <c r="X20" s="138"/>
      <c r="Y20" s="138"/>
      <c r="Z20" s="139">
        <v>25000</v>
      </c>
      <c r="AA20" s="138"/>
      <c r="AB20" s="139">
        <v>33000</v>
      </c>
      <c r="AC20" s="138"/>
      <c r="AD20" s="151">
        <v>20000</v>
      </c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99000</v>
      </c>
      <c r="AY20" s="1"/>
      <c r="AZ20" s="1"/>
    </row>
    <row r="21" spans="1:52">
      <c r="A21" s="21">
        <f t="shared" si="0"/>
        <v>44456</v>
      </c>
      <c r="B21" s="38">
        <v>80000</v>
      </c>
      <c r="C21" s="38">
        <v>22000</v>
      </c>
      <c r="D21" s="24">
        <f t="shared" si="1"/>
        <v>102000</v>
      </c>
      <c r="E21" s="40">
        <v>13470</v>
      </c>
      <c r="F21" s="35"/>
      <c r="G21" s="27">
        <v>1750</v>
      </c>
      <c r="H21" s="216">
        <f t="shared" si="2"/>
        <v>15220</v>
      </c>
      <c r="I21" s="35"/>
      <c r="J21" s="41"/>
      <c r="K21" s="29"/>
      <c r="L21" s="1"/>
      <c r="M21" s="1"/>
      <c r="N21" s="1"/>
      <c r="O21" s="1"/>
      <c r="P21" s="55">
        <v>44456</v>
      </c>
      <c r="Q21" s="35"/>
      <c r="R21" s="138"/>
      <c r="S21" s="139"/>
      <c r="T21" s="138"/>
      <c r="U21" s="139">
        <v>13000</v>
      </c>
      <c r="V21" s="138"/>
      <c r="W21" s="139">
        <v>12000</v>
      </c>
      <c r="X21" s="138"/>
      <c r="Y21" s="138"/>
      <c r="Z21" s="139">
        <v>22000</v>
      </c>
      <c r="AA21" s="138"/>
      <c r="AB21" s="139">
        <v>20000</v>
      </c>
      <c r="AC21" s="138"/>
      <c r="AD21" s="151"/>
      <c r="AE21" s="138"/>
      <c r="AF21" s="149"/>
      <c r="AG21" s="138"/>
      <c r="AH21" s="149">
        <v>35000</v>
      </c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102000</v>
      </c>
      <c r="AY21" s="1"/>
      <c r="AZ21" s="1"/>
    </row>
    <row r="22" spans="1:52">
      <c r="A22" s="21">
        <f t="shared" si="0"/>
        <v>44457</v>
      </c>
      <c r="B22" s="38">
        <v>526000</v>
      </c>
      <c r="C22" s="38">
        <v>108000</v>
      </c>
      <c r="D22" s="24">
        <f t="shared" si="1"/>
        <v>634000</v>
      </c>
      <c r="E22" s="40">
        <f>5146+8400+10800+8260+18500</f>
        <v>51106</v>
      </c>
      <c r="F22" s="35">
        <f>9600+7007</f>
        <v>16607</v>
      </c>
      <c r="G22" s="27">
        <v>2994</v>
      </c>
      <c r="H22" s="216">
        <f t="shared" si="2"/>
        <v>70707</v>
      </c>
      <c r="I22" s="35"/>
      <c r="J22" s="41"/>
      <c r="K22" s="29"/>
      <c r="L22" s="1"/>
      <c r="M22" s="1"/>
      <c r="N22" s="1"/>
      <c r="O22" s="1"/>
      <c r="P22" s="55">
        <v>44457</v>
      </c>
      <c r="Q22" s="35">
        <v>235000</v>
      </c>
      <c r="R22" s="138">
        <v>85000</v>
      </c>
      <c r="S22" s="139"/>
      <c r="T22" s="138"/>
      <c r="U22" s="139">
        <v>31000</v>
      </c>
      <c r="V22" s="138"/>
      <c r="W22" s="139">
        <v>77000</v>
      </c>
      <c r="X22" s="138">
        <v>20000</v>
      </c>
      <c r="Y22" s="375">
        <v>105000</v>
      </c>
      <c r="Z22" s="153"/>
      <c r="AA22" s="138"/>
      <c r="AB22" s="139">
        <v>25000</v>
      </c>
      <c r="AC22" s="138"/>
      <c r="AD22" s="151">
        <v>40000</v>
      </c>
      <c r="AE22" s="138"/>
      <c r="AF22" s="139">
        <v>16000</v>
      </c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634000</v>
      </c>
      <c r="AY22" s="1"/>
      <c r="AZ22" s="1"/>
    </row>
    <row r="23" spans="1:52">
      <c r="A23" s="21">
        <f t="shared" si="0"/>
        <v>44458</v>
      </c>
      <c r="B23" s="38">
        <v>116000</v>
      </c>
      <c r="C23" s="38">
        <v>16000</v>
      </c>
      <c r="D23" s="24">
        <f t="shared" si="1"/>
        <v>132000</v>
      </c>
      <c r="E23" s="40">
        <f>20960+2400</f>
        <v>23360</v>
      </c>
      <c r="F23" s="35"/>
      <c r="G23" s="27">
        <f>654+2994</f>
        <v>3648</v>
      </c>
      <c r="H23" s="216">
        <f t="shared" si="2"/>
        <v>27008</v>
      </c>
      <c r="I23" s="35"/>
      <c r="J23" s="41"/>
      <c r="K23" s="29"/>
      <c r="L23" s="1"/>
      <c r="M23" s="1"/>
      <c r="N23" s="1"/>
      <c r="O23" s="1"/>
      <c r="P23" s="55">
        <v>44458</v>
      </c>
      <c r="Q23" s="35"/>
      <c r="R23" s="138"/>
      <c r="S23" s="139">
        <v>4000</v>
      </c>
      <c r="T23" s="138"/>
      <c r="U23" s="139">
        <v>30000</v>
      </c>
      <c r="V23" s="138"/>
      <c r="W23" s="139">
        <v>83000</v>
      </c>
      <c r="X23" s="138"/>
      <c r="Y23" s="138"/>
      <c r="Z23" s="139">
        <v>1000</v>
      </c>
      <c r="AA23" s="138"/>
      <c r="AB23" s="139">
        <v>14000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132000</v>
      </c>
      <c r="AY23" s="1"/>
      <c r="AZ23" s="1"/>
    </row>
    <row r="24" spans="1:52">
      <c r="A24" s="21">
        <f t="shared" si="0"/>
        <v>44459</v>
      </c>
      <c r="B24" s="38">
        <v>72000</v>
      </c>
      <c r="C24" s="38">
        <v>52000</v>
      </c>
      <c r="D24" s="24">
        <f t="shared" si="1"/>
        <v>124000</v>
      </c>
      <c r="E24" s="40">
        <v>15966</v>
      </c>
      <c r="F24" s="35"/>
      <c r="G24" s="27"/>
      <c r="H24" s="216">
        <f t="shared" si="2"/>
        <v>15966</v>
      </c>
      <c r="I24" s="35"/>
      <c r="J24" s="41"/>
      <c r="K24" s="29"/>
      <c r="L24" s="1"/>
      <c r="M24" s="53" t="s">
        <v>34</v>
      </c>
      <c r="N24" s="38">
        <f>D37</f>
        <v>3837000</v>
      </c>
      <c r="O24" s="1"/>
      <c r="P24" s="55">
        <v>44459</v>
      </c>
      <c r="Q24" s="35"/>
      <c r="R24" s="138"/>
      <c r="S24" s="139"/>
      <c r="T24" s="138"/>
      <c r="U24" s="139">
        <v>32000</v>
      </c>
      <c r="V24" s="138"/>
      <c r="W24" s="139">
        <v>32000</v>
      </c>
      <c r="X24" s="138"/>
      <c r="Y24" s="138"/>
      <c r="Z24" s="139"/>
      <c r="AA24" s="138"/>
      <c r="AB24" s="139"/>
      <c r="AC24" s="138"/>
      <c r="AD24" s="151">
        <v>60000</v>
      </c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124000</v>
      </c>
      <c r="AY24" s="1"/>
      <c r="AZ24" s="1"/>
    </row>
    <row r="25" spans="1:52">
      <c r="A25" s="21">
        <f t="shared" si="0"/>
        <v>44460</v>
      </c>
      <c r="B25" s="38">
        <v>52000</v>
      </c>
      <c r="C25" s="38">
        <v>12000</v>
      </c>
      <c r="D25" s="24">
        <f t="shared" si="1"/>
        <v>64000</v>
      </c>
      <c r="E25" s="40">
        <v>7300</v>
      </c>
      <c r="F25" s="35">
        <v>50600</v>
      </c>
      <c r="G25" s="27"/>
      <c r="H25" s="216">
        <f t="shared" si="2"/>
        <v>57900</v>
      </c>
      <c r="I25" s="35"/>
      <c r="J25" s="41"/>
      <c r="K25" s="29"/>
      <c r="L25" s="1"/>
      <c r="M25" s="53" t="s">
        <v>35</v>
      </c>
      <c r="N25" s="38">
        <f>H37</f>
        <v>515766</v>
      </c>
      <c r="O25" s="1"/>
      <c r="P25" s="55">
        <v>44460</v>
      </c>
      <c r="Q25" s="35"/>
      <c r="R25" s="138"/>
      <c r="S25" s="139"/>
      <c r="T25" s="138"/>
      <c r="U25" s="139">
        <v>12000</v>
      </c>
      <c r="V25" s="138"/>
      <c r="W25" s="139">
        <v>19000</v>
      </c>
      <c r="X25" s="138"/>
      <c r="Y25" s="138"/>
      <c r="Z25" s="139">
        <v>1000</v>
      </c>
      <c r="AA25" s="138"/>
      <c r="AB25" s="139"/>
      <c r="AC25" s="138"/>
      <c r="AD25" s="151">
        <v>32000</v>
      </c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64000</v>
      </c>
      <c r="AY25" s="1"/>
      <c r="AZ25" s="1"/>
    </row>
    <row r="26" spans="1:52">
      <c r="A26" s="21">
        <f t="shared" si="0"/>
        <v>44461</v>
      </c>
      <c r="B26" s="38">
        <v>53000</v>
      </c>
      <c r="C26" s="38">
        <v>63000</v>
      </c>
      <c r="D26" s="24">
        <f t="shared" si="1"/>
        <v>116000</v>
      </c>
      <c r="E26" s="40">
        <v>6852</v>
      </c>
      <c r="F26" s="35"/>
      <c r="G26" s="27"/>
      <c r="H26" s="216">
        <f t="shared" si="2"/>
        <v>6852</v>
      </c>
      <c r="I26" s="35">
        <v>1000</v>
      </c>
      <c r="J26" s="41"/>
      <c r="K26" s="29"/>
      <c r="L26" s="1"/>
      <c r="M26" s="53" t="s">
        <v>36</v>
      </c>
      <c r="N26" s="38">
        <f>N19</f>
        <v>816000</v>
      </c>
      <c r="O26" s="1"/>
      <c r="P26" s="55">
        <v>44461</v>
      </c>
      <c r="Q26" s="35"/>
      <c r="R26" s="138"/>
      <c r="S26" s="139"/>
      <c r="T26" s="138"/>
      <c r="U26" s="139">
        <v>53000</v>
      </c>
      <c r="V26" s="138"/>
      <c r="W26" s="139">
        <v>14000</v>
      </c>
      <c r="X26" s="138"/>
      <c r="Y26" s="138"/>
      <c r="Z26" s="139"/>
      <c r="AA26" s="138"/>
      <c r="AB26" s="139"/>
      <c r="AC26" s="138"/>
      <c r="AD26" s="151">
        <v>49000</v>
      </c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116000</v>
      </c>
      <c r="AY26" s="1"/>
      <c r="AZ26" s="1"/>
    </row>
    <row r="27" spans="1:52">
      <c r="A27" s="21">
        <f t="shared" si="0"/>
        <v>44462</v>
      </c>
      <c r="B27" s="38">
        <v>88000</v>
      </c>
      <c r="C27" s="38"/>
      <c r="D27" s="24">
        <v>88000</v>
      </c>
      <c r="E27" s="40">
        <v>1180</v>
      </c>
      <c r="F27" s="35"/>
      <c r="G27" s="27">
        <f>2994+1086</f>
        <v>4080</v>
      </c>
      <c r="H27" s="216">
        <f t="shared" si="2"/>
        <v>5260</v>
      </c>
      <c r="I27" s="35"/>
      <c r="J27" s="41"/>
      <c r="K27" s="29"/>
      <c r="L27" s="1"/>
      <c r="M27" s="60" t="s">
        <v>37</v>
      </c>
      <c r="N27" s="61">
        <f>IFERROR(N24-N25-N26, "")</f>
        <v>2505234</v>
      </c>
      <c r="O27" s="1"/>
      <c r="P27" s="55">
        <v>44462</v>
      </c>
      <c r="Q27" s="35"/>
      <c r="R27" s="138"/>
      <c r="S27" s="139"/>
      <c r="T27" s="138"/>
      <c r="U27" s="139">
        <v>57000</v>
      </c>
      <c r="V27" s="138"/>
      <c r="W27" s="139">
        <v>1000</v>
      </c>
      <c r="X27" s="138"/>
      <c r="Y27" s="138"/>
      <c r="Z27" s="139">
        <v>30000</v>
      </c>
      <c r="AA27" s="138"/>
      <c r="AB27" s="139"/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88000</v>
      </c>
      <c r="AY27" s="1"/>
      <c r="AZ27" s="1"/>
    </row>
    <row r="28" spans="1:52">
      <c r="A28" s="21">
        <f t="shared" si="0"/>
        <v>44463</v>
      </c>
      <c r="B28" s="38">
        <v>122000</v>
      </c>
      <c r="C28" s="38"/>
      <c r="D28" s="24">
        <v>122000</v>
      </c>
      <c r="E28" s="299">
        <f>9870+3612</f>
        <v>13482</v>
      </c>
      <c r="F28" s="35"/>
      <c r="G28" s="27"/>
      <c r="H28" s="216">
        <f t="shared" si="2"/>
        <v>13482</v>
      </c>
      <c r="I28" s="35"/>
      <c r="J28" s="41"/>
      <c r="K28" s="29"/>
      <c r="L28" s="1"/>
      <c r="M28" s="1"/>
      <c r="N28" s="1"/>
      <c r="O28" s="1"/>
      <c r="P28" s="55">
        <v>44463</v>
      </c>
      <c r="Q28" s="35"/>
      <c r="R28" s="138"/>
      <c r="S28" s="139"/>
      <c r="T28" s="138"/>
      <c r="U28" s="139">
        <v>14000</v>
      </c>
      <c r="V28" s="138"/>
      <c r="W28" s="139">
        <v>61000</v>
      </c>
      <c r="X28" s="138"/>
      <c r="Y28" s="138">
        <v>10000</v>
      </c>
      <c r="Z28" s="139">
        <v>3000</v>
      </c>
      <c r="AA28" s="138"/>
      <c r="AB28" s="139">
        <v>7000</v>
      </c>
      <c r="AC28" s="138"/>
      <c r="AD28" s="151">
        <v>27000</v>
      </c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122000</v>
      </c>
      <c r="AY28" s="1"/>
      <c r="AZ28" s="1"/>
    </row>
    <row r="29" spans="1:52">
      <c r="A29" s="21">
        <f t="shared" si="0"/>
        <v>44464</v>
      </c>
      <c r="B29" s="38">
        <v>90000</v>
      </c>
      <c r="C29" s="38">
        <v>27000</v>
      </c>
      <c r="D29" s="24">
        <v>117000</v>
      </c>
      <c r="E29" s="40">
        <v>6982</v>
      </c>
      <c r="F29" s="35"/>
      <c r="G29" s="27"/>
      <c r="H29" s="216">
        <f t="shared" si="2"/>
        <v>6982</v>
      </c>
      <c r="I29" s="35">
        <v>1000</v>
      </c>
      <c r="J29" s="41"/>
      <c r="K29" s="29"/>
      <c r="L29" s="1"/>
      <c r="M29" s="1"/>
      <c r="N29" s="1"/>
      <c r="O29" s="1"/>
      <c r="P29" s="55">
        <v>44464</v>
      </c>
      <c r="Q29" s="35"/>
      <c r="R29" s="138"/>
      <c r="S29" s="139"/>
      <c r="T29" s="138"/>
      <c r="U29" s="139">
        <v>50000</v>
      </c>
      <c r="V29" s="138"/>
      <c r="W29" s="139">
        <v>30000</v>
      </c>
      <c r="X29" s="138"/>
      <c r="Y29" s="138"/>
      <c r="Z29" s="139">
        <v>12000</v>
      </c>
      <c r="AA29" s="138"/>
      <c r="AB29" s="139"/>
      <c r="AC29" s="138"/>
      <c r="AD29" s="151">
        <v>25000</v>
      </c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117000</v>
      </c>
      <c r="AY29" s="1"/>
      <c r="AZ29" s="1"/>
    </row>
    <row r="30" spans="1:52">
      <c r="A30" s="21">
        <f t="shared" si="0"/>
        <v>44465</v>
      </c>
      <c r="B30" s="38">
        <v>113000</v>
      </c>
      <c r="C30" s="38"/>
      <c r="D30" s="24">
        <f t="shared" si="1"/>
        <v>113000</v>
      </c>
      <c r="E30" s="40"/>
      <c r="F30" s="35"/>
      <c r="G30" s="27">
        <v>654</v>
      </c>
      <c r="H30" s="216">
        <f t="shared" si="2"/>
        <v>654</v>
      </c>
      <c r="I30" s="35"/>
      <c r="J30" s="41"/>
      <c r="K30" s="29"/>
      <c r="L30" s="1"/>
      <c r="M30" s="1"/>
      <c r="N30" s="1"/>
      <c r="O30" s="1"/>
      <c r="P30" s="55">
        <v>44465</v>
      </c>
      <c r="Q30" s="35">
        <v>52000</v>
      </c>
      <c r="R30" s="138"/>
      <c r="S30" s="139">
        <v>6000</v>
      </c>
      <c r="T30" s="138"/>
      <c r="U30" s="139">
        <v>52000</v>
      </c>
      <c r="V30" s="138"/>
      <c r="W30" s="139"/>
      <c r="X30" s="138"/>
      <c r="Y30" s="138">
        <v>3000</v>
      </c>
      <c r="Z30" s="139"/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113000</v>
      </c>
      <c r="AY30" s="1"/>
      <c r="AZ30" s="1"/>
    </row>
    <row r="31" spans="1:52">
      <c r="A31" s="21">
        <f t="shared" si="0"/>
        <v>44466</v>
      </c>
      <c r="B31" s="38">
        <v>172000</v>
      </c>
      <c r="C31" s="38">
        <v>15000</v>
      </c>
      <c r="D31" s="24">
        <f t="shared" si="1"/>
        <v>187000</v>
      </c>
      <c r="E31" s="40">
        <f>3500+6270+3900</f>
        <v>13670</v>
      </c>
      <c r="F31" s="35"/>
      <c r="G31" s="27">
        <v>2994</v>
      </c>
      <c r="H31" s="216">
        <f t="shared" si="2"/>
        <v>16664</v>
      </c>
      <c r="I31" s="35"/>
      <c r="J31" s="41"/>
      <c r="K31" s="29"/>
      <c r="L31" s="1"/>
      <c r="M31" s="1"/>
      <c r="N31" s="1"/>
      <c r="O31" s="1"/>
      <c r="P31" s="55">
        <v>44466</v>
      </c>
      <c r="Q31" s="35"/>
      <c r="R31" s="138"/>
      <c r="S31" s="139"/>
      <c r="T31" s="138"/>
      <c r="U31" s="139">
        <v>1000</v>
      </c>
      <c r="V31" s="138"/>
      <c r="W31" s="139">
        <v>95000</v>
      </c>
      <c r="X31" s="138">
        <v>55000</v>
      </c>
      <c r="Y31" s="138"/>
      <c r="Z31" s="139"/>
      <c r="AA31" s="138"/>
      <c r="AB31" s="139">
        <v>6000</v>
      </c>
      <c r="AC31" s="138"/>
      <c r="AD31" s="151">
        <v>15000</v>
      </c>
      <c r="AE31" s="138"/>
      <c r="AF31" s="149"/>
      <c r="AG31" s="138"/>
      <c r="AH31" s="149"/>
      <c r="AI31" s="138"/>
      <c r="AJ31" s="149"/>
      <c r="AK31" s="138"/>
      <c r="AL31" s="149"/>
      <c r="AM31" s="138"/>
      <c r="AN31" s="138">
        <v>8000</v>
      </c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180000</v>
      </c>
      <c r="AY31" s="1"/>
      <c r="AZ31" s="1"/>
    </row>
    <row r="32" spans="1:52">
      <c r="A32" s="21">
        <f t="shared" si="0"/>
        <v>44467</v>
      </c>
      <c r="B32" s="38">
        <v>39000</v>
      </c>
      <c r="C32" s="38">
        <v>50000</v>
      </c>
      <c r="D32" s="24">
        <f t="shared" si="1"/>
        <v>89000</v>
      </c>
      <c r="E32" s="40"/>
      <c r="F32" s="35"/>
      <c r="G32" s="27"/>
      <c r="H32" s="216">
        <f t="shared" si="2"/>
        <v>0</v>
      </c>
      <c r="I32" s="35"/>
      <c r="J32" s="41"/>
      <c r="K32" s="29"/>
      <c r="L32" s="1"/>
      <c r="M32" s="1"/>
      <c r="N32" s="1"/>
      <c r="O32" s="1"/>
      <c r="P32" s="55">
        <v>44467</v>
      </c>
      <c r="Q32" s="35"/>
      <c r="R32" s="138"/>
      <c r="S32" s="139">
        <v>2000</v>
      </c>
      <c r="T32" s="138"/>
      <c r="U32" s="139">
        <v>10000</v>
      </c>
      <c r="V32" s="138"/>
      <c r="W32" s="139">
        <v>27000</v>
      </c>
      <c r="X32" s="138"/>
      <c r="Y32" s="138"/>
      <c r="Z32" s="139"/>
      <c r="AA32" s="138"/>
      <c r="AB32" s="139"/>
      <c r="AC32" s="138"/>
      <c r="AD32" s="151">
        <v>50000</v>
      </c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89000</v>
      </c>
      <c r="AY32" s="1"/>
      <c r="AZ32" s="1"/>
    </row>
    <row r="33" spans="1:52">
      <c r="A33" s="21">
        <f t="shared" si="0"/>
        <v>44468</v>
      </c>
      <c r="B33" s="38">
        <v>3000</v>
      </c>
      <c r="C33" s="38"/>
      <c r="D33" s="24">
        <f t="shared" si="1"/>
        <v>3000</v>
      </c>
      <c r="E33" s="40"/>
      <c r="F33" s="35"/>
      <c r="G33" s="27"/>
      <c r="H33" s="216">
        <f t="shared" si="2"/>
        <v>0</v>
      </c>
      <c r="I33" s="35"/>
      <c r="J33" s="41"/>
      <c r="K33" s="29"/>
      <c r="L33" s="1"/>
      <c r="M33" s="1"/>
      <c r="N33" s="1"/>
      <c r="O33" s="1"/>
      <c r="P33" s="55">
        <v>44468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>
        <v>3000</v>
      </c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3000</v>
      </c>
      <c r="AY33" s="1"/>
      <c r="AZ33" s="1"/>
    </row>
    <row r="34" spans="1:52">
      <c r="A34" s="21">
        <f t="shared" si="0"/>
        <v>44469</v>
      </c>
      <c r="B34" s="38">
        <v>61000</v>
      </c>
      <c r="C34" s="38"/>
      <c r="D34" s="24">
        <f t="shared" si="1"/>
        <v>61000</v>
      </c>
      <c r="E34" s="40">
        <v>4800</v>
      </c>
      <c r="F34" s="35"/>
      <c r="G34" s="27"/>
      <c r="H34" s="216">
        <f t="shared" si="2"/>
        <v>4800</v>
      </c>
      <c r="I34" s="35"/>
      <c r="J34" s="41"/>
      <c r="K34" s="29"/>
      <c r="L34" s="1"/>
      <c r="M34" s="1"/>
      <c r="N34" s="1"/>
      <c r="O34" s="1"/>
      <c r="P34" s="55">
        <v>44469</v>
      </c>
      <c r="Q34" s="137"/>
      <c r="R34" s="154"/>
      <c r="S34" s="155"/>
      <c r="T34" s="154"/>
      <c r="U34" s="155"/>
      <c r="V34" s="154"/>
      <c r="W34" s="155">
        <v>33000</v>
      </c>
      <c r="X34" s="154"/>
      <c r="Y34" s="154">
        <v>28000</v>
      </c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61000</v>
      </c>
      <c r="AY34" s="1"/>
      <c r="AZ34" s="1"/>
    </row>
    <row r="35" spans="1:52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/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0</v>
      </c>
      <c r="AY35" s="1"/>
      <c r="AZ35" s="1"/>
    </row>
    <row r="36" spans="1:52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287000</v>
      </c>
      <c r="R36" s="115">
        <f t="shared" si="4"/>
        <v>85000</v>
      </c>
      <c r="S36" s="115">
        <f t="shared" si="4"/>
        <v>52000</v>
      </c>
      <c r="T36" s="115">
        <f t="shared" si="4"/>
        <v>0</v>
      </c>
      <c r="U36" s="115">
        <f t="shared" si="4"/>
        <v>1063000</v>
      </c>
      <c r="V36" s="115">
        <f t="shared" si="4"/>
        <v>0</v>
      </c>
      <c r="W36" s="115">
        <f t="shared" si="4"/>
        <v>839000</v>
      </c>
      <c r="X36" s="115">
        <f t="shared" si="4"/>
        <v>75000</v>
      </c>
      <c r="Y36" s="115">
        <f t="shared" si="4"/>
        <v>197000</v>
      </c>
      <c r="Z36" s="115">
        <f t="shared" si="4"/>
        <v>260000</v>
      </c>
      <c r="AA36" s="115">
        <f t="shared" si="4"/>
        <v>0</v>
      </c>
      <c r="AB36" s="115">
        <f t="shared" si="4"/>
        <v>259000</v>
      </c>
      <c r="AC36" s="115">
        <f t="shared" si="4"/>
        <v>0</v>
      </c>
      <c r="AD36" s="115">
        <f t="shared" si="4"/>
        <v>593000</v>
      </c>
      <c r="AE36" s="115">
        <f t="shared" si="4"/>
        <v>0</v>
      </c>
      <c r="AF36" s="115">
        <f t="shared" si="4"/>
        <v>45000</v>
      </c>
      <c r="AG36" s="115">
        <f t="shared" si="4"/>
        <v>0</v>
      </c>
      <c r="AH36" s="115">
        <f t="shared" si="4"/>
        <v>67000</v>
      </c>
      <c r="AI36" s="115">
        <f t="shared" si="4"/>
        <v>0</v>
      </c>
      <c r="AJ36" s="115">
        <f t="shared" si="4"/>
        <v>4000</v>
      </c>
      <c r="AK36" s="115">
        <f t="shared" si="4"/>
        <v>0</v>
      </c>
      <c r="AL36" s="115">
        <f t="shared" si="4"/>
        <v>10000</v>
      </c>
      <c r="AM36" s="115">
        <f t="shared" si="4"/>
        <v>0</v>
      </c>
      <c r="AN36" s="115">
        <f t="shared" si="4"/>
        <v>8000</v>
      </c>
      <c r="AO36" s="115">
        <f t="shared" si="4"/>
        <v>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3844000</v>
      </c>
      <c r="AY36" s="1"/>
      <c r="AZ36" s="1"/>
    </row>
    <row r="37" spans="1:52" ht="22" thickTop="1" thickBot="1">
      <c r="A37" s="81" t="s">
        <v>33</v>
      </c>
      <c r="B37" s="82">
        <f t="shared" ref="B37:I37" si="5">SUM(B5:B35)</f>
        <v>3143000</v>
      </c>
      <c r="C37" s="82">
        <f t="shared" si="5"/>
        <v>694000</v>
      </c>
      <c r="D37" s="82">
        <f t="shared" si="5"/>
        <v>3837000</v>
      </c>
      <c r="E37" s="83">
        <f t="shared" si="5"/>
        <v>381596</v>
      </c>
      <c r="F37" s="84">
        <f t="shared" si="5"/>
        <v>88536</v>
      </c>
      <c r="G37" s="84">
        <f t="shared" si="5"/>
        <v>45634</v>
      </c>
      <c r="H37" s="132">
        <f t="shared" si="5"/>
        <v>515766</v>
      </c>
      <c r="I37" s="86">
        <f t="shared" si="5"/>
        <v>5000</v>
      </c>
      <c r="J37" s="86">
        <f>IFERROR(32/I37, "")</f>
        <v>6.4000000000000003E-3</v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100450</v>
      </c>
      <c r="R38" s="542">
        <f>R36*0.3</f>
        <v>25500</v>
      </c>
      <c r="S38" s="544">
        <f>S36*0.35</f>
        <v>18200</v>
      </c>
      <c r="T38" s="544">
        <f>T36*0.3</f>
        <v>0</v>
      </c>
      <c r="U38" s="532">
        <f>U36*0.4</f>
        <v>425200</v>
      </c>
      <c r="V38" s="532">
        <f>V36*0.3</f>
        <v>0</v>
      </c>
      <c r="W38" s="534">
        <f>W36*0.4</f>
        <v>335600</v>
      </c>
      <c r="X38" s="534">
        <f>X36*0.3</f>
        <v>22500</v>
      </c>
      <c r="Y38" s="538">
        <f>Y36</f>
        <v>197000</v>
      </c>
      <c r="Z38" s="536">
        <f>Z36*0.35</f>
        <v>91000</v>
      </c>
      <c r="AA38" s="530">
        <f>AA36*0.3</f>
        <v>0</v>
      </c>
      <c r="AB38" s="530">
        <f>AB36*0.35</f>
        <v>90650</v>
      </c>
      <c r="AC38" s="530">
        <f>AC36*0.3</f>
        <v>0</v>
      </c>
      <c r="AD38" s="530">
        <f>AD36*0.35</f>
        <v>207550</v>
      </c>
      <c r="AE38" s="530">
        <f>AE36*0.3</f>
        <v>0</v>
      </c>
      <c r="AF38" s="530">
        <f>AF36*0.35</f>
        <v>15749.999999999998</v>
      </c>
      <c r="AG38" s="530">
        <f>AG36*0.3</f>
        <v>0</v>
      </c>
      <c r="AH38" s="530">
        <f>AH36*0.35</f>
        <v>23450</v>
      </c>
      <c r="AI38" s="530">
        <f>AI36*0.3</f>
        <v>0</v>
      </c>
      <c r="AJ38" s="530">
        <f>AJ36*0.35</f>
        <v>1400</v>
      </c>
      <c r="AK38" s="530">
        <f>AK36*0.3</f>
        <v>0</v>
      </c>
      <c r="AL38" s="530">
        <f>AL36*0.35</f>
        <v>3500</v>
      </c>
      <c r="AM38" s="530">
        <f>AM36*0.3</f>
        <v>0</v>
      </c>
      <c r="AN38" s="536">
        <f t="shared" ref="AN38:AV38" si="6">AN36*0.35</f>
        <v>2800</v>
      </c>
      <c r="AO38" s="530">
        <f t="shared" si="6"/>
        <v>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  <c r="AY38" s="182"/>
      <c r="AZ38" s="182"/>
    </row>
    <row r="39" spans="1:52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  <c r="AY39" s="182"/>
      <c r="AZ39" s="182"/>
    </row>
    <row r="40" spans="1:52">
      <c r="A40" s="1"/>
      <c r="B40" s="552">
        <f>B1</f>
        <v>9</v>
      </c>
      <c r="C40" s="547"/>
      <c r="D40" s="548">
        <v>135000</v>
      </c>
      <c r="E40" s="549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  <c r="AY40" s="182"/>
      <c r="AZ40" s="182"/>
    </row>
    <row r="41" spans="1:52">
      <c r="A41" s="1"/>
      <c r="B41" s="182"/>
      <c r="C41" s="1"/>
      <c r="D41" s="1"/>
      <c r="E41" s="372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  <c r="AY41" s="182"/>
      <c r="AZ41" s="182"/>
    </row>
    <row r="42" spans="1:52">
      <c r="A42" s="1"/>
      <c r="B42" s="496" t="s">
        <v>307</v>
      </c>
      <c r="C42" s="496"/>
      <c r="D42" s="496" t="s">
        <v>308</v>
      </c>
      <c r="E42" s="4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>
      <c r="A43" s="1"/>
      <c r="B43" s="546">
        <f>B37+I37-D40</f>
        <v>3013000</v>
      </c>
      <c r="C43" s="547"/>
      <c r="D43" s="548">
        <f>D40-F37-G37</f>
        <v>830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</sheetData>
  <mergeCells count="86">
    <mergeCell ref="I3:I4"/>
    <mergeCell ref="A1:A2"/>
    <mergeCell ref="B1:B2"/>
    <mergeCell ref="A3:A4"/>
    <mergeCell ref="B3:D3"/>
    <mergeCell ref="E3:H3"/>
    <mergeCell ref="Z3:Z4"/>
    <mergeCell ref="J3:J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L3:AL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X3:AX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Y38:Y39"/>
    <mergeCell ref="M10:N10"/>
    <mergeCell ref="N11:N12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K38:AK39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AH38:AH39"/>
    <mergeCell ref="AI38:AI39"/>
    <mergeCell ref="AJ38:AJ39"/>
    <mergeCell ref="AW38:AW39"/>
    <mergeCell ref="AL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U38:AU39"/>
    <mergeCell ref="AV38:AV39"/>
    <mergeCell ref="B43:C43"/>
    <mergeCell ref="D43:E43"/>
    <mergeCell ref="B39:C39"/>
    <mergeCell ref="D39:E39"/>
    <mergeCell ref="B40:C40"/>
    <mergeCell ref="D40:E40"/>
    <mergeCell ref="B42:C42"/>
    <mergeCell ref="D42:E42"/>
  </mergeCells>
  <phoneticPr fontId="7"/>
  <dataValidations count="2">
    <dataValidation type="list" allowBlank="1" showErrorMessage="1" sqref="Q3:Q4 AD3:AD4 S3:S4 U3:U4 AL3:AL4 AH3:AH4 Z3:Z4 AF3:AF4 AJ3:AJ4 W3:W4 AB3:AB4 AV3:AV4 AN3:AN4 AO3:AU3" xr:uid="{D1716630-1F66-D34E-BE26-75A31EE0EAAB}">
      <formula1>名前</formula1>
    </dataValidation>
    <dataValidation allowBlank="1" showErrorMessage="1" sqref="R3:R4 AI3:AI4 T3:T4 AC3:AC4 AA3:AA4 AE3:AE4 AG3:AG4 AK3:AK4 AW3:AW4 V3:V4 AM3:AM4 X3:X4 Y3" xr:uid="{5F7C3AC6-1559-6142-AA65-7A6A2A5EB692}"/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8493-BEF3-F94A-B86A-FFC41F99EF01}">
  <dimension ref="A1:BB49"/>
  <sheetViews>
    <sheetView topLeftCell="A7" workbookViewId="0">
      <selection activeCell="E34" sqref="E34"/>
    </sheetView>
  </sheetViews>
  <sheetFormatPr baseColWidth="10" defaultRowHeight="20"/>
  <cols>
    <col min="1" max="1" width="14.5703125" bestFit="1" customWidth="1"/>
    <col min="5" max="5" width="12.7109375" bestFit="1" customWidth="1"/>
  </cols>
  <sheetData>
    <row r="1" spans="1:54">
      <c r="A1" s="614" t="s">
        <v>310</v>
      </c>
      <c r="B1" s="616" t="s">
        <v>316</v>
      </c>
      <c r="C1" s="310"/>
      <c r="D1" s="310"/>
      <c r="E1" s="411"/>
      <c r="F1" s="411"/>
      <c r="G1" s="411"/>
      <c r="H1" s="411"/>
      <c r="I1" s="411"/>
      <c r="J1" s="411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</row>
    <row r="2" spans="1:54" ht="21" thickBot="1">
      <c r="A2" s="615"/>
      <c r="B2" s="617"/>
      <c r="C2" s="310"/>
      <c r="D2" s="310"/>
      <c r="E2" s="411"/>
      <c r="F2" s="411"/>
      <c r="G2" s="411"/>
      <c r="H2" s="411"/>
      <c r="I2" s="411"/>
      <c r="J2" s="411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</row>
    <row r="3" spans="1:54" ht="21" thickBot="1">
      <c r="A3" s="501" t="s">
        <v>0</v>
      </c>
      <c r="B3" s="503"/>
      <c r="C3" s="619"/>
      <c r="D3" s="620"/>
      <c r="E3" s="506" t="s">
        <v>2</v>
      </c>
      <c r="F3" s="599"/>
      <c r="G3" s="599"/>
      <c r="H3" s="621"/>
      <c r="I3" s="508" t="s">
        <v>311</v>
      </c>
      <c r="J3" s="510" t="s">
        <v>4</v>
      </c>
      <c r="K3" s="4"/>
      <c r="L3" s="310"/>
      <c r="M3" s="310"/>
      <c r="N3" s="310"/>
      <c r="O3" s="310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282</v>
      </c>
      <c r="Z3" s="514" t="s">
        <v>317</v>
      </c>
      <c r="AA3" s="494">
        <v>0.3</v>
      </c>
      <c r="AB3" s="514" t="s">
        <v>318</v>
      </c>
      <c r="AC3" s="606">
        <v>0.3</v>
      </c>
      <c r="AD3" s="639" t="s">
        <v>319</v>
      </c>
      <c r="AE3" s="494">
        <v>0.3</v>
      </c>
      <c r="AF3" s="514" t="s">
        <v>320</v>
      </c>
      <c r="AG3" s="494">
        <v>0.3</v>
      </c>
      <c r="AH3" s="514" t="s">
        <v>321</v>
      </c>
      <c r="AI3" s="606">
        <v>0.3</v>
      </c>
      <c r="AJ3" s="639" t="s">
        <v>322</v>
      </c>
      <c r="AK3" s="606">
        <v>0.3</v>
      </c>
      <c r="AL3" s="639" t="s">
        <v>323</v>
      </c>
      <c r="AM3" s="606">
        <v>0.3</v>
      </c>
      <c r="AN3" s="520" t="s">
        <v>324</v>
      </c>
      <c r="AO3" s="520" t="s">
        <v>325</v>
      </c>
      <c r="AP3" s="520" t="s">
        <v>326</v>
      </c>
      <c r="AQ3" s="520"/>
      <c r="AR3" s="520"/>
      <c r="AS3" s="520"/>
      <c r="AT3" s="520"/>
      <c r="AU3" s="520"/>
      <c r="AV3" s="639"/>
      <c r="AW3" s="494">
        <v>0.3</v>
      </c>
      <c r="AX3" s="550" t="s">
        <v>33</v>
      </c>
      <c r="AY3" s="310"/>
      <c r="AZ3" s="310"/>
      <c r="BA3" s="310"/>
      <c r="BB3" s="310"/>
    </row>
    <row r="4" spans="1:54" ht="21" thickBot="1">
      <c r="A4" s="618"/>
      <c r="B4" s="412" t="s">
        <v>38</v>
      </c>
      <c r="C4" s="412" t="s">
        <v>13</v>
      </c>
      <c r="D4" s="413" t="s">
        <v>14</v>
      </c>
      <c r="E4" s="414" t="s">
        <v>312</v>
      </c>
      <c r="F4" s="415" t="s">
        <v>313</v>
      </c>
      <c r="G4" s="416" t="s">
        <v>16</v>
      </c>
      <c r="H4" s="417" t="s">
        <v>17</v>
      </c>
      <c r="I4" s="613"/>
      <c r="J4" s="611"/>
      <c r="K4" s="15" t="s">
        <v>18</v>
      </c>
      <c r="L4" s="310"/>
      <c r="M4" s="310"/>
      <c r="N4" s="310"/>
      <c r="O4" s="310"/>
      <c r="P4" s="612"/>
      <c r="Q4" s="495"/>
      <c r="R4" s="529"/>
      <c r="S4" s="495"/>
      <c r="T4" s="529"/>
      <c r="U4" s="495"/>
      <c r="V4" s="529"/>
      <c r="W4" s="608"/>
      <c r="X4" s="529"/>
      <c r="Y4" s="529"/>
      <c r="Z4" s="495"/>
      <c r="AA4" s="529"/>
      <c r="AB4" s="495"/>
      <c r="AC4" s="607"/>
      <c r="AD4" s="640"/>
      <c r="AE4" s="529"/>
      <c r="AF4" s="495"/>
      <c r="AG4" s="529"/>
      <c r="AH4" s="495"/>
      <c r="AI4" s="607"/>
      <c r="AJ4" s="640"/>
      <c r="AK4" s="607"/>
      <c r="AL4" s="640"/>
      <c r="AM4" s="607"/>
      <c r="AN4" s="521"/>
      <c r="AO4" s="638"/>
      <c r="AP4" s="638"/>
      <c r="AQ4" s="638"/>
      <c r="AR4" s="638"/>
      <c r="AS4" s="638"/>
      <c r="AT4" s="521"/>
      <c r="AU4" s="638"/>
      <c r="AV4" s="640"/>
      <c r="AW4" s="529"/>
      <c r="AX4" s="550"/>
      <c r="AY4" s="310"/>
      <c r="AZ4" s="310"/>
      <c r="BA4" s="310"/>
      <c r="BB4" s="310"/>
    </row>
    <row r="5" spans="1:54">
      <c r="A5" s="418">
        <v>44470</v>
      </c>
      <c r="B5" s="419">
        <v>221000</v>
      </c>
      <c r="C5" s="419"/>
      <c r="D5" s="420">
        <f>SUM(B5:C5)</f>
        <v>221000</v>
      </c>
      <c r="E5" s="421">
        <f>4800+39134+4800+17942+22570</f>
        <v>89246</v>
      </c>
      <c r="F5" s="422"/>
      <c r="G5" s="423">
        <v>745</v>
      </c>
      <c r="H5" s="424">
        <f>SUM(E5:G5)</f>
        <v>89991</v>
      </c>
      <c r="I5" s="425"/>
      <c r="J5" s="426"/>
      <c r="K5" s="228"/>
      <c r="L5" s="310"/>
      <c r="M5" s="310"/>
      <c r="N5" s="310"/>
      <c r="O5" s="310"/>
      <c r="P5" s="427">
        <v>44470</v>
      </c>
      <c r="Q5" s="422"/>
      <c r="R5" s="422"/>
      <c r="S5" s="422"/>
      <c r="T5" s="422"/>
      <c r="U5" s="428">
        <v>46000</v>
      </c>
      <c r="V5" s="429"/>
      <c r="W5" s="479">
        <v>2000</v>
      </c>
      <c r="X5" s="422"/>
      <c r="Y5" s="422">
        <v>8000</v>
      </c>
      <c r="Z5" s="422">
        <v>13000</v>
      </c>
      <c r="AA5" s="422"/>
      <c r="AB5" s="423"/>
      <c r="AC5" s="429"/>
      <c r="AD5" s="430">
        <v>10000</v>
      </c>
      <c r="AE5" s="422"/>
      <c r="AF5" s="431">
        <v>97000</v>
      </c>
      <c r="AG5" s="422"/>
      <c r="AH5" s="432">
        <v>17000</v>
      </c>
      <c r="AI5" s="429"/>
      <c r="AJ5" s="430">
        <v>28000</v>
      </c>
      <c r="AK5" s="422"/>
      <c r="AL5" s="430"/>
      <c r="AM5" s="423"/>
      <c r="AN5" s="433"/>
      <c r="AO5" s="434"/>
      <c r="AP5" s="434"/>
      <c r="AQ5" s="434"/>
      <c r="AR5" s="434"/>
      <c r="AS5" s="434"/>
      <c r="AT5" s="434"/>
      <c r="AU5" s="434"/>
      <c r="AV5" s="430"/>
      <c r="AW5" s="422"/>
      <c r="AX5" s="411">
        <f>SUM(Q5:AW5)</f>
        <v>221000</v>
      </c>
      <c r="AY5" s="310"/>
      <c r="AZ5" s="310"/>
      <c r="BA5" s="310"/>
      <c r="BB5" s="310"/>
    </row>
    <row r="6" spans="1:54">
      <c r="A6" s="418">
        <v>44471</v>
      </c>
      <c r="B6" s="419">
        <v>77000</v>
      </c>
      <c r="C6" s="419">
        <v>54000</v>
      </c>
      <c r="D6" s="420">
        <f t="shared" ref="D6:D35" si="0">SUM(B6:C6)</f>
        <v>131000</v>
      </c>
      <c r="E6" s="421">
        <v>0</v>
      </c>
      <c r="F6" s="422"/>
      <c r="G6" s="423">
        <f>2994+905+654</f>
        <v>4553</v>
      </c>
      <c r="H6" s="424">
        <f t="shared" ref="H6:H35" si="1">SUM(E6:G6)</f>
        <v>4553</v>
      </c>
      <c r="I6" s="429"/>
      <c r="J6" s="435"/>
      <c r="K6" s="228"/>
      <c r="L6" s="310"/>
      <c r="M6" s="310"/>
      <c r="N6" s="310"/>
      <c r="O6" s="310"/>
      <c r="P6" s="427">
        <v>44471</v>
      </c>
      <c r="Q6" s="422"/>
      <c r="R6" s="422"/>
      <c r="S6" s="422"/>
      <c r="T6" s="422"/>
      <c r="U6" s="423">
        <v>76000</v>
      </c>
      <c r="V6" s="429">
        <v>40000</v>
      </c>
      <c r="W6" s="434"/>
      <c r="X6" s="422"/>
      <c r="Y6" s="422">
        <v>8000</v>
      </c>
      <c r="Z6" s="422">
        <v>10000</v>
      </c>
      <c r="AA6" s="422"/>
      <c r="AB6" s="423"/>
      <c r="AC6" s="429"/>
      <c r="AD6" s="434"/>
      <c r="AE6" s="422"/>
      <c r="AF6" s="431"/>
      <c r="AG6" s="422"/>
      <c r="AH6" s="432"/>
      <c r="AI6" s="429"/>
      <c r="AJ6" s="430"/>
      <c r="AK6" s="422"/>
      <c r="AL6" s="430"/>
      <c r="AM6" s="423"/>
      <c r="AN6" s="436"/>
      <c r="AO6" s="436"/>
      <c r="AP6" s="433"/>
      <c r="AQ6" s="434"/>
      <c r="AR6" s="434"/>
      <c r="AS6" s="434"/>
      <c r="AT6" s="434"/>
      <c r="AU6" s="434"/>
      <c r="AV6" s="430"/>
      <c r="AW6" s="422"/>
      <c r="AX6" s="411">
        <f t="shared" ref="AX6:AX36" si="2">SUM(Q6:AW6)</f>
        <v>134000</v>
      </c>
      <c r="AY6" s="310"/>
      <c r="AZ6" s="310"/>
      <c r="BA6" s="310"/>
      <c r="BB6" s="310"/>
    </row>
    <row r="7" spans="1:54">
      <c r="A7" s="418">
        <v>44472</v>
      </c>
      <c r="B7" s="419">
        <v>117000</v>
      </c>
      <c r="C7" s="419">
        <v>13000</v>
      </c>
      <c r="D7" s="420">
        <f t="shared" si="0"/>
        <v>130000</v>
      </c>
      <c r="E7" s="421">
        <f>2580+15820</f>
        <v>18400</v>
      </c>
      <c r="F7" s="422"/>
      <c r="G7" s="423">
        <v>450</v>
      </c>
      <c r="H7" s="424">
        <f t="shared" si="1"/>
        <v>18850</v>
      </c>
      <c r="I7" s="429"/>
      <c r="J7" s="435"/>
      <c r="K7" s="228"/>
      <c r="L7" s="310"/>
      <c r="M7" s="310"/>
      <c r="N7" s="310"/>
      <c r="O7" s="310"/>
      <c r="P7" s="427">
        <v>44472</v>
      </c>
      <c r="Q7" s="422"/>
      <c r="R7" s="422"/>
      <c r="S7" s="422"/>
      <c r="T7" s="422"/>
      <c r="U7" s="423">
        <v>31000</v>
      </c>
      <c r="V7" s="429"/>
      <c r="W7" s="434">
        <v>45000</v>
      </c>
      <c r="X7" s="422">
        <v>25000</v>
      </c>
      <c r="Y7" s="422">
        <v>11000</v>
      </c>
      <c r="Z7" s="422">
        <v>4000</v>
      </c>
      <c r="AA7" s="422"/>
      <c r="AB7" s="422"/>
      <c r="AC7" s="422"/>
      <c r="AD7" s="423">
        <v>14000</v>
      </c>
      <c r="AE7" s="429"/>
      <c r="AF7" s="431"/>
      <c r="AG7" s="422"/>
      <c r="AH7" s="431"/>
      <c r="AI7" s="422"/>
      <c r="AJ7" s="431"/>
      <c r="AK7" s="422"/>
      <c r="AL7" s="431"/>
      <c r="AM7" s="423"/>
      <c r="AN7" s="436"/>
      <c r="AO7" s="436"/>
      <c r="AP7" s="433"/>
      <c r="AQ7" s="434"/>
      <c r="AR7" s="434"/>
      <c r="AS7" s="434"/>
      <c r="AT7" s="434"/>
      <c r="AU7" s="434"/>
      <c r="AV7" s="431"/>
      <c r="AW7" s="422"/>
      <c r="AX7" s="411">
        <f t="shared" si="2"/>
        <v>130000</v>
      </c>
      <c r="AY7" s="310"/>
      <c r="AZ7" s="310"/>
      <c r="BA7" s="310"/>
      <c r="BB7" s="310"/>
    </row>
    <row r="8" spans="1:54">
      <c r="A8" s="418">
        <v>44473</v>
      </c>
      <c r="B8" s="419">
        <v>80000</v>
      </c>
      <c r="C8" s="419">
        <v>75000</v>
      </c>
      <c r="D8" s="420">
        <f t="shared" si="0"/>
        <v>155000</v>
      </c>
      <c r="E8" s="421">
        <v>13164</v>
      </c>
      <c r="F8" s="422">
        <v>9551</v>
      </c>
      <c r="G8" s="423"/>
      <c r="H8" s="424">
        <f t="shared" si="1"/>
        <v>22715</v>
      </c>
      <c r="I8" s="429"/>
      <c r="J8" s="435"/>
      <c r="K8" s="228"/>
      <c r="L8" s="310"/>
      <c r="M8" s="310"/>
      <c r="N8" s="310"/>
      <c r="O8" s="310"/>
      <c r="P8" s="427">
        <v>44473</v>
      </c>
      <c r="Q8" s="422"/>
      <c r="R8" s="422"/>
      <c r="S8" s="422"/>
      <c r="T8" s="422"/>
      <c r="U8" s="423">
        <v>8000</v>
      </c>
      <c r="V8" s="429"/>
      <c r="W8" s="434">
        <v>20000</v>
      </c>
      <c r="X8" s="422">
        <v>25000</v>
      </c>
      <c r="Y8" s="422"/>
      <c r="Z8" s="422">
        <v>10000</v>
      </c>
      <c r="AA8" s="422"/>
      <c r="AB8" s="422">
        <v>42000</v>
      </c>
      <c r="AC8" s="422"/>
      <c r="AD8" s="423"/>
      <c r="AE8" s="429"/>
      <c r="AF8" s="431">
        <v>50000</v>
      </c>
      <c r="AG8" s="422"/>
      <c r="AH8" s="431"/>
      <c r="AI8" s="422"/>
      <c r="AJ8" s="431"/>
      <c r="AK8" s="422"/>
      <c r="AL8" s="431"/>
      <c r="AM8" s="422"/>
      <c r="AN8" s="423"/>
      <c r="AO8" s="433"/>
      <c r="AP8" s="437"/>
      <c r="AQ8" s="433"/>
      <c r="AR8" s="434"/>
      <c r="AS8" s="434"/>
      <c r="AT8" s="434"/>
      <c r="AU8" s="434"/>
      <c r="AV8" s="431"/>
      <c r="AW8" s="422"/>
      <c r="AX8" s="411">
        <f t="shared" si="2"/>
        <v>155000</v>
      </c>
      <c r="AY8" s="310"/>
      <c r="AZ8" s="310"/>
      <c r="BA8" s="310"/>
      <c r="BB8" s="310"/>
    </row>
    <row r="9" spans="1:54">
      <c r="A9" s="418">
        <v>44474</v>
      </c>
      <c r="B9" s="419">
        <v>50000</v>
      </c>
      <c r="C9" s="419"/>
      <c r="D9" s="420">
        <f t="shared" si="0"/>
        <v>50000</v>
      </c>
      <c r="E9" s="421"/>
      <c r="F9" s="422"/>
      <c r="G9" s="423">
        <v>1400</v>
      </c>
      <c r="H9" s="424">
        <f t="shared" si="1"/>
        <v>1400</v>
      </c>
      <c r="I9" s="429"/>
      <c r="J9" s="435"/>
      <c r="K9" s="228"/>
      <c r="L9" s="310"/>
      <c r="M9" s="310"/>
      <c r="N9" s="310"/>
      <c r="O9" s="310"/>
      <c r="P9" s="427">
        <v>44474</v>
      </c>
      <c r="Q9" s="422"/>
      <c r="R9" s="422"/>
      <c r="S9" s="422"/>
      <c r="T9" s="422"/>
      <c r="U9" s="422"/>
      <c r="V9" s="422"/>
      <c r="W9" s="422">
        <v>30000</v>
      </c>
      <c r="X9" s="422"/>
      <c r="Y9" s="422"/>
      <c r="Z9" s="422">
        <v>20000</v>
      </c>
      <c r="AA9" s="422"/>
      <c r="AB9" s="422"/>
      <c r="AC9" s="422"/>
      <c r="AD9" s="423"/>
      <c r="AE9" s="429"/>
      <c r="AF9" s="431"/>
      <c r="AG9" s="422"/>
      <c r="AH9" s="431"/>
      <c r="AI9" s="422"/>
      <c r="AJ9" s="431"/>
      <c r="AK9" s="422"/>
      <c r="AL9" s="431"/>
      <c r="AM9" s="422"/>
      <c r="AN9" s="423"/>
      <c r="AO9" s="433"/>
      <c r="AP9" s="437"/>
      <c r="AQ9" s="436"/>
      <c r="AR9" s="433"/>
      <c r="AS9" s="434"/>
      <c r="AT9" s="434"/>
      <c r="AU9" s="434"/>
      <c r="AV9" s="431"/>
      <c r="AW9" s="422"/>
      <c r="AX9" s="411">
        <f t="shared" si="2"/>
        <v>50000</v>
      </c>
      <c r="AY9" s="310"/>
      <c r="AZ9" s="310"/>
      <c r="BA9" s="310"/>
      <c r="BB9" s="310"/>
    </row>
    <row r="10" spans="1:54">
      <c r="A10" s="418">
        <v>44475</v>
      </c>
      <c r="B10" s="419">
        <v>20000</v>
      </c>
      <c r="C10" s="419">
        <v>57000</v>
      </c>
      <c r="D10" s="420">
        <f t="shared" si="0"/>
        <v>77000</v>
      </c>
      <c r="E10" s="421"/>
      <c r="F10" s="422"/>
      <c r="G10" s="423"/>
      <c r="H10" s="424">
        <f t="shared" si="1"/>
        <v>0</v>
      </c>
      <c r="I10" s="429"/>
      <c r="J10" s="435"/>
      <c r="K10" s="228"/>
      <c r="L10" s="310"/>
      <c r="M10" s="572" t="s">
        <v>26</v>
      </c>
      <c r="N10" s="573"/>
      <c r="O10" s="310"/>
      <c r="P10" s="427">
        <v>44475</v>
      </c>
      <c r="Q10" s="422"/>
      <c r="R10" s="422"/>
      <c r="S10" s="422"/>
      <c r="T10" s="422"/>
      <c r="U10" s="422"/>
      <c r="V10" s="422"/>
      <c r="W10" s="422"/>
      <c r="X10" s="422"/>
      <c r="Y10" s="422"/>
      <c r="Z10" s="422"/>
      <c r="AA10" s="422"/>
      <c r="AB10" s="422"/>
      <c r="AC10" s="422"/>
      <c r="AD10" s="423"/>
      <c r="AE10" s="429"/>
      <c r="AF10" s="431">
        <v>77000</v>
      </c>
      <c r="AG10" s="422"/>
      <c r="AH10" s="431"/>
      <c r="AI10" s="422"/>
      <c r="AJ10" s="431"/>
      <c r="AK10" s="422"/>
      <c r="AL10" s="431"/>
      <c r="AM10" s="422"/>
      <c r="AN10" s="423"/>
      <c r="AO10" s="433"/>
      <c r="AP10" s="437"/>
      <c r="AQ10" s="436"/>
      <c r="AR10" s="433"/>
      <c r="AS10" s="434"/>
      <c r="AT10" s="434"/>
      <c r="AU10" s="434"/>
      <c r="AV10" s="431"/>
      <c r="AW10" s="422"/>
      <c r="AX10" s="411">
        <f t="shared" si="2"/>
        <v>77000</v>
      </c>
      <c r="AY10" s="310"/>
      <c r="AZ10" s="310"/>
      <c r="BA10" s="310"/>
      <c r="BB10" s="310"/>
    </row>
    <row r="11" spans="1:54">
      <c r="A11" s="418">
        <v>44476</v>
      </c>
      <c r="B11" s="419">
        <v>10000</v>
      </c>
      <c r="C11" s="419"/>
      <c r="D11" s="420">
        <f t="shared" si="0"/>
        <v>10000</v>
      </c>
      <c r="E11" s="421"/>
      <c r="F11" s="422"/>
      <c r="G11" s="423"/>
      <c r="H11" s="424">
        <f t="shared" si="1"/>
        <v>0</v>
      </c>
      <c r="I11" s="429"/>
      <c r="J11" s="435"/>
      <c r="K11" s="228"/>
      <c r="L11" s="310"/>
      <c r="M11" s="438" t="s">
        <v>27</v>
      </c>
      <c r="N11" s="602">
        <v>310000</v>
      </c>
      <c r="O11" s="310"/>
      <c r="P11" s="427">
        <v>44476</v>
      </c>
      <c r="Q11" s="422"/>
      <c r="R11" s="422"/>
      <c r="S11" s="422"/>
      <c r="T11" s="422"/>
      <c r="U11" s="422"/>
      <c r="V11" s="422"/>
      <c r="W11" s="422">
        <v>10000</v>
      </c>
      <c r="X11" s="422"/>
      <c r="Y11" s="422"/>
      <c r="Z11" s="422"/>
      <c r="AA11" s="422"/>
      <c r="AB11" s="422"/>
      <c r="AC11" s="422"/>
      <c r="AD11" s="423"/>
      <c r="AE11" s="429"/>
      <c r="AF11" s="431"/>
      <c r="AG11" s="422"/>
      <c r="AH11" s="431"/>
      <c r="AI11" s="422"/>
      <c r="AJ11" s="431"/>
      <c r="AK11" s="422"/>
      <c r="AL11" s="431"/>
      <c r="AM11" s="422"/>
      <c r="AN11" s="423"/>
      <c r="AO11" s="433"/>
      <c r="AP11" s="437"/>
      <c r="AQ11" s="436"/>
      <c r="AR11" s="433"/>
      <c r="AS11" s="434"/>
      <c r="AT11" s="434"/>
      <c r="AU11" s="434"/>
      <c r="AV11" s="431"/>
      <c r="AW11" s="422"/>
      <c r="AX11" s="411">
        <f t="shared" si="2"/>
        <v>10000</v>
      </c>
      <c r="AY11" s="310"/>
      <c r="AZ11" s="310"/>
      <c r="BA11" s="310"/>
      <c r="BB11" s="310"/>
    </row>
    <row r="12" spans="1:54">
      <c r="A12" s="418">
        <v>44477</v>
      </c>
      <c r="B12" s="419">
        <v>89000</v>
      </c>
      <c r="C12" s="419"/>
      <c r="D12" s="420">
        <f t="shared" si="0"/>
        <v>89000</v>
      </c>
      <c r="E12" s="421">
        <f>10934+3960</f>
        <v>14894</v>
      </c>
      <c r="F12" s="422"/>
      <c r="G12" s="423"/>
      <c r="H12" s="424">
        <f t="shared" si="1"/>
        <v>14894</v>
      </c>
      <c r="I12" s="429"/>
      <c r="J12" s="435"/>
      <c r="K12" s="228"/>
      <c r="L12" s="310"/>
      <c r="M12" s="438" t="s">
        <v>28</v>
      </c>
      <c r="N12" s="603"/>
      <c r="O12" s="310"/>
      <c r="P12" s="427">
        <v>44477</v>
      </c>
      <c r="Q12" s="422"/>
      <c r="R12" s="422"/>
      <c r="S12" s="422"/>
      <c r="T12" s="422"/>
      <c r="U12" s="422">
        <v>67000</v>
      </c>
      <c r="V12" s="422"/>
      <c r="W12" s="422">
        <v>22000</v>
      </c>
      <c r="X12" s="422"/>
      <c r="Y12" s="422"/>
      <c r="Z12" s="422"/>
      <c r="AA12" s="422"/>
      <c r="AB12" s="422"/>
      <c r="AC12" s="422"/>
      <c r="AD12" s="423"/>
      <c r="AE12" s="429"/>
      <c r="AF12" s="431"/>
      <c r="AG12" s="422"/>
      <c r="AH12" s="431"/>
      <c r="AI12" s="422"/>
      <c r="AJ12" s="431"/>
      <c r="AK12" s="422"/>
      <c r="AL12" s="431"/>
      <c r="AM12" s="422"/>
      <c r="AN12" s="423"/>
      <c r="AO12" s="433"/>
      <c r="AP12" s="437"/>
      <c r="AQ12" s="436"/>
      <c r="AR12" s="433"/>
      <c r="AS12" s="434"/>
      <c r="AT12" s="434"/>
      <c r="AU12" s="434"/>
      <c r="AV12" s="431"/>
      <c r="AW12" s="422"/>
      <c r="AX12" s="411">
        <f t="shared" si="2"/>
        <v>89000</v>
      </c>
      <c r="AY12" s="310"/>
      <c r="AZ12" s="310"/>
      <c r="BA12" s="310"/>
      <c r="BB12" s="310"/>
    </row>
    <row r="13" spans="1:54">
      <c r="A13" s="418">
        <v>44478</v>
      </c>
      <c r="B13" s="419">
        <v>170000</v>
      </c>
      <c r="C13" s="419">
        <v>32000</v>
      </c>
      <c r="D13" s="420">
        <f t="shared" si="0"/>
        <v>202000</v>
      </c>
      <c r="E13" s="421">
        <v>22600</v>
      </c>
      <c r="F13" s="422"/>
      <c r="G13" s="423">
        <v>274</v>
      </c>
      <c r="H13" s="424">
        <f t="shared" si="1"/>
        <v>22874</v>
      </c>
      <c r="I13" s="429"/>
      <c r="J13" s="435"/>
      <c r="K13" s="228"/>
      <c r="L13" s="310"/>
      <c r="M13" s="438" t="s">
        <v>29</v>
      </c>
      <c r="N13" s="422">
        <v>7000</v>
      </c>
      <c r="O13" s="310"/>
      <c r="P13" s="427">
        <v>44478</v>
      </c>
      <c r="Q13" s="422"/>
      <c r="R13" s="422"/>
      <c r="S13" s="422"/>
      <c r="T13" s="422"/>
      <c r="U13" s="422">
        <v>85000</v>
      </c>
      <c r="V13" s="422"/>
      <c r="W13" s="422">
        <v>32000</v>
      </c>
      <c r="X13" s="422"/>
      <c r="Y13" s="422"/>
      <c r="Z13" s="422">
        <v>24000</v>
      </c>
      <c r="AA13" s="422"/>
      <c r="AB13" s="422"/>
      <c r="AC13" s="422"/>
      <c r="AD13" s="423"/>
      <c r="AE13" s="429"/>
      <c r="AF13" s="431">
        <v>36000</v>
      </c>
      <c r="AG13" s="422"/>
      <c r="AH13" s="431"/>
      <c r="AI13" s="422"/>
      <c r="AJ13" s="431"/>
      <c r="AK13" s="422"/>
      <c r="AL13" s="431">
        <v>25000</v>
      </c>
      <c r="AM13" s="422"/>
      <c r="AN13" s="423"/>
      <c r="AO13" s="433"/>
      <c r="AP13" s="437"/>
      <c r="AQ13" s="436"/>
      <c r="AR13" s="433"/>
      <c r="AS13" s="434"/>
      <c r="AT13" s="434"/>
      <c r="AU13" s="434"/>
      <c r="AV13" s="431"/>
      <c r="AW13" s="422"/>
      <c r="AX13" s="411">
        <f t="shared" si="2"/>
        <v>202000</v>
      </c>
      <c r="AY13" s="310"/>
      <c r="AZ13" s="310"/>
      <c r="BA13" s="310"/>
      <c r="BB13" s="310"/>
    </row>
    <row r="14" spans="1:54">
      <c r="A14" s="418">
        <v>44479</v>
      </c>
      <c r="B14" s="419">
        <v>114000</v>
      </c>
      <c r="C14" s="419">
        <v>54000</v>
      </c>
      <c r="D14" s="420">
        <f t="shared" si="0"/>
        <v>168000</v>
      </c>
      <c r="E14" s="421">
        <f>10316+2720</f>
        <v>13036</v>
      </c>
      <c r="F14" s="439"/>
      <c r="G14" s="423">
        <v>2994</v>
      </c>
      <c r="H14" s="424">
        <f t="shared" si="1"/>
        <v>16030</v>
      </c>
      <c r="I14" s="429"/>
      <c r="J14" s="435"/>
      <c r="K14" s="228"/>
      <c r="L14" s="310"/>
      <c r="M14" s="438" t="s">
        <v>30</v>
      </c>
      <c r="N14" s="422">
        <v>4000</v>
      </c>
      <c r="O14" s="310"/>
      <c r="P14" s="427">
        <v>44479</v>
      </c>
      <c r="Q14" s="422"/>
      <c r="R14" s="422"/>
      <c r="S14" s="422"/>
      <c r="T14" s="422"/>
      <c r="U14" s="422">
        <v>67000</v>
      </c>
      <c r="V14" s="422"/>
      <c r="W14" s="422">
        <v>34000</v>
      </c>
      <c r="X14" s="422"/>
      <c r="Y14" s="422"/>
      <c r="Z14" s="422">
        <v>27000</v>
      </c>
      <c r="AA14" s="422"/>
      <c r="AB14" s="422"/>
      <c r="AC14" s="422"/>
      <c r="AD14" s="423"/>
      <c r="AE14" s="429"/>
      <c r="AF14" s="431">
        <v>40000</v>
      </c>
      <c r="AG14" s="422"/>
      <c r="AH14" s="431"/>
      <c r="AI14" s="422"/>
      <c r="AJ14" s="431"/>
      <c r="AK14" s="422"/>
      <c r="AL14" s="431"/>
      <c r="AM14" s="422"/>
      <c r="AN14" s="423"/>
      <c r="AO14" s="433"/>
      <c r="AP14" s="423"/>
      <c r="AQ14" s="436"/>
      <c r="AR14" s="433"/>
      <c r="AS14" s="434"/>
      <c r="AT14" s="434"/>
      <c r="AU14" s="434"/>
      <c r="AV14" s="431"/>
      <c r="AW14" s="422"/>
      <c r="AX14" s="411">
        <f t="shared" si="2"/>
        <v>168000</v>
      </c>
      <c r="AY14" s="310"/>
      <c r="AZ14" s="310"/>
      <c r="BA14" s="310"/>
      <c r="BB14" s="310"/>
    </row>
    <row r="15" spans="1:54">
      <c r="A15" s="418">
        <v>44480</v>
      </c>
      <c r="B15" s="419">
        <v>76000</v>
      </c>
      <c r="C15" s="419"/>
      <c r="D15" s="420">
        <f t="shared" si="0"/>
        <v>76000</v>
      </c>
      <c r="E15" s="421"/>
      <c r="F15" s="422"/>
      <c r="G15" s="423"/>
      <c r="H15" s="424">
        <f t="shared" si="1"/>
        <v>0</v>
      </c>
      <c r="I15" s="429"/>
      <c r="J15" s="435"/>
      <c r="K15" s="228"/>
      <c r="L15" s="310"/>
      <c r="M15" s="438" t="s">
        <v>31</v>
      </c>
      <c r="N15" s="422">
        <v>400000</v>
      </c>
      <c r="O15" s="310"/>
      <c r="P15" s="427">
        <v>44480</v>
      </c>
      <c r="Q15" s="422"/>
      <c r="R15" s="422"/>
      <c r="S15" s="422"/>
      <c r="T15" s="422"/>
      <c r="U15" s="422">
        <v>23000</v>
      </c>
      <c r="V15" s="422"/>
      <c r="W15" s="422">
        <v>23000</v>
      </c>
      <c r="X15" s="422"/>
      <c r="Y15" s="422"/>
      <c r="Z15" s="422"/>
      <c r="AA15" s="422"/>
      <c r="AB15" s="422"/>
      <c r="AC15" s="422"/>
      <c r="AD15" s="423"/>
      <c r="AE15" s="429"/>
      <c r="AF15" s="431"/>
      <c r="AG15" s="422"/>
      <c r="AH15" s="431"/>
      <c r="AI15" s="422"/>
      <c r="AJ15" s="431"/>
      <c r="AK15" s="422"/>
      <c r="AL15" s="431"/>
      <c r="AM15" s="422"/>
      <c r="AN15" s="423">
        <v>30000</v>
      </c>
      <c r="AO15" s="433"/>
      <c r="AP15" s="423"/>
      <c r="AQ15" s="436"/>
      <c r="AR15" s="433"/>
      <c r="AS15" s="434"/>
      <c r="AT15" s="434"/>
      <c r="AU15" s="434"/>
      <c r="AV15" s="431"/>
      <c r="AW15" s="422"/>
      <c r="AX15" s="411">
        <f t="shared" si="2"/>
        <v>76000</v>
      </c>
      <c r="AY15" s="310"/>
      <c r="AZ15" s="310"/>
      <c r="BA15" s="310"/>
      <c r="BB15" s="310"/>
    </row>
    <row r="16" spans="1:54">
      <c r="A16" s="418">
        <v>44481</v>
      </c>
      <c r="B16" s="419">
        <v>27000</v>
      </c>
      <c r="C16" s="419"/>
      <c r="D16" s="420">
        <f t="shared" si="0"/>
        <v>27000</v>
      </c>
      <c r="E16" s="421">
        <f>11370+6514</f>
        <v>17884</v>
      </c>
      <c r="F16" s="422"/>
      <c r="G16" s="423"/>
      <c r="H16" s="424">
        <f t="shared" si="1"/>
        <v>17884</v>
      </c>
      <c r="I16" s="429"/>
      <c r="J16" s="435"/>
      <c r="K16" s="228"/>
      <c r="L16" s="310"/>
      <c r="M16" s="438" t="s">
        <v>32</v>
      </c>
      <c r="N16" s="422">
        <v>45000</v>
      </c>
      <c r="O16" s="310"/>
      <c r="P16" s="427">
        <v>44481</v>
      </c>
      <c r="Q16" s="422"/>
      <c r="R16" s="422"/>
      <c r="S16" s="422"/>
      <c r="T16" s="422"/>
      <c r="U16" s="422">
        <v>1000</v>
      </c>
      <c r="V16" s="422"/>
      <c r="W16" s="422">
        <v>17000</v>
      </c>
      <c r="X16" s="422"/>
      <c r="Y16" s="422"/>
      <c r="Z16" s="422"/>
      <c r="AA16" s="422"/>
      <c r="AB16" s="422">
        <v>9000</v>
      </c>
      <c r="AC16" s="422"/>
      <c r="AD16" s="423"/>
      <c r="AE16" s="429"/>
      <c r="AF16" s="431"/>
      <c r="AG16" s="422"/>
      <c r="AH16" s="431"/>
      <c r="AI16" s="422"/>
      <c r="AJ16" s="431"/>
      <c r="AK16" s="422"/>
      <c r="AL16" s="431"/>
      <c r="AM16" s="422"/>
      <c r="AN16" s="422"/>
      <c r="AO16" s="422"/>
      <c r="AP16" s="423"/>
      <c r="AQ16" s="436"/>
      <c r="AR16" s="433"/>
      <c r="AS16" s="434"/>
      <c r="AT16" s="434"/>
      <c r="AU16" s="434"/>
      <c r="AV16" s="431"/>
      <c r="AW16" s="422"/>
      <c r="AX16" s="411">
        <f t="shared" si="2"/>
        <v>27000</v>
      </c>
      <c r="AY16" s="310"/>
      <c r="AZ16" s="310"/>
      <c r="BA16" s="310"/>
      <c r="BB16" s="310"/>
    </row>
    <row r="17" spans="1:54">
      <c r="A17" s="418">
        <v>44482</v>
      </c>
      <c r="B17" s="419">
        <v>53000</v>
      </c>
      <c r="C17" s="419">
        <v>97000</v>
      </c>
      <c r="D17" s="420">
        <f t="shared" si="0"/>
        <v>150000</v>
      </c>
      <c r="E17" s="421">
        <v>8400</v>
      </c>
      <c r="F17" s="422"/>
      <c r="G17" s="423">
        <v>654</v>
      </c>
      <c r="H17" s="424">
        <f t="shared" si="1"/>
        <v>9054</v>
      </c>
      <c r="I17" s="429"/>
      <c r="J17" s="435"/>
      <c r="K17" s="228"/>
      <c r="L17" s="310"/>
      <c r="M17" s="438"/>
      <c r="N17" s="422"/>
      <c r="O17" s="310"/>
      <c r="P17" s="427">
        <v>44482</v>
      </c>
      <c r="Q17" s="422"/>
      <c r="R17" s="422"/>
      <c r="S17" s="422"/>
      <c r="T17" s="422"/>
      <c r="U17" s="422">
        <v>20000</v>
      </c>
      <c r="V17" s="422"/>
      <c r="W17" s="422">
        <v>72000</v>
      </c>
      <c r="X17" s="422"/>
      <c r="Y17" s="422">
        <v>19000</v>
      </c>
      <c r="Z17" s="422"/>
      <c r="AA17" s="422"/>
      <c r="AB17" s="422"/>
      <c r="AC17" s="422"/>
      <c r="AD17" s="423"/>
      <c r="AE17" s="429"/>
      <c r="AF17" s="431">
        <v>35000</v>
      </c>
      <c r="AG17" s="422"/>
      <c r="AH17" s="431"/>
      <c r="AI17" s="422"/>
      <c r="AJ17" s="431"/>
      <c r="AK17" s="422"/>
      <c r="AL17" s="431"/>
      <c r="AM17" s="422"/>
      <c r="AN17" s="422"/>
      <c r="AO17" s="422"/>
      <c r="AP17" s="423"/>
      <c r="AQ17" s="436"/>
      <c r="AR17" s="433"/>
      <c r="AS17" s="434"/>
      <c r="AT17" s="434"/>
      <c r="AU17" s="434"/>
      <c r="AV17" s="431"/>
      <c r="AW17" s="422"/>
      <c r="AX17" s="411">
        <f t="shared" si="2"/>
        <v>146000</v>
      </c>
      <c r="AY17" s="310"/>
      <c r="AZ17" s="310"/>
      <c r="BA17" s="310"/>
      <c r="BB17" s="310"/>
    </row>
    <row r="18" spans="1:54">
      <c r="A18" s="418">
        <v>44483</v>
      </c>
      <c r="B18" s="419">
        <v>101000</v>
      </c>
      <c r="C18" s="419">
        <v>59000</v>
      </c>
      <c r="D18" s="420">
        <f t="shared" si="0"/>
        <v>160000</v>
      </c>
      <c r="E18" s="421"/>
      <c r="F18" s="422"/>
      <c r="G18" s="423">
        <v>1932</v>
      </c>
      <c r="H18" s="424">
        <f t="shared" si="1"/>
        <v>1932</v>
      </c>
      <c r="I18" s="429"/>
      <c r="J18" s="435"/>
      <c r="K18" s="228"/>
      <c r="L18" s="310"/>
      <c r="M18" s="438"/>
      <c r="N18" s="422"/>
      <c r="O18" s="310"/>
      <c r="P18" s="427">
        <v>44483</v>
      </c>
      <c r="Q18" s="422"/>
      <c r="R18" s="422"/>
      <c r="S18" s="422"/>
      <c r="T18" s="422"/>
      <c r="U18" s="422">
        <v>57000</v>
      </c>
      <c r="V18" s="422"/>
      <c r="W18" s="422"/>
      <c r="X18" s="422"/>
      <c r="Y18" s="422">
        <v>17000</v>
      </c>
      <c r="Z18" s="422">
        <v>51000</v>
      </c>
      <c r="AA18" s="422"/>
      <c r="AB18" s="422"/>
      <c r="AC18" s="422"/>
      <c r="AD18" s="423"/>
      <c r="AE18" s="429"/>
      <c r="AF18" s="431"/>
      <c r="AG18" s="422"/>
      <c r="AH18" s="431"/>
      <c r="AI18" s="422"/>
      <c r="AJ18" s="431"/>
      <c r="AK18" s="422"/>
      <c r="AL18" s="431"/>
      <c r="AM18" s="422"/>
      <c r="AN18" s="422">
        <v>35000</v>
      </c>
      <c r="AO18" s="422"/>
      <c r="AP18" s="423"/>
      <c r="AQ18" s="436"/>
      <c r="AR18" s="433"/>
      <c r="AS18" s="434"/>
      <c r="AT18" s="434"/>
      <c r="AU18" s="434"/>
      <c r="AV18" s="431"/>
      <c r="AW18" s="422"/>
      <c r="AX18" s="411">
        <f t="shared" si="2"/>
        <v>160000</v>
      </c>
      <c r="AY18" s="310"/>
      <c r="AZ18" s="310"/>
      <c r="BA18" s="310"/>
      <c r="BB18" s="310"/>
    </row>
    <row r="19" spans="1:54">
      <c r="A19" s="418">
        <v>44484</v>
      </c>
      <c r="B19" s="419">
        <v>106000</v>
      </c>
      <c r="C19" s="419">
        <v>15000</v>
      </c>
      <c r="D19" s="420">
        <f t="shared" si="0"/>
        <v>121000</v>
      </c>
      <c r="E19" s="421">
        <f>9862+17832</f>
        <v>27694</v>
      </c>
      <c r="F19" s="422">
        <v>7260</v>
      </c>
      <c r="G19" s="423"/>
      <c r="H19" s="424">
        <f t="shared" si="1"/>
        <v>34954</v>
      </c>
      <c r="I19" s="429"/>
      <c r="J19" s="435"/>
      <c r="K19" s="228"/>
      <c r="L19" s="310"/>
      <c r="M19" s="440" t="s">
        <v>33</v>
      </c>
      <c r="N19" s="441">
        <f>SUM(N11:N18)</f>
        <v>766000</v>
      </c>
      <c r="O19" s="310"/>
      <c r="P19" s="427">
        <v>44484</v>
      </c>
      <c r="Q19" s="422"/>
      <c r="R19" s="422"/>
      <c r="S19" s="422"/>
      <c r="T19" s="422">
        <v>60000</v>
      </c>
      <c r="U19" s="422">
        <v>25000</v>
      </c>
      <c r="V19" s="422"/>
      <c r="W19" s="422">
        <v>30000</v>
      </c>
      <c r="X19" s="422"/>
      <c r="Y19" s="422"/>
      <c r="Z19" s="422">
        <v>6000</v>
      </c>
      <c r="AA19" s="422"/>
      <c r="AB19" s="422"/>
      <c r="AC19" s="422"/>
      <c r="AD19" s="423"/>
      <c r="AE19" s="429"/>
      <c r="AF19" s="431"/>
      <c r="AG19" s="422"/>
      <c r="AH19" s="431"/>
      <c r="AI19" s="422"/>
      <c r="AJ19" s="431"/>
      <c r="AK19" s="422"/>
      <c r="AL19" s="431"/>
      <c r="AM19" s="422"/>
      <c r="AN19" s="422"/>
      <c r="AO19" s="422"/>
      <c r="AP19" s="423"/>
      <c r="AQ19" s="436"/>
      <c r="AR19" s="433"/>
      <c r="AS19" s="434"/>
      <c r="AT19" s="434"/>
      <c r="AU19" s="434"/>
      <c r="AV19" s="431"/>
      <c r="AW19" s="422"/>
      <c r="AX19" s="411">
        <f t="shared" si="2"/>
        <v>121000</v>
      </c>
      <c r="AY19" s="310"/>
      <c r="AZ19" s="310"/>
      <c r="BA19" s="310"/>
      <c r="BB19" s="310"/>
    </row>
    <row r="20" spans="1:54">
      <c r="A20" s="418">
        <v>44485</v>
      </c>
      <c r="B20" s="419">
        <v>66000</v>
      </c>
      <c r="C20" s="419">
        <v>18000</v>
      </c>
      <c r="D20" s="420">
        <f t="shared" si="0"/>
        <v>84000</v>
      </c>
      <c r="E20" s="421">
        <f>3600+10022-1140</f>
        <v>12482</v>
      </c>
      <c r="F20" s="422"/>
      <c r="G20" s="423"/>
      <c r="H20" s="424">
        <f t="shared" si="1"/>
        <v>12482</v>
      </c>
      <c r="I20" s="429"/>
      <c r="J20" s="435"/>
      <c r="K20" s="228"/>
      <c r="L20" s="310"/>
      <c r="M20" s="442"/>
      <c r="N20" s="295"/>
      <c r="O20" s="310"/>
      <c r="P20" s="427">
        <v>44485</v>
      </c>
      <c r="Q20" s="422"/>
      <c r="R20" s="422"/>
      <c r="S20" s="422"/>
      <c r="T20" s="422"/>
      <c r="U20" s="422">
        <v>58000</v>
      </c>
      <c r="V20" s="422"/>
      <c r="W20" s="422">
        <v>15000</v>
      </c>
      <c r="X20" s="422"/>
      <c r="Y20" s="422"/>
      <c r="Z20" s="422">
        <v>3000</v>
      </c>
      <c r="AA20" s="422"/>
      <c r="AB20" s="422">
        <v>8000</v>
      </c>
      <c r="AC20" s="422"/>
      <c r="AD20" s="423"/>
      <c r="AE20" s="429"/>
      <c r="AF20" s="431"/>
      <c r="AG20" s="422"/>
      <c r="AH20" s="431"/>
      <c r="AI20" s="422"/>
      <c r="AJ20" s="431"/>
      <c r="AK20" s="422"/>
      <c r="AL20" s="431"/>
      <c r="AM20" s="422"/>
      <c r="AN20" s="422"/>
      <c r="AO20" s="422"/>
      <c r="AP20" s="423"/>
      <c r="AQ20" s="436"/>
      <c r="AR20" s="433"/>
      <c r="AS20" s="434"/>
      <c r="AT20" s="434"/>
      <c r="AU20" s="434"/>
      <c r="AV20" s="431"/>
      <c r="AW20" s="422"/>
      <c r="AX20" s="411">
        <f t="shared" si="2"/>
        <v>84000</v>
      </c>
      <c r="AY20" s="310"/>
      <c r="AZ20" s="310"/>
      <c r="BA20" s="310"/>
      <c r="BB20" s="310"/>
    </row>
    <row r="21" spans="1:54">
      <c r="A21" s="418">
        <v>44486</v>
      </c>
      <c r="B21" s="419">
        <v>154000</v>
      </c>
      <c r="C21" s="419">
        <v>61000</v>
      </c>
      <c r="D21" s="420">
        <f t="shared" si="0"/>
        <v>215000</v>
      </c>
      <c r="E21" s="421">
        <f>12000+2375</f>
        <v>14375</v>
      </c>
      <c r="F21" s="422"/>
      <c r="G21" s="423"/>
      <c r="H21" s="424">
        <f t="shared" si="1"/>
        <v>14375</v>
      </c>
      <c r="I21" s="429"/>
      <c r="J21" s="435"/>
      <c r="K21" s="228"/>
      <c r="L21" s="310"/>
      <c r="M21" s="310"/>
      <c r="N21" s="310"/>
      <c r="O21" s="310"/>
      <c r="P21" s="427">
        <v>44486</v>
      </c>
      <c r="Q21" s="422"/>
      <c r="R21" s="422"/>
      <c r="S21" s="422"/>
      <c r="T21" s="422"/>
      <c r="U21" s="422">
        <v>103000</v>
      </c>
      <c r="V21" s="422"/>
      <c r="W21" s="422">
        <v>88000</v>
      </c>
      <c r="X21" s="422"/>
      <c r="Y21" s="422"/>
      <c r="Z21" s="422">
        <v>7000</v>
      </c>
      <c r="AA21" s="422"/>
      <c r="AB21" s="422">
        <v>17000</v>
      </c>
      <c r="AC21" s="422"/>
      <c r="AD21" s="423"/>
      <c r="AE21" s="429"/>
      <c r="AF21" s="431"/>
      <c r="AG21" s="422"/>
      <c r="AH21" s="431"/>
      <c r="AI21" s="422"/>
      <c r="AJ21" s="431"/>
      <c r="AK21" s="422"/>
      <c r="AL21" s="431"/>
      <c r="AM21" s="422"/>
      <c r="AN21" s="422"/>
      <c r="AO21" s="422"/>
      <c r="AP21" s="422"/>
      <c r="AQ21" s="423"/>
      <c r="AR21" s="433"/>
      <c r="AS21" s="434"/>
      <c r="AT21" s="434"/>
      <c r="AU21" s="434"/>
      <c r="AV21" s="431"/>
      <c r="AW21" s="422"/>
      <c r="AX21" s="411">
        <f t="shared" si="2"/>
        <v>215000</v>
      </c>
      <c r="AY21" s="310"/>
      <c r="AZ21" s="310"/>
      <c r="BA21" s="310"/>
      <c r="BB21" s="310"/>
    </row>
    <row r="22" spans="1:54">
      <c r="A22" s="418">
        <v>44487</v>
      </c>
      <c r="B22" s="419">
        <v>202000</v>
      </c>
      <c r="C22" s="419"/>
      <c r="D22" s="420">
        <f t="shared" si="0"/>
        <v>202000</v>
      </c>
      <c r="E22" s="421">
        <v>2240</v>
      </c>
      <c r="F22" s="422">
        <v>7007</v>
      </c>
      <c r="G22" s="423">
        <v>1998</v>
      </c>
      <c r="H22" s="424">
        <f t="shared" si="1"/>
        <v>11245</v>
      </c>
      <c r="I22" s="429"/>
      <c r="J22" s="435"/>
      <c r="K22" s="228"/>
      <c r="L22" s="310"/>
      <c r="M22" s="310"/>
      <c r="N22" s="310"/>
      <c r="O22" s="310"/>
      <c r="P22" s="427">
        <v>44487</v>
      </c>
      <c r="Q22" s="422"/>
      <c r="R22" s="422"/>
      <c r="S22" s="422">
        <v>39000</v>
      </c>
      <c r="T22" s="422"/>
      <c r="U22" s="422">
        <v>134000</v>
      </c>
      <c r="V22" s="422"/>
      <c r="W22" s="422"/>
      <c r="X22" s="422"/>
      <c r="Y22" s="443">
        <v>14000</v>
      </c>
      <c r="Z22" s="443"/>
      <c r="AA22" s="422"/>
      <c r="AB22" s="422">
        <v>15000</v>
      </c>
      <c r="AC22" s="422"/>
      <c r="AD22" s="423"/>
      <c r="AE22" s="429"/>
      <c r="AF22" s="422"/>
      <c r="AG22" s="422"/>
      <c r="AH22" s="422"/>
      <c r="AI22" s="422"/>
      <c r="AJ22" s="431"/>
      <c r="AK22" s="422"/>
      <c r="AL22" s="431"/>
      <c r="AM22" s="422"/>
      <c r="AN22" s="422"/>
      <c r="AO22" s="422"/>
      <c r="AP22" s="422"/>
      <c r="AQ22" s="423"/>
      <c r="AR22" s="433"/>
      <c r="AS22" s="434"/>
      <c r="AT22" s="434"/>
      <c r="AU22" s="434"/>
      <c r="AV22" s="431"/>
      <c r="AW22" s="422"/>
      <c r="AX22" s="411">
        <f t="shared" si="2"/>
        <v>202000</v>
      </c>
      <c r="AY22" s="310"/>
      <c r="AZ22" s="310"/>
      <c r="BA22" s="310"/>
      <c r="BB22" s="310"/>
    </row>
    <row r="23" spans="1:54">
      <c r="A23" s="418">
        <v>44488</v>
      </c>
      <c r="B23" s="419">
        <v>131000</v>
      </c>
      <c r="C23" s="419">
        <v>42000</v>
      </c>
      <c r="D23" s="420">
        <f t="shared" si="0"/>
        <v>173000</v>
      </c>
      <c r="E23" s="421"/>
      <c r="F23" s="422"/>
      <c r="G23" s="423">
        <v>1511</v>
      </c>
      <c r="H23" s="424">
        <f t="shared" si="1"/>
        <v>1511</v>
      </c>
      <c r="I23" s="429"/>
      <c r="J23" s="435"/>
      <c r="K23" s="228"/>
      <c r="L23" s="310"/>
      <c r="M23" s="310"/>
      <c r="N23" s="310"/>
      <c r="O23" s="310"/>
      <c r="P23" s="427">
        <v>44488</v>
      </c>
      <c r="Q23" s="422"/>
      <c r="R23" s="422"/>
      <c r="S23" s="422"/>
      <c r="T23" s="422"/>
      <c r="U23" s="422">
        <v>85000</v>
      </c>
      <c r="V23" s="422"/>
      <c r="W23" s="422">
        <v>36000</v>
      </c>
      <c r="X23" s="422"/>
      <c r="Y23" s="444"/>
      <c r="Z23" s="444"/>
      <c r="AA23" s="422"/>
      <c r="AB23" s="422">
        <v>22000</v>
      </c>
      <c r="AC23" s="422"/>
      <c r="AD23" s="423">
        <v>21000</v>
      </c>
      <c r="AE23" s="429"/>
      <c r="AF23" s="431">
        <v>9000</v>
      </c>
      <c r="AG23" s="422"/>
      <c r="AH23" s="431"/>
      <c r="AI23" s="422"/>
      <c r="AJ23" s="431"/>
      <c r="AK23" s="422"/>
      <c r="AL23" s="431"/>
      <c r="AM23" s="422"/>
      <c r="AN23" s="422"/>
      <c r="AO23" s="422"/>
      <c r="AP23" s="422"/>
      <c r="AQ23" s="423"/>
      <c r="AR23" s="433"/>
      <c r="AS23" s="434"/>
      <c r="AT23" s="434"/>
      <c r="AU23" s="434"/>
      <c r="AV23" s="431"/>
      <c r="AW23" s="422"/>
      <c r="AX23" s="411">
        <f t="shared" si="2"/>
        <v>173000</v>
      </c>
      <c r="AY23" s="310"/>
      <c r="AZ23" s="310"/>
      <c r="BA23" s="310"/>
      <c r="BB23" s="310"/>
    </row>
    <row r="24" spans="1:54">
      <c r="A24" s="418">
        <v>44489</v>
      </c>
      <c r="B24" s="419">
        <v>78000</v>
      </c>
      <c r="C24" s="419">
        <v>55000</v>
      </c>
      <c r="D24" s="420">
        <f t="shared" si="0"/>
        <v>133000</v>
      </c>
      <c r="E24" s="421">
        <f>600+17902+1980</f>
        <v>20482</v>
      </c>
      <c r="F24" s="422"/>
      <c r="G24" s="423">
        <f>654+2994</f>
        <v>3648</v>
      </c>
      <c r="H24" s="424">
        <f t="shared" si="1"/>
        <v>24130</v>
      </c>
      <c r="I24" s="429"/>
      <c r="J24" s="435"/>
      <c r="K24" s="228"/>
      <c r="L24" s="310"/>
      <c r="M24" s="53" t="s">
        <v>34</v>
      </c>
      <c r="N24" s="445">
        <f>D37</f>
        <v>4069000</v>
      </c>
      <c r="O24" s="310"/>
      <c r="P24" s="427">
        <v>44489</v>
      </c>
      <c r="Q24" s="422"/>
      <c r="R24" s="422"/>
      <c r="S24" s="422"/>
      <c r="T24" s="422"/>
      <c r="U24" s="422">
        <v>40000</v>
      </c>
      <c r="V24" s="422"/>
      <c r="W24" s="422">
        <v>61000</v>
      </c>
      <c r="X24" s="422"/>
      <c r="Y24" s="422"/>
      <c r="Z24" s="422">
        <v>15000</v>
      </c>
      <c r="AA24" s="422"/>
      <c r="AB24" s="422">
        <v>17000</v>
      </c>
      <c r="AC24" s="422"/>
      <c r="AD24" s="423"/>
      <c r="AE24" s="429"/>
      <c r="AF24" s="431"/>
      <c r="AG24" s="422"/>
      <c r="AH24" s="431"/>
      <c r="AI24" s="422"/>
      <c r="AJ24" s="431"/>
      <c r="AK24" s="422"/>
      <c r="AL24" s="431"/>
      <c r="AM24" s="422"/>
      <c r="AN24" s="422"/>
      <c r="AO24" s="422"/>
      <c r="AP24" s="422"/>
      <c r="AQ24" s="423"/>
      <c r="AR24" s="433"/>
      <c r="AS24" s="434"/>
      <c r="AT24" s="434"/>
      <c r="AU24" s="434"/>
      <c r="AV24" s="431"/>
      <c r="AW24" s="422"/>
      <c r="AX24" s="411">
        <f t="shared" si="2"/>
        <v>133000</v>
      </c>
      <c r="AY24" s="310"/>
      <c r="AZ24" s="310"/>
      <c r="BA24" s="310"/>
      <c r="BB24" s="310"/>
    </row>
    <row r="25" spans="1:54">
      <c r="A25" s="418">
        <v>44490</v>
      </c>
      <c r="B25" s="419">
        <v>85000</v>
      </c>
      <c r="C25" s="419">
        <v>14000</v>
      </c>
      <c r="D25" s="420">
        <f t="shared" si="0"/>
        <v>99000</v>
      </c>
      <c r="E25" s="421">
        <v>6012</v>
      </c>
      <c r="F25" s="422"/>
      <c r="G25" s="423"/>
      <c r="H25" s="424">
        <f t="shared" si="1"/>
        <v>6012</v>
      </c>
      <c r="I25" s="429"/>
      <c r="J25" s="435"/>
      <c r="K25" s="228"/>
      <c r="L25" s="310"/>
      <c r="M25" s="73" t="s">
        <v>35</v>
      </c>
      <c r="N25" s="419">
        <f>H37</f>
        <v>447790</v>
      </c>
      <c r="O25" s="310"/>
      <c r="P25" s="427">
        <v>44490</v>
      </c>
      <c r="Q25" s="422"/>
      <c r="R25" s="422"/>
      <c r="S25" s="422"/>
      <c r="T25" s="422"/>
      <c r="U25" s="422">
        <v>20000</v>
      </c>
      <c r="V25" s="422"/>
      <c r="W25" s="422">
        <v>17000</v>
      </c>
      <c r="X25" s="422"/>
      <c r="Y25" s="422">
        <v>28000</v>
      </c>
      <c r="Z25" s="422">
        <v>22000</v>
      </c>
      <c r="AA25" s="422"/>
      <c r="AB25" s="422"/>
      <c r="AC25" s="422"/>
      <c r="AD25" s="423"/>
      <c r="AE25" s="429"/>
      <c r="AF25" s="431">
        <v>12000</v>
      </c>
      <c r="AG25" s="422"/>
      <c r="AH25" s="431"/>
      <c r="AI25" s="422"/>
      <c r="AJ25" s="431"/>
      <c r="AK25" s="422"/>
      <c r="AL25" s="431"/>
      <c r="AM25" s="422"/>
      <c r="AN25" s="422"/>
      <c r="AO25" s="422"/>
      <c r="AP25" s="422"/>
      <c r="AQ25" s="423"/>
      <c r="AR25" s="433"/>
      <c r="AS25" s="434"/>
      <c r="AT25" s="434"/>
      <c r="AU25" s="434"/>
      <c r="AV25" s="431"/>
      <c r="AW25" s="422"/>
      <c r="AX25" s="411">
        <f t="shared" si="2"/>
        <v>99000</v>
      </c>
      <c r="AY25" s="310"/>
      <c r="AZ25" s="310"/>
      <c r="BA25" s="310"/>
      <c r="BB25" s="310"/>
    </row>
    <row r="26" spans="1:54">
      <c r="A26" s="418">
        <v>44491</v>
      </c>
      <c r="B26" s="419">
        <v>43000</v>
      </c>
      <c r="C26" s="419">
        <v>98000</v>
      </c>
      <c r="D26" s="420">
        <f t="shared" si="0"/>
        <v>141000</v>
      </c>
      <c r="E26" s="421">
        <f>12760+8022</f>
        <v>20782</v>
      </c>
      <c r="F26" s="422"/>
      <c r="G26" s="423"/>
      <c r="H26" s="424">
        <f t="shared" si="1"/>
        <v>20782</v>
      </c>
      <c r="I26" s="429"/>
      <c r="J26" s="435"/>
      <c r="K26" s="228"/>
      <c r="L26" s="310"/>
      <c r="M26" s="73" t="s">
        <v>36</v>
      </c>
      <c r="N26" s="419">
        <f>N19</f>
        <v>766000</v>
      </c>
      <c r="O26" s="310"/>
      <c r="P26" s="427">
        <v>44491</v>
      </c>
      <c r="Q26" s="422"/>
      <c r="R26" s="422"/>
      <c r="S26" s="422"/>
      <c r="T26" s="422"/>
      <c r="U26" s="422"/>
      <c r="V26" s="422"/>
      <c r="W26" s="422">
        <v>63000</v>
      </c>
      <c r="X26" s="422"/>
      <c r="Y26" s="422"/>
      <c r="Z26" s="422">
        <v>6000</v>
      </c>
      <c r="AA26" s="422"/>
      <c r="AB26" s="422">
        <v>9000</v>
      </c>
      <c r="AC26" s="422"/>
      <c r="AD26" s="423"/>
      <c r="AE26" s="429"/>
      <c r="AF26" s="431">
        <v>63000</v>
      </c>
      <c r="AG26" s="422"/>
      <c r="AH26" s="431"/>
      <c r="AI26" s="422"/>
      <c r="AJ26" s="431"/>
      <c r="AK26" s="422"/>
      <c r="AL26" s="431"/>
      <c r="AM26" s="422"/>
      <c r="AN26" s="422"/>
      <c r="AO26" s="422"/>
      <c r="AP26" s="422"/>
      <c r="AQ26" s="423"/>
      <c r="AR26" s="433"/>
      <c r="AS26" s="434"/>
      <c r="AT26" s="434"/>
      <c r="AU26" s="434"/>
      <c r="AV26" s="431"/>
      <c r="AW26" s="422"/>
      <c r="AX26" s="411">
        <f t="shared" si="2"/>
        <v>141000</v>
      </c>
      <c r="AY26" s="310"/>
      <c r="AZ26" s="310"/>
      <c r="BA26" s="310"/>
      <c r="BB26" s="310"/>
    </row>
    <row r="27" spans="1:54">
      <c r="A27" s="418">
        <v>44492</v>
      </c>
      <c r="B27" s="419">
        <v>231500</v>
      </c>
      <c r="C27" s="419"/>
      <c r="D27" s="420">
        <f t="shared" si="0"/>
        <v>231500</v>
      </c>
      <c r="E27" s="421"/>
      <c r="F27" s="422"/>
      <c r="G27" s="423">
        <f>1188+3657</f>
        <v>4845</v>
      </c>
      <c r="H27" s="424">
        <f t="shared" si="1"/>
        <v>4845</v>
      </c>
      <c r="I27" s="429"/>
      <c r="J27" s="435"/>
      <c r="K27" s="228"/>
      <c r="L27" s="310"/>
      <c r="M27" s="446" t="s">
        <v>37</v>
      </c>
      <c r="N27" s="447">
        <f>N24-N25-N26</f>
        <v>2855210</v>
      </c>
      <c r="O27" s="310"/>
      <c r="P27" s="427">
        <v>44492</v>
      </c>
      <c r="Q27" s="422"/>
      <c r="R27" s="422"/>
      <c r="S27" s="422">
        <v>108500</v>
      </c>
      <c r="T27" s="422"/>
      <c r="U27" s="422">
        <v>103000</v>
      </c>
      <c r="V27" s="422"/>
      <c r="W27" s="422">
        <v>5000</v>
      </c>
      <c r="X27" s="422"/>
      <c r="Y27" s="422">
        <v>1000</v>
      </c>
      <c r="Z27" s="422">
        <v>5000</v>
      </c>
      <c r="AA27" s="422"/>
      <c r="AB27" s="422">
        <v>9000</v>
      </c>
      <c r="AC27" s="422"/>
      <c r="AD27" s="423"/>
      <c r="AE27" s="429"/>
      <c r="AF27" s="431"/>
      <c r="AG27" s="422"/>
      <c r="AH27" s="431"/>
      <c r="AI27" s="422"/>
      <c r="AJ27" s="431"/>
      <c r="AK27" s="422"/>
      <c r="AL27" s="431"/>
      <c r="AM27" s="422"/>
      <c r="AN27" s="422"/>
      <c r="AO27" s="422"/>
      <c r="AP27" s="422"/>
      <c r="AQ27" s="423"/>
      <c r="AR27" s="433"/>
      <c r="AS27" s="434"/>
      <c r="AT27" s="434"/>
      <c r="AU27" s="434"/>
      <c r="AV27" s="431"/>
      <c r="AW27" s="422"/>
      <c r="AX27" s="411">
        <f t="shared" si="2"/>
        <v>231500</v>
      </c>
      <c r="AY27" s="310"/>
      <c r="AZ27" s="310"/>
      <c r="BA27" s="310"/>
      <c r="BB27" s="310"/>
    </row>
    <row r="28" spans="1:54">
      <c r="A28" s="418">
        <v>44493</v>
      </c>
      <c r="B28" s="419">
        <v>136000</v>
      </c>
      <c r="C28" s="419"/>
      <c r="D28" s="420">
        <f t="shared" si="0"/>
        <v>136000</v>
      </c>
      <c r="E28" s="421">
        <f>1680+10122+4790</f>
        <v>16592</v>
      </c>
      <c r="F28" s="422"/>
      <c r="G28" s="423">
        <v>2994</v>
      </c>
      <c r="H28" s="424">
        <f t="shared" si="1"/>
        <v>19586</v>
      </c>
      <c r="I28" s="429"/>
      <c r="J28" s="435"/>
      <c r="K28" s="228"/>
      <c r="L28" s="310"/>
      <c r="M28" s="310"/>
      <c r="N28" s="310"/>
      <c r="O28" s="310"/>
      <c r="P28" s="427">
        <v>44493</v>
      </c>
      <c r="Q28" s="422"/>
      <c r="R28" s="422"/>
      <c r="S28" s="422"/>
      <c r="T28" s="422"/>
      <c r="U28" s="422">
        <v>47000</v>
      </c>
      <c r="V28" s="422"/>
      <c r="W28" s="422">
        <v>66000</v>
      </c>
      <c r="X28" s="422"/>
      <c r="Y28" s="422"/>
      <c r="Z28" s="422">
        <v>23000</v>
      </c>
      <c r="AA28" s="422"/>
      <c r="AB28" s="422"/>
      <c r="AC28" s="422"/>
      <c r="AD28" s="423"/>
      <c r="AE28" s="429"/>
      <c r="AF28" s="431"/>
      <c r="AG28" s="422"/>
      <c r="AH28" s="431"/>
      <c r="AI28" s="422"/>
      <c r="AJ28" s="431"/>
      <c r="AK28" s="422"/>
      <c r="AL28" s="431"/>
      <c r="AM28" s="422"/>
      <c r="AN28" s="422"/>
      <c r="AO28" s="422"/>
      <c r="AP28" s="422"/>
      <c r="AQ28" s="422"/>
      <c r="AR28" s="422"/>
      <c r="AS28" s="422"/>
      <c r="AT28" s="422"/>
      <c r="AU28" s="422"/>
      <c r="AV28" s="431"/>
      <c r="AW28" s="422"/>
      <c r="AX28" s="411">
        <f t="shared" si="2"/>
        <v>136000</v>
      </c>
      <c r="AY28" s="310"/>
      <c r="AZ28" s="310"/>
      <c r="BA28" s="310"/>
      <c r="BB28" s="310"/>
    </row>
    <row r="29" spans="1:54">
      <c r="A29" s="418">
        <v>44494</v>
      </c>
      <c r="B29" s="419">
        <v>89000</v>
      </c>
      <c r="C29" s="419">
        <v>23000</v>
      </c>
      <c r="D29" s="420">
        <f t="shared" si="0"/>
        <v>112000</v>
      </c>
      <c r="E29" s="421">
        <v>5580</v>
      </c>
      <c r="F29" s="422"/>
      <c r="G29" s="423"/>
      <c r="H29" s="424">
        <f t="shared" si="1"/>
        <v>5580</v>
      </c>
      <c r="I29" s="429"/>
      <c r="J29" s="435"/>
      <c r="K29" s="228"/>
      <c r="L29" s="310"/>
      <c r="M29" s="310"/>
      <c r="N29" s="310"/>
      <c r="O29" s="310"/>
      <c r="P29" s="427">
        <v>44494</v>
      </c>
      <c r="Q29" s="422"/>
      <c r="R29" s="422"/>
      <c r="S29" s="422"/>
      <c r="T29" s="422"/>
      <c r="U29" s="422">
        <v>83000</v>
      </c>
      <c r="V29" s="422"/>
      <c r="W29" s="422">
        <v>6000</v>
      </c>
      <c r="X29" s="422"/>
      <c r="Y29" s="422"/>
      <c r="Z29" s="422"/>
      <c r="AA29" s="422"/>
      <c r="AB29" s="422">
        <v>23000</v>
      </c>
      <c r="AC29" s="422"/>
      <c r="AD29" s="423"/>
      <c r="AE29" s="429"/>
      <c r="AF29" s="431"/>
      <c r="AG29" s="422"/>
      <c r="AH29" s="431"/>
      <c r="AI29" s="422"/>
      <c r="AJ29" s="431"/>
      <c r="AK29" s="422"/>
      <c r="AL29" s="431"/>
      <c r="AM29" s="422"/>
      <c r="AN29" s="422"/>
      <c r="AO29" s="422"/>
      <c r="AP29" s="422"/>
      <c r="AQ29" s="422"/>
      <c r="AR29" s="422"/>
      <c r="AS29" s="422"/>
      <c r="AT29" s="422"/>
      <c r="AU29" s="422"/>
      <c r="AV29" s="431"/>
      <c r="AW29" s="422"/>
      <c r="AX29" s="411">
        <f t="shared" si="2"/>
        <v>112000</v>
      </c>
      <c r="AY29" s="310"/>
      <c r="AZ29" s="310"/>
      <c r="BA29" s="310"/>
      <c r="BB29" s="310"/>
    </row>
    <row r="30" spans="1:54">
      <c r="A30" s="418">
        <v>44495</v>
      </c>
      <c r="B30" s="419">
        <v>237500</v>
      </c>
      <c r="C30" s="419">
        <v>51000</v>
      </c>
      <c r="D30" s="420">
        <f t="shared" si="0"/>
        <v>288500</v>
      </c>
      <c r="E30" s="421">
        <f>7776+2280</f>
        <v>10056</v>
      </c>
      <c r="F30" s="422"/>
      <c r="G30" s="423">
        <v>532</v>
      </c>
      <c r="H30" s="424">
        <f t="shared" si="1"/>
        <v>10588</v>
      </c>
      <c r="I30" s="429"/>
      <c r="J30" s="435"/>
      <c r="K30" s="228"/>
      <c r="L30" s="310"/>
      <c r="M30" s="310"/>
      <c r="N30" s="310"/>
      <c r="O30" s="310"/>
      <c r="P30" s="427">
        <v>44495</v>
      </c>
      <c r="Q30" s="422"/>
      <c r="R30" s="422"/>
      <c r="S30" s="422"/>
      <c r="T30" s="422"/>
      <c r="U30" s="422">
        <v>15000</v>
      </c>
      <c r="V30" s="422"/>
      <c r="W30" s="422">
        <v>120000</v>
      </c>
      <c r="X30" s="422"/>
      <c r="Y30" s="422"/>
      <c r="Z30" s="422">
        <v>66000</v>
      </c>
      <c r="AA30" s="422"/>
      <c r="AB30" s="422"/>
      <c r="AC30" s="422"/>
      <c r="AD30" s="423"/>
      <c r="AE30" s="429"/>
      <c r="AF30" s="431"/>
      <c r="AG30" s="422"/>
      <c r="AH30" s="431"/>
      <c r="AI30" s="422"/>
      <c r="AJ30" s="431"/>
      <c r="AK30" s="422"/>
      <c r="AL30" s="431"/>
      <c r="AM30" s="422"/>
      <c r="AN30" s="422"/>
      <c r="AO30" s="422">
        <v>87500</v>
      </c>
      <c r="AP30" s="422"/>
      <c r="AQ30" s="422"/>
      <c r="AR30" s="422"/>
      <c r="AS30" s="422"/>
      <c r="AT30" s="422"/>
      <c r="AU30" s="422"/>
      <c r="AV30" s="431"/>
      <c r="AW30" s="422"/>
      <c r="AX30" s="411">
        <f t="shared" si="2"/>
        <v>288500</v>
      </c>
      <c r="AY30" s="310"/>
      <c r="AZ30" s="310"/>
      <c r="BA30" s="310"/>
      <c r="BB30" s="310"/>
    </row>
    <row r="31" spans="1:54">
      <c r="A31" s="418">
        <v>44496</v>
      </c>
      <c r="B31" s="419">
        <v>44000</v>
      </c>
      <c r="C31" s="419">
        <v>75000</v>
      </c>
      <c r="D31" s="420">
        <f t="shared" si="0"/>
        <v>119000</v>
      </c>
      <c r="E31" s="421">
        <v>14060</v>
      </c>
      <c r="F31" s="422">
        <v>20680</v>
      </c>
      <c r="G31" s="423"/>
      <c r="H31" s="424">
        <f t="shared" si="1"/>
        <v>34740</v>
      </c>
      <c r="I31" s="429"/>
      <c r="J31" s="435"/>
      <c r="K31" s="228"/>
      <c r="L31" s="310"/>
      <c r="M31" s="310"/>
      <c r="N31" s="310"/>
      <c r="O31" s="310"/>
      <c r="P31" s="427">
        <v>44496</v>
      </c>
      <c r="Q31" s="422"/>
      <c r="R31" s="422"/>
      <c r="S31" s="422"/>
      <c r="T31" s="422"/>
      <c r="U31" s="422">
        <v>16000</v>
      </c>
      <c r="V31" s="422"/>
      <c r="W31" s="422">
        <v>75000</v>
      </c>
      <c r="X31" s="422"/>
      <c r="Y31" s="422"/>
      <c r="Z31" s="422">
        <v>3000</v>
      </c>
      <c r="AA31" s="422"/>
      <c r="AB31" s="422"/>
      <c r="AC31" s="422"/>
      <c r="AD31" s="423"/>
      <c r="AE31" s="429"/>
      <c r="AF31" s="431">
        <v>25000</v>
      </c>
      <c r="AG31" s="422"/>
      <c r="AH31" s="431"/>
      <c r="AI31" s="422"/>
      <c r="AJ31" s="431"/>
      <c r="AK31" s="422"/>
      <c r="AL31" s="431"/>
      <c r="AM31" s="422"/>
      <c r="AN31" s="422"/>
      <c r="AO31" s="422"/>
      <c r="AP31" s="422"/>
      <c r="AQ31" s="422"/>
      <c r="AR31" s="422"/>
      <c r="AS31" s="422"/>
      <c r="AT31" s="422"/>
      <c r="AU31" s="422"/>
      <c r="AV31" s="431"/>
      <c r="AW31" s="422"/>
      <c r="AX31" s="411">
        <f t="shared" si="2"/>
        <v>119000</v>
      </c>
      <c r="AY31" s="310"/>
      <c r="AZ31" s="310"/>
      <c r="BA31" s="310"/>
      <c r="BB31" s="310"/>
    </row>
    <row r="32" spans="1:54">
      <c r="A32" s="418">
        <v>44497</v>
      </c>
      <c r="B32" s="419"/>
      <c r="C32" s="419"/>
      <c r="D32" s="420">
        <f t="shared" si="0"/>
        <v>0</v>
      </c>
      <c r="E32" s="421"/>
      <c r="F32" s="422"/>
      <c r="G32" s="423"/>
      <c r="H32" s="424">
        <f t="shared" si="1"/>
        <v>0</v>
      </c>
      <c r="I32" s="429"/>
      <c r="J32" s="435"/>
      <c r="K32" s="228"/>
      <c r="L32" s="310"/>
      <c r="M32" s="310"/>
      <c r="N32" s="310"/>
      <c r="O32" s="310"/>
      <c r="P32" s="427">
        <v>44497</v>
      </c>
      <c r="Q32" s="422"/>
      <c r="R32" s="422"/>
      <c r="S32" s="422"/>
      <c r="T32" s="422"/>
      <c r="U32" s="422"/>
      <c r="V32" s="422"/>
      <c r="W32" s="422"/>
      <c r="X32" s="422"/>
      <c r="Y32" s="422"/>
      <c r="Z32" s="422"/>
      <c r="AA32" s="422"/>
      <c r="AB32" s="422"/>
      <c r="AC32" s="422"/>
      <c r="AD32" s="423"/>
      <c r="AE32" s="429"/>
      <c r="AF32" s="431"/>
      <c r="AG32" s="422"/>
      <c r="AH32" s="431"/>
      <c r="AI32" s="422"/>
      <c r="AJ32" s="431"/>
      <c r="AK32" s="422"/>
      <c r="AL32" s="431"/>
      <c r="AM32" s="422"/>
      <c r="AN32" s="422"/>
      <c r="AO32" s="422"/>
      <c r="AP32" s="422"/>
      <c r="AQ32" s="422"/>
      <c r="AR32" s="422"/>
      <c r="AS32" s="422"/>
      <c r="AT32" s="422"/>
      <c r="AU32" s="422"/>
      <c r="AV32" s="431"/>
      <c r="AW32" s="422"/>
      <c r="AX32" s="411">
        <f t="shared" si="2"/>
        <v>0</v>
      </c>
      <c r="AY32" s="310"/>
      <c r="AZ32" s="310"/>
      <c r="BA32" s="310"/>
      <c r="BB32" s="310"/>
    </row>
    <row r="33" spans="1:54">
      <c r="A33" s="418">
        <v>44498</v>
      </c>
      <c r="B33" s="419"/>
      <c r="C33" s="419"/>
      <c r="D33" s="420">
        <f t="shared" si="0"/>
        <v>0</v>
      </c>
      <c r="E33" s="421"/>
      <c r="F33" s="422"/>
      <c r="G33" s="423"/>
      <c r="H33" s="424">
        <f t="shared" si="1"/>
        <v>0</v>
      </c>
      <c r="I33" s="429"/>
      <c r="J33" s="435"/>
      <c r="K33" s="228"/>
      <c r="L33" s="310"/>
      <c r="M33" s="310"/>
      <c r="N33" s="310"/>
      <c r="O33" s="310"/>
      <c r="P33" s="427">
        <v>44498</v>
      </c>
      <c r="Q33" s="422"/>
      <c r="R33" s="422"/>
      <c r="S33" s="422"/>
      <c r="T33" s="422"/>
      <c r="U33" s="422"/>
      <c r="V33" s="422"/>
      <c r="W33" s="422"/>
      <c r="X33" s="422"/>
      <c r="Y33" s="422"/>
      <c r="Z33" s="422"/>
      <c r="AA33" s="422"/>
      <c r="AB33" s="422"/>
      <c r="AC33" s="422"/>
      <c r="AD33" s="423"/>
      <c r="AE33" s="429"/>
      <c r="AF33" s="431"/>
      <c r="AG33" s="422"/>
      <c r="AH33" s="431"/>
      <c r="AI33" s="422"/>
      <c r="AJ33" s="431"/>
      <c r="AK33" s="422"/>
      <c r="AL33" s="431"/>
      <c r="AM33" s="422"/>
      <c r="AN33" s="422"/>
      <c r="AO33" s="422"/>
      <c r="AP33" s="422"/>
      <c r="AQ33" s="422"/>
      <c r="AR33" s="422"/>
      <c r="AS33" s="422"/>
      <c r="AT33" s="422"/>
      <c r="AU33" s="422"/>
      <c r="AV33" s="431"/>
      <c r="AW33" s="422"/>
      <c r="AX33" s="411">
        <f t="shared" si="2"/>
        <v>0</v>
      </c>
      <c r="AY33" s="310"/>
      <c r="AZ33" s="310"/>
      <c r="BA33" s="310"/>
      <c r="BB33" s="310"/>
    </row>
    <row r="34" spans="1:54">
      <c r="A34" s="418">
        <v>44499</v>
      </c>
      <c r="B34" s="419">
        <v>172000</v>
      </c>
      <c r="C34" s="419">
        <v>84000</v>
      </c>
      <c r="D34" s="420">
        <f t="shared" si="0"/>
        <v>256000</v>
      </c>
      <c r="E34" s="421">
        <f>10900+4180+5680</f>
        <v>20760</v>
      </c>
      <c r="F34" s="422">
        <v>2762</v>
      </c>
      <c r="G34" s="423">
        <f>2994+267</f>
        <v>3261</v>
      </c>
      <c r="H34" s="424">
        <f t="shared" si="1"/>
        <v>26783</v>
      </c>
      <c r="I34" s="429"/>
      <c r="J34" s="435"/>
      <c r="K34" s="228"/>
      <c r="L34" s="310"/>
      <c r="M34" s="310"/>
      <c r="N34" s="310"/>
      <c r="O34" s="310"/>
      <c r="P34" s="427">
        <v>44499</v>
      </c>
      <c r="Q34" s="443"/>
      <c r="R34" s="443"/>
      <c r="S34" s="443"/>
      <c r="T34" s="443"/>
      <c r="U34" s="443">
        <v>93000</v>
      </c>
      <c r="V34" s="443"/>
      <c r="W34" s="443">
        <v>90000</v>
      </c>
      <c r="X34" s="443"/>
      <c r="Y34" s="443"/>
      <c r="Z34" s="443">
        <v>10000</v>
      </c>
      <c r="AA34" s="443"/>
      <c r="AB34" s="443">
        <v>45000</v>
      </c>
      <c r="AC34" s="443"/>
      <c r="AD34" s="411"/>
      <c r="AE34" s="448"/>
      <c r="AF34" s="449"/>
      <c r="AG34" s="443"/>
      <c r="AH34" s="449">
        <v>18000</v>
      </c>
      <c r="AI34" s="443"/>
      <c r="AJ34" s="449"/>
      <c r="AK34" s="443"/>
      <c r="AL34" s="449"/>
      <c r="AM34" s="443"/>
      <c r="AN34" s="443"/>
      <c r="AO34" s="443"/>
      <c r="AP34" s="443"/>
      <c r="AQ34" s="443"/>
      <c r="AR34" s="443"/>
      <c r="AS34" s="443"/>
      <c r="AT34" s="443"/>
      <c r="AU34" s="443"/>
      <c r="AV34" s="449"/>
      <c r="AW34" s="443"/>
      <c r="AX34" s="411">
        <f t="shared" si="2"/>
        <v>256000</v>
      </c>
      <c r="AY34" s="310"/>
      <c r="AZ34" s="310"/>
      <c r="BA34" s="310"/>
      <c r="BB34" s="310"/>
    </row>
    <row r="35" spans="1:54" ht="21" thickBot="1">
      <c r="A35" s="418">
        <v>44500</v>
      </c>
      <c r="B35" s="419">
        <v>112000</v>
      </c>
      <c r="C35" s="419"/>
      <c r="D35" s="420">
        <f t="shared" si="0"/>
        <v>112000</v>
      </c>
      <c r="E35" s="421"/>
      <c r="F35" s="422"/>
      <c r="G35" s="423"/>
      <c r="H35" s="424">
        <f t="shared" si="1"/>
        <v>0</v>
      </c>
      <c r="I35" s="450"/>
      <c r="J35" s="451"/>
      <c r="K35" s="478"/>
      <c r="L35" s="310"/>
      <c r="M35" s="310"/>
      <c r="N35" s="310"/>
      <c r="O35" s="310"/>
      <c r="P35" s="427">
        <v>44500</v>
      </c>
      <c r="Q35" s="452"/>
      <c r="R35" s="452"/>
      <c r="S35" s="452"/>
      <c r="T35" s="452"/>
      <c r="U35" s="452">
        <v>14000</v>
      </c>
      <c r="V35" s="452"/>
      <c r="W35" s="452">
        <v>3000</v>
      </c>
      <c r="X35" s="452"/>
      <c r="Y35" s="452"/>
      <c r="Z35" s="452">
        <v>51000</v>
      </c>
      <c r="AA35" s="452"/>
      <c r="AB35" s="452"/>
      <c r="AC35" s="452"/>
      <c r="AD35" s="452"/>
      <c r="AE35" s="452"/>
      <c r="AF35" s="452">
        <v>43000</v>
      </c>
      <c r="AG35" s="452"/>
      <c r="AH35" s="452"/>
      <c r="AI35" s="452"/>
      <c r="AJ35" s="452"/>
      <c r="AK35" s="452"/>
      <c r="AL35" s="452"/>
      <c r="AM35" s="452"/>
      <c r="AN35" s="452"/>
      <c r="AO35" s="452"/>
      <c r="AP35" s="452">
        <v>2000</v>
      </c>
      <c r="AQ35" s="452"/>
      <c r="AR35" s="452"/>
      <c r="AS35" s="452"/>
      <c r="AT35" s="452"/>
      <c r="AU35" s="452"/>
      <c r="AV35" s="452"/>
      <c r="AW35" s="452"/>
      <c r="AX35" s="411">
        <f t="shared" si="2"/>
        <v>113000</v>
      </c>
      <c r="AY35" s="310"/>
      <c r="AZ35" s="310"/>
      <c r="BA35" s="310"/>
      <c r="BB35" s="310"/>
    </row>
    <row r="36" spans="1:54" ht="21" thickBot="1">
      <c r="A36" s="453"/>
      <c r="B36" s="66" t="s">
        <v>38</v>
      </c>
      <c r="C36" s="454" t="s">
        <v>39</v>
      </c>
      <c r="D36" s="455" t="s">
        <v>34</v>
      </c>
      <c r="E36" s="68" t="s">
        <v>312</v>
      </c>
      <c r="F36" s="397" t="s">
        <v>313</v>
      </c>
      <c r="G36" s="456" t="s">
        <v>16</v>
      </c>
      <c r="H36" s="71" t="s">
        <v>41</v>
      </c>
      <c r="I36" s="72" t="s">
        <v>311</v>
      </c>
      <c r="J36" s="457" t="s">
        <v>43</v>
      </c>
      <c r="K36" s="458"/>
      <c r="L36" s="310"/>
      <c r="M36" s="310"/>
      <c r="N36" s="310"/>
      <c r="O36" s="310"/>
      <c r="P36" s="80"/>
      <c r="Q36" s="433">
        <f>SUM(Q5:Q35)</f>
        <v>0</v>
      </c>
      <c r="R36" s="433">
        <f t="shared" ref="R36:AW36" si="3">SUM(R5:R35)</f>
        <v>0</v>
      </c>
      <c r="S36" s="433">
        <f t="shared" si="3"/>
        <v>147500</v>
      </c>
      <c r="T36" s="433">
        <f t="shared" si="3"/>
        <v>60000</v>
      </c>
      <c r="U36" s="433">
        <f t="shared" si="3"/>
        <v>1317000</v>
      </c>
      <c r="V36" s="433">
        <f t="shared" si="3"/>
        <v>40000</v>
      </c>
      <c r="W36" s="433">
        <f t="shared" si="3"/>
        <v>982000</v>
      </c>
      <c r="X36" s="433">
        <f t="shared" si="3"/>
        <v>50000</v>
      </c>
      <c r="Y36" s="433">
        <f t="shared" si="3"/>
        <v>106000</v>
      </c>
      <c r="Z36" s="433">
        <f t="shared" si="3"/>
        <v>376000</v>
      </c>
      <c r="AA36" s="433">
        <f t="shared" si="3"/>
        <v>0</v>
      </c>
      <c r="AB36" s="433">
        <f t="shared" si="3"/>
        <v>216000</v>
      </c>
      <c r="AC36" s="433">
        <f t="shared" si="3"/>
        <v>0</v>
      </c>
      <c r="AD36" s="433">
        <f t="shared" si="3"/>
        <v>45000</v>
      </c>
      <c r="AE36" s="433">
        <f t="shared" si="3"/>
        <v>0</v>
      </c>
      <c r="AF36" s="433">
        <f t="shared" si="3"/>
        <v>487000</v>
      </c>
      <c r="AG36" s="433">
        <f t="shared" si="3"/>
        <v>0</v>
      </c>
      <c r="AH36" s="433">
        <f t="shared" si="3"/>
        <v>35000</v>
      </c>
      <c r="AI36" s="433">
        <f t="shared" si="3"/>
        <v>0</v>
      </c>
      <c r="AJ36" s="433">
        <f t="shared" si="3"/>
        <v>28000</v>
      </c>
      <c r="AK36" s="433">
        <f t="shared" si="3"/>
        <v>0</v>
      </c>
      <c r="AL36" s="433">
        <f t="shared" si="3"/>
        <v>25000</v>
      </c>
      <c r="AM36" s="433">
        <f t="shared" si="3"/>
        <v>0</v>
      </c>
      <c r="AN36" s="433">
        <f t="shared" si="3"/>
        <v>65000</v>
      </c>
      <c r="AO36" s="433">
        <f t="shared" si="3"/>
        <v>87500</v>
      </c>
      <c r="AP36" s="433">
        <f t="shared" si="3"/>
        <v>2000</v>
      </c>
      <c r="AQ36" s="433">
        <f t="shared" si="3"/>
        <v>0</v>
      </c>
      <c r="AR36" s="433">
        <f t="shared" si="3"/>
        <v>0</v>
      </c>
      <c r="AS36" s="433">
        <f t="shared" si="3"/>
        <v>0</v>
      </c>
      <c r="AT36" s="433">
        <f t="shared" si="3"/>
        <v>0</v>
      </c>
      <c r="AU36" s="433">
        <f t="shared" si="3"/>
        <v>0</v>
      </c>
      <c r="AV36" s="433">
        <f t="shared" si="3"/>
        <v>0</v>
      </c>
      <c r="AW36" s="433">
        <f t="shared" si="3"/>
        <v>0</v>
      </c>
      <c r="AX36" s="411">
        <f t="shared" si="2"/>
        <v>4069000</v>
      </c>
      <c r="AY36" s="310"/>
      <c r="AZ36" s="310"/>
      <c r="BA36" s="310"/>
      <c r="BB36" s="310"/>
    </row>
    <row r="37" spans="1:54" ht="22" thickTop="1" thickBot="1">
      <c r="A37" s="459" t="s">
        <v>33</v>
      </c>
      <c r="B37" s="460">
        <f>SUM(B5:B35)</f>
        <v>3092000</v>
      </c>
      <c r="C37" s="460">
        <f>SUM(C5:C35)</f>
        <v>977000</v>
      </c>
      <c r="D37" s="460">
        <f>SUM(B37:C37)</f>
        <v>4069000</v>
      </c>
      <c r="E37" s="482">
        <f>SUM(E5:E35)</f>
        <v>368739</v>
      </c>
      <c r="F37" s="482">
        <f>SUM(F5:F35)</f>
        <v>47260</v>
      </c>
      <c r="G37" s="482">
        <f>SUM(G5:G35)</f>
        <v>31791</v>
      </c>
      <c r="H37" s="483">
        <f>SUM(E37:G37)</f>
        <v>447790</v>
      </c>
      <c r="I37" s="450">
        <v>0</v>
      </c>
      <c r="J37" s="484"/>
      <c r="K37" s="458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</row>
    <row r="38" spans="1:54">
      <c r="A38" s="310"/>
      <c r="B38" s="461"/>
      <c r="C38" s="310"/>
      <c r="D38" s="310"/>
      <c r="E38" s="411"/>
      <c r="F38" s="411"/>
      <c r="G38" s="411"/>
      <c r="H38" s="411"/>
      <c r="I38" s="411"/>
      <c r="J38" s="411"/>
      <c r="K38" s="310"/>
      <c r="L38" s="310"/>
      <c r="M38" s="310"/>
      <c r="N38" s="310"/>
      <c r="O38" s="310"/>
      <c r="P38" s="604" t="s">
        <v>283</v>
      </c>
      <c r="Q38" s="600">
        <v>0</v>
      </c>
      <c r="R38" s="600">
        <v>0</v>
      </c>
      <c r="S38" s="632">
        <f>S36*0.35</f>
        <v>51625</v>
      </c>
      <c r="T38" s="632">
        <f>T36*0.3</f>
        <v>18000</v>
      </c>
      <c r="U38" s="634">
        <f>U36*0.4</f>
        <v>526800</v>
      </c>
      <c r="V38" s="634">
        <f>V36*0.3</f>
        <v>12000</v>
      </c>
      <c r="W38" s="636">
        <f>W36*0.4</f>
        <v>392800</v>
      </c>
      <c r="X38" s="636">
        <f>X36*0.3</f>
        <v>15000</v>
      </c>
      <c r="Y38" s="630">
        <v>0</v>
      </c>
      <c r="Z38" s="628">
        <f>Z36*0.35</f>
        <v>131600</v>
      </c>
      <c r="AA38" s="628">
        <v>0</v>
      </c>
      <c r="AB38" s="628">
        <f>AB36*0.35</f>
        <v>75600</v>
      </c>
      <c r="AC38" s="628">
        <v>0</v>
      </c>
      <c r="AD38" s="628">
        <f>AD36*0.35</f>
        <v>15749.999999999998</v>
      </c>
      <c r="AE38" s="628">
        <v>0</v>
      </c>
      <c r="AF38" s="628">
        <f>AF36*0.35</f>
        <v>170450</v>
      </c>
      <c r="AG38" s="628">
        <v>0</v>
      </c>
      <c r="AH38" s="628">
        <f>AH36*0.35</f>
        <v>12250</v>
      </c>
      <c r="AI38" s="628">
        <v>0</v>
      </c>
      <c r="AJ38" s="628">
        <f>AJ36*0.35</f>
        <v>9800</v>
      </c>
      <c r="AK38" s="628">
        <v>0</v>
      </c>
      <c r="AL38" s="628">
        <f>AL36*0.35</f>
        <v>8750</v>
      </c>
      <c r="AM38" s="628">
        <v>0</v>
      </c>
      <c r="AN38" s="628">
        <f>AN36*0.35</f>
        <v>22750</v>
      </c>
      <c r="AO38" s="628">
        <f>AO36*0.35</f>
        <v>30624.999999999996</v>
      </c>
      <c r="AP38" s="628">
        <f>AP36*0.35</f>
        <v>700</v>
      </c>
      <c r="AQ38" s="628">
        <v>0</v>
      </c>
      <c r="AR38" s="628">
        <v>0</v>
      </c>
      <c r="AS38" s="628">
        <v>0</v>
      </c>
      <c r="AT38" s="628">
        <v>0</v>
      </c>
      <c r="AU38" s="628">
        <v>0</v>
      </c>
      <c r="AV38" s="628">
        <v>0</v>
      </c>
      <c r="AW38" s="628">
        <v>0</v>
      </c>
      <c r="AX38" s="310"/>
      <c r="AY38" s="310"/>
      <c r="AZ38" s="310"/>
      <c r="BA38" s="310"/>
      <c r="BB38" s="310"/>
    </row>
    <row r="39" spans="1:54">
      <c r="A39" s="310"/>
      <c r="B39" s="566" t="s">
        <v>314</v>
      </c>
      <c r="C39" s="570"/>
      <c r="D39" s="566" t="s">
        <v>47</v>
      </c>
      <c r="E39" s="570"/>
      <c r="F39" s="411"/>
      <c r="G39" s="310"/>
      <c r="H39" s="310"/>
      <c r="I39" s="411"/>
      <c r="J39" s="411"/>
      <c r="K39" s="310"/>
      <c r="L39" s="310"/>
      <c r="M39" s="310"/>
      <c r="N39" s="310"/>
      <c r="O39" s="310"/>
      <c r="P39" s="605"/>
      <c r="Q39" s="601"/>
      <c r="R39" s="601"/>
      <c r="S39" s="633"/>
      <c r="T39" s="633"/>
      <c r="U39" s="635"/>
      <c r="V39" s="635"/>
      <c r="W39" s="637"/>
      <c r="X39" s="637"/>
      <c r="Y39" s="631"/>
      <c r="Z39" s="629"/>
      <c r="AA39" s="629"/>
      <c r="AB39" s="629"/>
      <c r="AC39" s="629"/>
      <c r="AD39" s="629"/>
      <c r="AE39" s="629"/>
      <c r="AF39" s="629"/>
      <c r="AG39" s="629"/>
      <c r="AH39" s="629"/>
      <c r="AI39" s="629"/>
      <c r="AJ39" s="629"/>
      <c r="AK39" s="629"/>
      <c r="AL39" s="629"/>
      <c r="AM39" s="629"/>
      <c r="AN39" s="629"/>
      <c r="AO39" s="629"/>
      <c r="AP39" s="629"/>
      <c r="AQ39" s="629"/>
      <c r="AR39" s="629"/>
      <c r="AS39" s="629"/>
      <c r="AT39" s="629"/>
      <c r="AU39" s="629"/>
      <c r="AV39" s="629"/>
      <c r="AW39" s="629"/>
      <c r="AX39" s="310"/>
      <c r="AY39" s="310"/>
      <c r="AZ39" s="310"/>
      <c r="BA39" s="310"/>
      <c r="BB39" s="310"/>
    </row>
    <row r="40" spans="1:54">
      <c r="A40" s="310"/>
      <c r="B40" s="626" t="s">
        <v>316</v>
      </c>
      <c r="C40" s="627"/>
      <c r="D40" s="624">
        <v>80000</v>
      </c>
      <c r="E40" s="625"/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464"/>
      <c r="R40" s="465"/>
      <c r="S40" s="465"/>
      <c r="T40" s="465"/>
      <c r="U40" s="465"/>
      <c r="V40" s="465"/>
      <c r="W40" s="465"/>
      <c r="X40" s="465"/>
      <c r="Y40" s="465"/>
      <c r="Z40" s="465"/>
      <c r="AA40" s="465"/>
      <c r="AB40" s="465"/>
      <c r="AC40" s="465"/>
      <c r="AD40" s="465"/>
      <c r="AE40" s="465"/>
      <c r="AF40" s="465"/>
      <c r="AG40" s="465"/>
      <c r="AH40" s="465"/>
      <c r="AI40" s="465"/>
      <c r="AJ40" s="465"/>
      <c r="AK40" s="465"/>
      <c r="AL40" s="465"/>
      <c r="AM40" s="465"/>
      <c r="AN40" s="465"/>
      <c r="AO40" s="465"/>
      <c r="AP40" s="465"/>
      <c r="AQ40" s="465"/>
      <c r="AR40" s="465"/>
      <c r="AS40" s="465"/>
      <c r="AT40" s="465"/>
      <c r="AU40" s="465"/>
      <c r="AV40" s="465"/>
      <c r="AW40" s="465"/>
      <c r="AX40" s="465"/>
      <c r="AY40" s="310"/>
      <c r="AZ40" s="310"/>
      <c r="BA40" s="310"/>
      <c r="BB40" s="310"/>
    </row>
    <row r="41" spans="1:54">
      <c r="A41" s="310"/>
      <c r="B41" s="310"/>
      <c r="C41" s="310"/>
      <c r="D41" s="310"/>
      <c r="E41" s="467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464"/>
      <c r="R41" s="465"/>
      <c r="S41" s="465"/>
      <c r="T41" s="465"/>
      <c r="U41" s="465"/>
      <c r="V41" s="465"/>
      <c r="W41" s="465"/>
      <c r="X41" s="465"/>
      <c r="Y41" s="465"/>
      <c r="Z41" s="465"/>
      <c r="AA41" s="465"/>
      <c r="AB41" s="465"/>
      <c r="AC41" s="465"/>
      <c r="AD41" s="465"/>
      <c r="AE41" s="465"/>
      <c r="AF41" s="465"/>
      <c r="AG41" s="465"/>
      <c r="AH41" s="465"/>
      <c r="AI41" s="465"/>
      <c r="AJ41" s="465"/>
      <c r="AK41" s="465"/>
      <c r="AL41" s="465"/>
      <c r="AM41" s="465"/>
      <c r="AN41" s="465"/>
      <c r="AO41" s="465"/>
      <c r="AP41" s="465"/>
      <c r="AQ41" s="465"/>
      <c r="AR41" s="465"/>
      <c r="AS41" s="465"/>
      <c r="AT41" s="465"/>
      <c r="AU41" s="465"/>
      <c r="AV41" s="465"/>
      <c r="AW41" s="465"/>
      <c r="AX41" s="465"/>
      <c r="AY41" s="310"/>
      <c r="AZ41" s="310"/>
      <c r="BA41" s="310"/>
      <c r="BB41" s="310"/>
    </row>
    <row r="42" spans="1:54">
      <c r="A42" s="310"/>
      <c r="B42" s="566" t="s">
        <v>315</v>
      </c>
      <c r="C42" s="570"/>
      <c r="D42" s="566" t="s">
        <v>284</v>
      </c>
      <c r="E42" s="570"/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0"/>
      <c r="AD42" s="310"/>
      <c r="AE42" s="310"/>
      <c r="AF42" s="310"/>
      <c r="AG42" s="310"/>
      <c r="AH42" s="310"/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</row>
    <row r="43" spans="1:54">
      <c r="A43" s="310"/>
      <c r="B43" s="622">
        <f>B37-D40</f>
        <v>3012000</v>
      </c>
      <c r="C43" s="623"/>
      <c r="D43" s="624">
        <f>D40-F37-G37</f>
        <v>949</v>
      </c>
      <c r="E43" s="625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0"/>
      <c r="AC43" s="310"/>
      <c r="AD43" s="310"/>
      <c r="AE43" s="310"/>
      <c r="AF43" s="310"/>
      <c r="AG43" s="310"/>
      <c r="AH43" s="310"/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</row>
    <row r="44" spans="1:54">
      <c r="A44" s="310"/>
      <c r="B44" s="310"/>
      <c r="C44" s="310"/>
      <c r="D44" s="310"/>
      <c r="E44" s="310"/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  <c r="AA44" s="310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</row>
    <row r="45" spans="1:54">
      <c r="A45" s="310"/>
      <c r="B45" s="310"/>
      <c r="C45" s="310"/>
      <c r="D45" s="310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  <c r="Y45" s="310"/>
      <c r="Z45" s="310"/>
      <c r="AA45" s="310"/>
      <c r="AB45" s="310"/>
      <c r="AC45" s="310"/>
      <c r="AD45" s="310"/>
      <c r="AE45" s="310"/>
      <c r="AF45" s="310"/>
      <c r="AG45" s="310"/>
      <c r="AH45" s="310"/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</row>
    <row r="46" spans="1:54">
      <c r="A46" s="310"/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  <c r="AA46" s="310"/>
      <c r="AB46" s="310"/>
      <c r="AC46" s="310"/>
      <c r="AD46" s="310"/>
      <c r="AE46" s="310"/>
      <c r="AF46" s="310"/>
      <c r="AG46" s="310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</row>
    <row r="47" spans="1:54">
      <c r="A47" s="310"/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10"/>
      <c r="S47" s="310"/>
      <c r="T47" s="310"/>
      <c r="U47" s="310"/>
      <c r="V47" s="310"/>
      <c r="W47" s="310"/>
      <c r="X47" s="310"/>
      <c r="Y47" s="310"/>
      <c r="Z47" s="310"/>
      <c r="AA47" s="310"/>
      <c r="AB47" s="310"/>
      <c r="AC47" s="310"/>
      <c r="AD47" s="310"/>
      <c r="AE47" s="310"/>
      <c r="AF47" s="310"/>
      <c r="AG47" s="310"/>
      <c r="AH47" s="310"/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</row>
    <row r="48" spans="1:54">
      <c r="A48" s="310"/>
      <c r="B48" s="310"/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0"/>
      <c r="AA48" s="310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</row>
    <row r="49" spans="1:54">
      <c r="A49" s="310"/>
      <c r="B49" s="310"/>
      <c r="C49" s="310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310"/>
      <c r="AA49" s="310"/>
      <c r="AB49" s="310"/>
      <c r="AC49" s="310"/>
      <c r="AD49" s="310"/>
      <c r="AE49" s="310"/>
      <c r="AF49" s="310"/>
      <c r="AG49" s="310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</row>
  </sheetData>
  <mergeCells count="86">
    <mergeCell ref="I3:I4"/>
    <mergeCell ref="A1:A2"/>
    <mergeCell ref="B1:B2"/>
    <mergeCell ref="A3:A4"/>
    <mergeCell ref="B3:D3"/>
    <mergeCell ref="E3:H3"/>
    <mergeCell ref="Z3:Z4"/>
    <mergeCell ref="J3:J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L3:AL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X3:AX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Y38:Y39"/>
    <mergeCell ref="M10:N10"/>
    <mergeCell ref="N11:N12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K38:AK39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AH38:AH39"/>
    <mergeCell ref="AI38:AI39"/>
    <mergeCell ref="AJ38:AJ39"/>
    <mergeCell ref="AW38:AW39"/>
    <mergeCell ref="AL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U38:AU39"/>
    <mergeCell ref="AV38:AV39"/>
    <mergeCell ref="B43:C43"/>
    <mergeCell ref="D43:E43"/>
    <mergeCell ref="B39:C39"/>
    <mergeCell ref="D39:E39"/>
    <mergeCell ref="B40:C40"/>
    <mergeCell ref="D40:E40"/>
    <mergeCell ref="B42:C42"/>
    <mergeCell ref="D42:E42"/>
  </mergeCells>
  <phoneticPr fontId="7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EA3B-95CD-254F-9BEA-BB8E21CB7847}">
  <dimension ref="A1:BA49"/>
  <sheetViews>
    <sheetView topLeftCell="A2" zoomScale="87" workbookViewId="0">
      <selection activeCell="Y40" sqref="Y40"/>
    </sheetView>
  </sheetViews>
  <sheetFormatPr baseColWidth="10" defaultRowHeight="20"/>
  <cols>
    <col min="1" max="1" width="14.5703125" bestFit="1" customWidth="1"/>
    <col min="38" max="38" width="13.85546875" bestFit="1" customWidth="1"/>
  </cols>
  <sheetData>
    <row r="1" spans="1:53">
      <c r="A1" s="498">
        <v>2021</v>
      </c>
      <c r="B1" s="500">
        <v>11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297</v>
      </c>
      <c r="AC3" s="494">
        <v>0.3</v>
      </c>
      <c r="AD3" s="496" t="s">
        <v>120</v>
      </c>
      <c r="AE3" s="494">
        <v>0.3</v>
      </c>
      <c r="AF3" s="527" t="s">
        <v>262</v>
      </c>
      <c r="AG3" s="494">
        <v>0.3</v>
      </c>
      <c r="AH3" s="492" t="s">
        <v>139</v>
      </c>
      <c r="AI3" s="494">
        <v>0.3</v>
      </c>
      <c r="AJ3" s="496" t="s">
        <v>280</v>
      </c>
      <c r="AK3" s="494">
        <v>0.3</v>
      </c>
      <c r="AL3" s="496" t="s">
        <v>327</v>
      </c>
      <c r="AM3" s="523">
        <v>0.3</v>
      </c>
      <c r="AN3" s="496" t="s">
        <v>300</v>
      </c>
      <c r="AO3" s="520" t="s">
        <v>160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1"/>
      <c r="AY3" s="1"/>
      <c r="AZ3" s="1"/>
      <c r="BA3" s="1"/>
    </row>
    <row r="4" spans="1:53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1"/>
      <c r="AY4" s="1"/>
      <c r="AZ4" s="1"/>
      <c r="BA4" s="1"/>
    </row>
    <row r="5" spans="1:53">
      <c r="A5" s="21">
        <f t="shared" ref="A5:A35" si="0">IF(DAY(DATE($A$1,$B$1,ROW()-4))=ROW()-4,DATE($A$1,$B$1,ROW()-4),"")</f>
        <v>44501</v>
      </c>
      <c r="B5" s="23">
        <v>103000</v>
      </c>
      <c r="C5" s="23">
        <v>10000</v>
      </c>
      <c r="D5" s="24">
        <f t="shared" ref="D5:D35" si="1">SUM(B5:C5)</f>
        <v>113000</v>
      </c>
      <c r="E5" s="25">
        <f>26800+7520</f>
        <v>34320</v>
      </c>
      <c r="F5" s="26"/>
      <c r="G5" s="27">
        <v>641</v>
      </c>
      <c r="H5" s="216">
        <f t="shared" ref="H5:H35" si="2">SUM(E5:G5)</f>
        <v>34961</v>
      </c>
      <c r="I5" s="27"/>
      <c r="J5" s="28"/>
      <c r="K5" s="29"/>
      <c r="L5" s="1"/>
      <c r="M5" s="1"/>
      <c r="N5" s="1"/>
      <c r="O5" s="1"/>
      <c r="P5" s="55">
        <v>44501</v>
      </c>
      <c r="Q5" s="35"/>
      <c r="R5" s="138"/>
      <c r="S5" s="139"/>
      <c r="T5" s="138"/>
      <c r="U5" s="190">
        <v>43000</v>
      </c>
      <c r="V5" s="138"/>
      <c r="W5" s="141">
        <v>30000</v>
      </c>
      <c r="X5" s="138"/>
      <c r="Y5" s="166"/>
      <c r="Z5" s="142">
        <v>10000</v>
      </c>
      <c r="AA5" s="138"/>
      <c r="AB5" s="143"/>
      <c r="AC5" s="138"/>
      <c r="AD5" s="144"/>
      <c r="AE5" s="138"/>
      <c r="AF5" s="145"/>
      <c r="AG5" s="138"/>
      <c r="AH5" s="146">
        <v>30000</v>
      </c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1"/>
      <c r="AY5" s="1"/>
      <c r="AZ5" s="1"/>
      <c r="BA5" s="1"/>
    </row>
    <row r="6" spans="1:53">
      <c r="A6" s="21">
        <f t="shared" si="0"/>
        <v>44502</v>
      </c>
      <c r="B6" s="38">
        <v>50000</v>
      </c>
      <c r="C6" s="23">
        <v>52000</v>
      </c>
      <c r="D6" s="24">
        <f t="shared" si="1"/>
        <v>102000</v>
      </c>
      <c r="E6" s="40">
        <f>9772+3000</f>
        <v>12772</v>
      </c>
      <c r="F6" s="35"/>
      <c r="G6" s="27"/>
      <c r="H6" s="216">
        <f t="shared" si="2"/>
        <v>12772</v>
      </c>
      <c r="I6" s="35"/>
      <c r="J6" s="41"/>
      <c r="K6" s="29"/>
      <c r="L6" s="1"/>
      <c r="M6" s="1"/>
      <c r="N6" s="1"/>
      <c r="O6" s="1"/>
      <c r="P6" s="55">
        <v>44502</v>
      </c>
      <c r="Q6" s="35"/>
      <c r="R6" s="138"/>
      <c r="S6" s="139"/>
      <c r="T6" s="138"/>
      <c r="U6" s="143">
        <v>26000</v>
      </c>
      <c r="V6" s="138"/>
      <c r="W6" s="147">
        <v>75000</v>
      </c>
      <c r="X6" s="138"/>
      <c r="Y6" s="166"/>
      <c r="Z6" s="142">
        <v>1000</v>
      </c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1"/>
      <c r="AY6" s="1"/>
      <c r="AZ6" s="1"/>
      <c r="BA6" s="1"/>
    </row>
    <row r="7" spans="1:53">
      <c r="A7" s="21">
        <f t="shared" si="0"/>
        <v>44503</v>
      </c>
      <c r="B7" s="38">
        <v>110000</v>
      </c>
      <c r="C7" s="23">
        <v>38000</v>
      </c>
      <c r="D7" s="24">
        <f t="shared" si="1"/>
        <v>148000</v>
      </c>
      <c r="E7" s="40">
        <v>14270</v>
      </c>
      <c r="F7" s="35"/>
      <c r="G7" s="27">
        <v>772</v>
      </c>
      <c r="H7" s="216">
        <f t="shared" si="2"/>
        <v>15042</v>
      </c>
      <c r="I7" s="35"/>
      <c r="J7" s="41"/>
      <c r="K7" s="29"/>
      <c r="L7" s="1"/>
      <c r="M7" s="1"/>
      <c r="N7" s="1"/>
      <c r="O7" s="1"/>
      <c r="P7" s="55">
        <v>44503</v>
      </c>
      <c r="Q7" s="35"/>
      <c r="R7" s="138"/>
      <c r="S7" s="139">
        <v>6000</v>
      </c>
      <c r="T7" s="138"/>
      <c r="U7" s="143"/>
      <c r="V7" s="138"/>
      <c r="W7" s="147">
        <v>57000</v>
      </c>
      <c r="X7" s="138"/>
      <c r="Y7" s="166">
        <v>10000</v>
      </c>
      <c r="Z7" s="142">
        <v>30000</v>
      </c>
      <c r="AA7" s="138"/>
      <c r="AB7" s="139">
        <v>15000</v>
      </c>
      <c r="AC7" s="138"/>
      <c r="AD7" s="148"/>
      <c r="AE7" s="138"/>
      <c r="AF7" s="149">
        <v>30000</v>
      </c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1"/>
      <c r="AY7" s="1"/>
      <c r="AZ7" s="1"/>
      <c r="BA7" s="1"/>
    </row>
    <row r="8" spans="1:53">
      <c r="A8" s="21">
        <f t="shared" si="0"/>
        <v>44504</v>
      </c>
      <c r="B8" s="38">
        <v>48000</v>
      </c>
      <c r="C8" s="23">
        <v>6000</v>
      </c>
      <c r="D8" s="24">
        <f t="shared" si="1"/>
        <v>54000</v>
      </c>
      <c r="E8" s="40">
        <v>16722</v>
      </c>
      <c r="F8" s="35">
        <v>9075</v>
      </c>
      <c r="G8" s="27"/>
      <c r="H8" s="216">
        <f t="shared" si="2"/>
        <v>25797</v>
      </c>
      <c r="I8" s="35"/>
      <c r="J8" s="41"/>
      <c r="K8" s="29"/>
      <c r="L8" s="1"/>
      <c r="M8" s="1"/>
      <c r="N8" s="1"/>
      <c r="O8" s="1"/>
      <c r="P8" s="55">
        <v>44504</v>
      </c>
      <c r="Q8" s="35"/>
      <c r="R8" s="138"/>
      <c r="S8" s="139"/>
      <c r="T8" s="138"/>
      <c r="U8" s="143">
        <v>39000</v>
      </c>
      <c r="V8" s="138"/>
      <c r="W8" s="147"/>
      <c r="X8" s="138"/>
      <c r="Y8" s="166"/>
      <c r="Z8" s="142">
        <v>15000</v>
      </c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1"/>
      <c r="AY8" s="1"/>
      <c r="AZ8" s="1"/>
      <c r="BA8" s="1"/>
    </row>
    <row r="9" spans="1:53">
      <c r="A9" s="21">
        <f t="shared" si="0"/>
        <v>44505</v>
      </c>
      <c r="B9" s="38">
        <v>75000</v>
      </c>
      <c r="C9" s="23">
        <v>106000</v>
      </c>
      <c r="D9" s="24">
        <f t="shared" si="1"/>
        <v>181000</v>
      </c>
      <c r="E9" s="40"/>
      <c r="F9" s="35">
        <v>7007</v>
      </c>
      <c r="G9" s="27">
        <v>118</v>
      </c>
      <c r="H9" s="216">
        <f t="shared" si="2"/>
        <v>7125</v>
      </c>
      <c r="I9" s="35"/>
      <c r="J9" s="41"/>
      <c r="K9" s="29"/>
      <c r="L9" s="1"/>
      <c r="M9" s="1"/>
      <c r="N9" s="1"/>
      <c r="O9" s="1"/>
      <c r="P9" s="55">
        <v>44505</v>
      </c>
      <c r="Q9" s="35"/>
      <c r="R9" s="138"/>
      <c r="S9" s="139">
        <v>3000</v>
      </c>
      <c r="T9" s="138"/>
      <c r="U9" s="139">
        <v>92000</v>
      </c>
      <c r="V9" s="138"/>
      <c r="W9" s="152">
        <v>16000</v>
      </c>
      <c r="X9" s="138"/>
      <c r="Y9" s="138"/>
      <c r="Z9" s="139">
        <v>70000</v>
      </c>
      <c r="AA9" s="138"/>
      <c r="AB9" s="139"/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1"/>
      <c r="AY9" s="1"/>
      <c r="AZ9" s="1"/>
      <c r="BA9" s="1"/>
    </row>
    <row r="10" spans="1:53">
      <c r="A10" s="21">
        <f t="shared" si="0"/>
        <v>44506</v>
      </c>
      <c r="B10" s="38">
        <v>86000</v>
      </c>
      <c r="C10" s="23">
        <v>7000</v>
      </c>
      <c r="D10" s="24">
        <f t="shared" si="1"/>
        <v>93000</v>
      </c>
      <c r="E10" s="40">
        <v>6840</v>
      </c>
      <c r="F10" s="35"/>
      <c r="G10" s="27"/>
      <c r="H10" s="216">
        <f t="shared" si="2"/>
        <v>6840</v>
      </c>
      <c r="I10" s="35"/>
      <c r="J10" s="41"/>
      <c r="K10" s="29"/>
      <c r="L10" s="1"/>
      <c r="M10" s="516" t="s">
        <v>26</v>
      </c>
      <c r="N10" s="517"/>
      <c r="O10" s="1"/>
      <c r="P10" s="55">
        <v>44506</v>
      </c>
      <c r="Q10" s="35"/>
      <c r="R10" s="138"/>
      <c r="S10" s="139"/>
      <c r="T10" s="138"/>
      <c r="U10" s="139">
        <v>9000</v>
      </c>
      <c r="V10" s="138"/>
      <c r="W10" s="139">
        <v>84000</v>
      </c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1"/>
      <c r="AY10" s="1"/>
      <c r="AZ10" s="1"/>
      <c r="BA10" s="1"/>
    </row>
    <row r="11" spans="1:53">
      <c r="A11" s="21">
        <f t="shared" si="0"/>
        <v>44507</v>
      </c>
      <c r="B11" s="38">
        <v>132000</v>
      </c>
      <c r="C11" s="23">
        <v>30000</v>
      </c>
      <c r="D11" s="24">
        <f t="shared" si="1"/>
        <v>162000</v>
      </c>
      <c r="E11" s="40">
        <v>8064</v>
      </c>
      <c r="F11" s="35"/>
      <c r="G11" s="27">
        <f>893+654+662</f>
        <v>2209</v>
      </c>
      <c r="H11" s="216">
        <f t="shared" si="2"/>
        <v>10273</v>
      </c>
      <c r="I11" s="35"/>
      <c r="J11" s="41"/>
      <c r="K11" s="29"/>
      <c r="L11" s="1"/>
      <c r="M11" s="47" t="s">
        <v>27</v>
      </c>
      <c r="N11" s="518">
        <v>310000</v>
      </c>
      <c r="O11" s="1"/>
      <c r="P11" s="55">
        <v>44507</v>
      </c>
      <c r="Q11" s="35"/>
      <c r="R11" s="138"/>
      <c r="S11" s="139"/>
      <c r="T11" s="138"/>
      <c r="U11" s="139">
        <v>91000</v>
      </c>
      <c r="V11" s="138"/>
      <c r="W11" s="139">
        <v>33000</v>
      </c>
      <c r="X11" s="138"/>
      <c r="Y11" s="138"/>
      <c r="Z11" s="139">
        <v>38000</v>
      </c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1"/>
      <c r="AY11" s="1"/>
      <c r="AZ11" s="1"/>
      <c r="BA11" s="1"/>
    </row>
    <row r="12" spans="1:53">
      <c r="A12" s="21">
        <f t="shared" si="0"/>
        <v>44508</v>
      </c>
      <c r="B12" s="38">
        <v>103000</v>
      </c>
      <c r="C12" s="23">
        <v>79000</v>
      </c>
      <c r="D12" s="24">
        <f t="shared" si="1"/>
        <v>182000</v>
      </c>
      <c r="E12" s="40">
        <v>9440</v>
      </c>
      <c r="F12" s="35"/>
      <c r="G12" s="27"/>
      <c r="H12" s="216">
        <f t="shared" si="2"/>
        <v>9440</v>
      </c>
      <c r="I12" s="35"/>
      <c r="J12" s="41"/>
      <c r="K12" s="29"/>
      <c r="L12" s="1"/>
      <c r="M12" s="47" t="s">
        <v>28</v>
      </c>
      <c r="N12" s="519"/>
      <c r="O12" s="1"/>
      <c r="P12" s="55">
        <v>44508</v>
      </c>
      <c r="Q12" s="35"/>
      <c r="R12" s="138"/>
      <c r="S12" s="139"/>
      <c r="T12" s="138"/>
      <c r="U12" s="139">
        <v>88000</v>
      </c>
      <c r="V12" s="138"/>
      <c r="W12" s="139">
        <v>15000</v>
      </c>
      <c r="X12" s="138"/>
      <c r="Y12" s="138"/>
      <c r="Z12" s="139">
        <v>24000</v>
      </c>
      <c r="AA12" s="138"/>
      <c r="AB12" s="139">
        <v>55000</v>
      </c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1"/>
      <c r="AY12" s="1"/>
      <c r="AZ12" s="1"/>
      <c r="BA12" s="1"/>
    </row>
    <row r="13" spans="1:53">
      <c r="A13" s="21">
        <f t="shared" si="0"/>
        <v>44509</v>
      </c>
      <c r="B13" s="38"/>
      <c r="C13" s="23"/>
      <c r="D13" s="24">
        <f t="shared" si="1"/>
        <v>0</v>
      </c>
      <c r="E13" s="40"/>
      <c r="F13" s="35"/>
      <c r="G13" s="27"/>
      <c r="H13" s="216">
        <f t="shared" si="2"/>
        <v>0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44509</v>
      </c>
      <c r="Q13" s="35"/>
      <c r="R13" s="138"/>
      <c r="S13" s="139"/>
      <c r="T13" s="138"/>
      <c r="U13" s="139"/>
      <c r="V13" s="138"/>
      <c r="W13" s="139"/>
      <c r="X13" s="138"/>
      <c r="Y13" s="138"/>
      <c r="Z13" s="139"/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1"/>
      <c r="AY13" s="1"/>
      <c r="AZ13" s="1"/>
      <c r="BA13" s="1"/>
    </row>
    <row r="14" spans="1:53">
      <c r="A14" s="21">
        <f t="shared" si="0"/>
        <v>44510</v>
      </c>
      <c r="B14" s="38">
        <v>52000</v>
      </c>
      <c r="C14" s="23">
        <v>74000</v>
      </c>
      <c r="D14" s="24">
        <f t="shared" si="1"/>
        <v>126000</v>
      </c>
      <c r="E14" s="40">
        <f>30012+10300+2342</f>
        <v>42654</v>
      </c>
      <c r="F14" s="44"/>
      <c r="G14" s="27"/>
      <c r="H14" s="216">
        <f t="shared" si="2"/>
        <v>42654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44510</v>
      </c>
      <c r="Q14" s="35"/>
      <c r="R14" s="138"/>
      <c r="S14" s="139"/>
      <c r="T14" s="138"/>
      <c r="U14" s="139">
        <v>9000</v>
      </c>
      <c r="V14" s="138"/>
      <c r="W14" s="139">
        <v>50000</v>
      </c>
      <c r="X14" s="138"/>
      <c r="Y14" s="138"/>
      <c r="Z14" s="139">
        <v>32000</v>
      </c>
      <c r="AA14" s="138"/>
      <c r="AB14" s="139"/>
      <c r="AC14" s="138"/>
      <c r="AD14" s="151"/>
      <c r="AE14" s="138"/>
      <c r="AF14" s="149">
        <v>35000</v>
      </c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1"/>
      <c r="AY14" s="1"/>
      <c r="AZ14" s="1"/>
      <c r="BA14" s="1"/>
    </row>
    <row r="15" spans="1:53">
      <c r="A15" s="21">
        <f t="shared" si="0"/>
        <v>44511</v>
      </c>
      <c r="B15" s="38">
        <v>46000</v>
      </c>
      <c r="C15" s="23"/>
      <c r="D15" s="24">
        <f t="shared" si="1"/>
        <v>46000</v>
      </c>
      <c r="E15" s="40">
        <v>8324</v>
      </c>
      <c r="F15" s="35"/>
      <c r="G15" s="27">
        <v>356</v>
      </c>
      <c r="H15" s="216">
        <f t="shared" si="2"/>
        <v>8680</v>
      </c>
      <c r="I15" s="35"/>
      <c r="J15" s="41"/>
      <c r="K15" s="29"/>
      <c r="L15" s="1"/>
      <c r="M15" s="47" t="s">
        <v>31</v>
      </c>
      <c r="N15" s="35">
        <v>400000</v>
      </c>
      <c r="O15" s="1"/>
      <c r="P15" s="55">
        <v>44511</v>
      </c>
      <c r="Q15" s="35"/>
      <c r="R15" s="138"/>
      <c r="S15" s="139"/>
      <c r="T15" s="138"/>
      <c r="U15" s="139">
        <v>30000</v>
      </c>
      <c r="V15" s="138"/>
      <c r="W15" s="139">
        <v>7000</v>
      </c>
      <c r="X15" s="138"/>
      <c r="Y15" s="138"/>
      <c r="Z15" s="139">
        <v>9000</v>
      </c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1"/>
      <c r="AY15" s="1"/>
      <c r="AZ15" s="1"/>
      <c r="BA15" s="1"/>
    </row>
    <row r="16" spans="1:53">
      <c r="A16" s="21">
        <f t="shared" si="0"/>
        <v>44512</v>
      </c>
      <c r="B16" s="38">
        <v>58000</v>
      </c>
      <c r="C16" s="23"/>
      <c r="D16" s="24">
        <f t="shared" si="1"/>
        <v>58000</v>
      </c>
      <c r="E16" s="40"/>
      <c r="F16" s="35"/>
      <c r="G16" s="27"/>
      <c r="H16" s="216">
        <f t="shared" si="2"/>
        <v>0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44512</v>
      </c>
      <c r="Q16" s="35"/>
      <c r="R16" s="138"/>
      <c r="S16" s="139"/>
      <c r="T16" s="138"/>
      <c r="U16" s="139">
        <v>28000</v>
      </c>
      <c r="V16" s="138"/>
      <c r="W16" s="139"/>
      <c r="X16" s="138"/>
      <c r="Y16" s="138"/>
      <c r="Z16" s="139">
        <v>22000</v>
      </c>
      <c r="AA16" s="138"/>
      <c r="AB16" s="139">
        <v>8000</v>
      </c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1"/>
      <c r="AY16" s="1"/>
      <c r="AZ16" s="1"/>
      <c r="BA16" s="1"/>
    </row>
    <row r="17" spans="1:53">
      <c r="A17" s="21">
        <f t="shared" si="0"/>
        <v>44513</v>
      </c>
      <c r="B17" s="38">
        <v>78000</v>
      </c>
      <c r="C17" s="23">
        <v>67000</v>
      </c>
      <c r="D17" s="24">
        <f t="shared" si="1"/>
        <v>145000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55">
        <v>44513</v>
      </c>
      <c r="Q17" s="35"/>
      <c r="R17" s="138"/>
      <c r="S17" s="139"/>
      <c r="T17" s="138"/>
      <c r="U17" s="139">
        <v>57000</v>
      </c>
      <c r="V17" s="138"/>
      <c r="W17" s="139">
        <v>48000</v>
      </c>
      <c r="X17" s="138"/>
      <c r="Y17" s="138"/>
      <c r="Z17" s="139">
        <v>40000</v>
      </c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1"/>
      <c r="AY17" s="1"/>
      <c r="AZ17" s="1"/>
      <c r="BA17" s="1"/>
    </row>
    <row r="18" spans="1:53">
      <c r="A18" s="21">
        <f t="shared" si="0"/>
        <v>44514</v>
      </c>
      <c r="B18" s="38">
        <v>40000</v>
      </c>
      <c r="C18" s="23"/>
      <c r="D18" s="24">
        <f t="shared" si="1"/>
        <v>40000</v>
      </c>
      <c r="E18" s="40">
        <v>6574</v>
      </c>
      <c r="F18" s="35"/>
      <c r="G18" s="27"/>
      <c r="H18" s="216">
        <f t="shared" si="2"/>
        <v>6574</v>
      </c>
      <c r="I18" s="35"/>
      <c r="J18" s="41"/>
      <c r="K18" s="29"/>
      <c r="L18" s="1"/>
      <c r="M18" s="47"/>
      <c r="N18" s="35"/>
      <c r="O18" s="1"/>
      <c r="P18" s="55">
        <v>44514</v>
      </c>
      <c r="Q18" s="35"/>
      <c r="R18" s="138"/>
      <c r="S18" s="139"/>
      <c r="T18" s="138"/>
      <c r="U18" s="139">
        <v>4000</v>
      </c>
      <c r="V18" s="138"/>
      <c r="W18" s="139">
        <v>36000</v>
      </c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1"/>
      <c r="AY18" s="1"/>
      <c r="AZ18" s="1"/>
      <c r="BA18" s="1"/>
    </row>
    <row r="19" spans="1:53">
      <c r="A19" s="21">
        <f t="shared" si="0"/>
        <v>44515</v>
      </c>
      <c r="B19" s="38">
        <v>109000</v>
      </c>
      <c r="C19" s="23"/>
      <c r="D19" s="24">
        <f t="shared" si="1"/>
        <v>109000</v>
      </c>
      <c r="E19" s="40"/>
      <c r="F19" s="35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766000</v>
      </c>
      <c r="O19" s="1"/>
      <c r="P19" s="55">
        <v>44515</v>
      </c>
      <c r="Q19" s="35"/>
      <c r="R19" s="138"/>
      <c r="S19" s="139"/>
      <c r="T19" s="138"/>
      <c r="U19" s="139">
        <v>13000</v>
      </c>
      <c r="V19" s="138"/>
      <c r="W19" s="139">
        <v>33000</v>
      </c>
      <c r="X19" s="138"/>
      <c r="Y19" s="138"/>
      <c r="Z19" s="139"/>
      <c r="AA19" s="138"/>
      <c r="AB19" s="139"/>
      <c r="AC19" s="138"/>
      <c r="AD19" s="151"/>
      <c r="AE19" s="138"/>
      <c r="AF19" s="149">
        <v>42000</v>
      </c>
      <c r="AG19" s="138"/>
      <c r="AH19" s="149"/>
      <c r="AI19" s="138"/>
      <c r="AJ19" s="149">
        <v>21000</v>
      </c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1"/>
      <c r="AY19" s="1"/>
      <c r="AZ19" s="1"/>
      <c r="BA19" s="1"/>
    </row>
    <row r="20" spans="1:53">
      <c r="A20" s="21">
        <f t="shared" si="0"/>
        <v>44516</v>
      </c>
      <c r="B20" s="38">
        <v>118000</v>
      </c>
      <c r="C20" s="38"/>
      <c r="D20" s="24">
        <f t="shared" si="1"/>
        <v>118000</v>
      </c>
      <c r="E20" s="40">
        <v>17560</v>
      </c>
      <c r="F20" s="35"/>
      <c r="G20" s="27">
        <v>712</v>
      </c>
      <c r="H20" s="216">
        <f t="shared" si="2"/>
        <v>18272</v>
      </c>
      <c r="I20" s="35"/>
      <c r="J20" s="41"/>
      <c r="K20" s="29"/>
      <c r="L20" s="1"/>
      <c r="M20" s="51"/>
      <c r="N20" s="7"/>
      <c r="O20" s="1"/>
      <c r="P20" s="55">
        <v>44516</v>
      </c>
      <c r="Q20" s="35"/>
      <c r="R20" s="138"/>
      <c r="S20" s="139"/>
      <c r="T20" s="138"/>
      <c r="U20" s="139">
        <v>35000</v>
      </c>
      <c r="V20" s="138"/>
      <c r="W20" s="139">
        <v>60000</v>
      </c>
      <c r="X20" s="138"/>
      <c r="Y20" s="138"/>
      <c r="Z20" s="139">
        <v>23000</v>
      </c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1"/>
      <c r="AY20" s="1"/>
      <c r="AZ20" s="1"/>
      <c r="BA20" s="1"/>
    </row>
    <row r="21" spans="1:53">
      <c r="A21" s="21">
        <f t="shared" si="0"/>
        <v>44517</v>
      </c>
      <c r="B21" s="38">
        <v>278000</v>
      </c>
      <c r="C21" s="38"/>
      <c r="D21" s="24">
        <f t="shared" si="1"/>
        <v>278000</v>
      </c>
      <c r="E21" s="40">
        <f>12426+9400</f>
        <v>21826</v>
      </c>
      <c r="F21" s="35">
        <v>7007</v>
      </c>
      <c r="G21" s="27">
        <v>543</v>
      </c>
      <c r="H21" s="216">
        <f t="shared" si="2"/>
        <v>29376</v>
      </c>
      <c r="I21" s="35"/>
      <c r="J21" s="41"/>
      <c r="K21" s="29"/>
      <c r="L21" s="1"/>
      <c r="M21" s="1"/>
      <c r="N21" s="1"/>
      <c r="O21" s="1"/>
      <c r="P21" s="55">
        <v>44517</v>
      </c>
      <c r="Q21" s="35">
        <v>100000</v>
      </c>
      <c r="R21" s="138">
        <v>20000</v>
      </c>
      <c r="S21" s="139"/>
      <c r="T21" s="138"/>
      <c r="U21" s="139">
        <v>61000</v>
      </c>
      <c r="V21" s="138"/>
      <c r="W21" s="139">
        <v>24000</v>
      </c>
      <c r="X21" s="138"/>
      <c r="Y21" s="138"/>
      <c r="Z21" s="139">
        <v>36000</v>
      </c>
      <c r="AA21" s="138"/>
      <c r="AB21" s="139">
        <v>12000</v>
      </c>
      <c r="AC21" s="138"/>
      <c r="AD21" s="151"/>
      <c r="AE21" s="138"/>
      <c r="AF21" s="149"/>
      <c r="AG21" s="138"/>
      <c r="AH21" s="149"/>
      <c r="AI21" s="138"/>
      <c r="AJ21" s="149"/>
      <c r="AK21" s="138"/>
      <c r="AL21" s="149">
        <v>25000</v>
      </c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1"/>
      <c r="AY21" s="1"/>
      <c r="AZ21" s="1"/>
      <c r="BA21" s="1"/>
    </row>
    <row r="22" spans="1:53">
      <c r="A22" s="21">
        <f t="shared" si="0"/>
        <v>44518</v>
      </c>
      <c r="B22" s="38">
        <v>91000</v>
      </c>
      <c r="C22" s="38">
        <v>60000</v>
      </c>
      <c r="D22" s="24">
        <f t="shared" si="1"/>
        <v>151000</v>
      </c>
      <c r="E22" s="40">
        <v>6984</v>
      </c>
      <c r="F22" s="35"/>
      <c r="G22" s="27">
        <f>742+2994</f>
        <v>3736</v>
      </c>
      <c r="H22" s="216">
        <f t="shared" si="2"/>
        <v>10720</v>
      </c>
      <c r="I22" s="35"/>
      <c r="J22" s="41"/>
      <c r="K22" s="29"/>
      <c r="L22" s="1"/>
      <c r="M22" s="1"/>
      <c r="N22" s="1"/>
      <c r="O22" s="1"/>
      <c r="P22" s="55">
        <v>44518</v>
      </c>
      <c r="Q22" s="35"/>
      <c r="R22" s="138"/>
      <c r="S22" s="139"/>
      <c r="T22" s="138"/>
      <c r="U22" s="139">
        <v>42000</v>
      </c>
      <c r="V22" s="138"/>
      <c r="W22" s="139">
        <v>60000</v>
      </c>
      <c r="X22" s="138"/>
      <c r="Y22" s="375">
        <v>3000</v>
      </c>
      <c r="Z22" s="153">
        <v>24000</v>
      </c>
      <c r="AA22" s="138"/>
      <c r="AB22" s="139"/>
      <c r="AC22" s="138"/>
      <c r="AD22" s="151"/>
      <c r="AE22" s="138"/>
      <c r="AF22" s="139">
        <v>22000</v>
      </c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1"/>
      <c r="AY22" s="1"/>
      <c r="AZ22" s="1"/>
      <c r="BA22" s="1"/>
    </row>
    <row r="23" spans="1:53">
      <c r="A23" s="21">
        <f t="shared" si="0"/>
        <v>44519</v>
      </c>
      <c r="B23" s="38">
        <v>65000</v>
      </c>
      <c r="C23" s="38">
        <v>38000</v>
      </c>
      <c r="D23" s="24">
        <f t="shared" si="1"/>
        <v>103000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44519</v>
      </c>
      <c r="Q23" s="35"/>
      <c r="R23" s="138"/>
      <c r="S23" s="139"/>
      <c r="T23" s="138"/>
      <c r="U23" s="139">
        <v>94000</v>
      </c>
      <c r="V23" s="138"/>
      <c r="W23" s="139"/>
      <c r="X23" s="138"/>
      <c r="Y23" s="138"/>
      <c r="Z23" s="139">
        <v>9000</v>
      </c>
      <c r="AA23" s="138"/>
      <c r="AB23" s="139"/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1"/>
      <c r="AY23" s="1"/>
      <c r="AZ23" s="1"/>
      <c r="BA23" s="1"/>
    </row>
    <row r="24" spans="1:53">
      <c r="A24" s="21">
        <f t="shared" si="0"/>
        <v>44520</v>
      </c>
      <c r="B24" s="38">
        <v>64000</v>
      </c>
      <c r="C24" s="38">
        <v>62000</v>
      </c>
      <c r="D24" s="24">
        <f t="shared" si="1"/>
        <v>126000</v>
      </c>
      <c r="E24" s="40">
        <f>15420+8400+6330</f>
        <v>30150</v>
      </c>
      <c r="F24" s="35"/>
      <c r="G24" s="27"/>
      <c r="H24" s="216">
        <f t="shared" si="2"/>
        <v>30150</v>
      </c>
      <c r="I24" s="35"/>
      <c r="J24" s="41"/>
      <c r="K24" s="29"/>
      <c r="L24" s="1"/>
      <c r="M24" s="53" t="s">
        <v>34</v>
      </c>
      <c r="N24" s="38">
        <f>D37</f>
        <v>3328000</v>
      </c>
      <c r="O24" s="1"/>
      <c r="P24" s="55">
        <v>44520</v>
      </c>
      <c r="Q24" s="35"/>
      <c r="R24" s="138"/>
      <c r="S24" s="139">
        <v>8000</v>
      </c>
      <c r="T24" s="138"/>
      <c r="U24" s="139">
        <v>22000</v>
      </c>
      <c r="V24" s="138"/>
      <c r="W24" s="139">
        <v>62000</v>
      </c>
      <c r="X24" s="138"/>
      <c r="Y24" s="138">
        <v>1000</v>
      </c>
      <c r="Z24" s="139">
        <v>9000</v>
      </c>
      <c r="AA24" s="138"/>
      <c r="AB24" s="139">
        <v>24000</v>
      </c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1"/>
      <c r="AY24" s="1"/>
      <c r="AZ24" s="1"/>
      <c r="BA24" s="1"/>
    </row>
    <row r="25" spans="1:53">
      <c r="A25" s="21">
        <f t="shared" si="0"/>
        <v>44521</v>
      </c>
      <c r="B25" s="38">
        <v>86000</v>
      </c>
      <c r="C25" s="38"/>
      <c r="D25" s="24">
        <f t="shared" si="1"/>
        <v>86000</v>
      </c>
      <c r="E25" s="40"/>
      <c r="F25" s="35"/>
      <c r="G25" s="27">
        <v>654</v>
      </c>
      <c r="H25" s="216">
        <f t="shared" si="2"/>
        <v>654</v>
      </c>
      <c r="I25" s="35"/>
      <c r="J25" s="41"/>
      <c r="K25" s="29"/>
      <c r="L25" s="1"/>
      <c r="M25" s="53" t="s">
        <v>35</v>
      </c>
      <c r="N25" s="38">
        <f>H37</f>
        <v>394774</v>
      </c>
      <c r="O25" s="1"/>
      <c r="P25" s="55">
        <v>44521</v>
      </c>
      <c r="Q25" s="35"/>
      <c r="R25" s="138"/>
      <c r="S25" s="139">
        <v>10000</v>
      </c>
      <c r="T25" s="138"/>
      <c r="U25" s="139">
        <v>3000</v>
      </c>
      <c r="V25" s="138"/>
      <c r="W25" s="139">
        <v>6000</v>
      </c>
      <c r="X25" s="138"/>
      <c r="Y25" s="138"/>
      <c r="Z25" s="139">
        <v>40000</v>
      </c>
      <c r="AA25" s="138"/>
      <c r="AB25" s="139">
        <v>15000</v>
      </c>
      <c r="AC25" s="138"/>
      <c r="AD25" s="151"/>
      <c r="AE25" s="138"/>
      <c r="AF25" s="149">
        <v>12000</v>
      </c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1"/>
      <c r="AY25" s="1"/>
      <c r="AZ25" s="1"/>
      <c r="BA25" s="1"/>
    </row>
    <row r="26" spans="1:53">
      <c r="A26" s="21">
        <f t="shared" si="0"/>
        <v>44522</v>
      </c>
      <c r="B26" s="38">
        <v>253000</v>
      </c>
      <c r="C26" s="38"/>
      <c r="D26" s="24">
        <f t="shared" si="1"/>
        <v>253000</v>
      </c>
      <c r="E26" s="40">
        <f>15300+4180+11038</f>
        <v>30518</v>
      </c>
      <c r="F26" s="35"/>
      <c r="G26" s="27"/>
      <c r="H26" s="216">
        <f t="shared" si="2"/>
        <v>30518</v>
      </c>
      <c r="I26" s="35"/>
      <c r="J26" s="41"/>
      <c r="K26" s="29"/>
      <c r="L26" s="1"/>
      <c r="M26" s="53" t="s">
        <v>36</v>
      </c>
      <c r="N26" s="38">
        <f>N19</f>
        <v>766000</v>
      </c>
      <c r="O26" s="1"/>
      <c r="P26" s="55">
        <v>44522</v>
      </c>
      <c r="Q26" s="35"/>
      <c r="R26" s="138"/>
      <c r="S26" s="139"/>
      <c r="T26" s="138"/>
      <c r="U26" s="139">
        <v>38000</v>
      </c>
      <c r="V26" s="138"/>
      <c r="W26" s="139">
        <v>160000</v>
      </c>
      <c r="X26" s="138">
        <v>50000</v>
      </c>
      <c r="Y26" s="138"/>
      <c r="Z26" s="139">
        <v>2000</v>
      </c>
      <c r="AA26" s="138"/>
      <c r="AB26" s="139">
        <v>3000</v>
      </c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1"/>
      <c r="AY26" s="1"/>
      <c r="AZ26" s="1"/>
      <c r="BA26" s="1"/>
    </row>
    <row r="27" spans="1:53">
      <c r="A27" s="21">
        <f t="shared" si="0"/>
        <v>44523</v>
      </c>
      <c r="B27" s="38">
        <v>27000</v>
      </c>
      <c r="C27" s="38">
        <v>12000</v>
      </c>
      <c r="D27" s="24">
        <f t="shared" si="1"/>
        <v>39000</v>
      </c>
      <c r="E27" s="40">
        <v>3160</v>
      </c>
      <c r="F27" s="35">
        <v>19690</v>
      </c>
      <c r="G27" s="27"/>
      <c r="H27" s="216">
        <f t="shared" si="2"/>
        <v>22850</v>
      </c>
      <c r="I27" s="35"/>
      <c r="J27" s="41"/>
      <c r="K27" s="29"/>
      <c r="L27" s="1"/>
      <c r="M27" s="60" t="s">
        <v>37</v>
      </c>
      <c r="N27" s="61">
        <f>IFERROR(N24-N25-N26, "")</f>
        <v>2167226</v>
      </c>
      <c r="O27" s="1"/>
      <c r="P27" s="55">
        <v>44523</v>
      </c>
      <c r="Q27" s="35"/>
      <c r="R27" s="138"/>
      <c r="S27" s="139">
        <v>27000</v>
      </c>
      <c r="T27" s="138"/>
      <c r="U27" s="139">
        <v>12000</v>
      </c>
      <c r="V27" s="138"/>
      <c r="W27" s="139"/>
      <c r="X27" s="138"/>
      <c r="Y27" s="138"/>
      <c r="Z27" s="139"/>
      <c r="AA27" s="138"/>
      <c r="AB27" s="139"/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1"/>
      <c r="AY27" s="1"/>
      <c r="AZ27" s="1"/>
      <c r="BA27" s="1"/>
    </row>
    <row r="28" spans="1:53">
      <c r="A28" s="21">
        <f t="shared" si="0"/>
        <v>44524</v>
      </c>
      <c r="B28" s="38">
        <v>131000</v>
      </c>
      <c r="C28" s="38"/>
      <c r="D28" s="24">
        <f t="shared" si="1"/>
        <v>131000</v>
      </c>
      <c r="E28" s="299"/>
      <c r="F28" s="35"/>
      <c r="G28" s="27">
        <v>2094</v>
      </c>
      <c r="H28" s="216">
        <f t="shared" si="2"/>
        <v>2094</v>
      </c>
      <c r="I28" s="35"/>
      <c r="J28" s="41"/>
      <c r="K28" s="29"/>
      <c r="L28" s="1"/>
      <c r="M28" s="1"/>
      <c r="N28" s="1"/>
      <c r="O28" s="1"/>
      <c r="P28" s="55">
        <v>44524</v>
      </c>
      <c r="Q28" s="35"/>
      <c r="R28" s="138"/>
      <c r="S28" s="139"/>
      <c r="T28" s="138"/>
      <c r="U28" s="139">
        <v>35000</v>
      </c>
      <c r="V28" s="138"/>
      <c r="W28" s="139">
        <v>7000</v>
      </c>
      <c r="X28" s="138"/>
      <c r="Y28" s="138"/>
      <c r="Z28" s="139">
        <v>8000</v>
      </c>
      <c r="AA28" s="138"/>
      <c r="AB28" s="139">
        <v>6000</v>
      </c>
      <c r="AC28" s="138"/>
      <c r="AD28" s="151"/>
      <c r="AE28" s="138"/>
      <c r="AF28" s="149">
        <v>75000</v>
      </c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1"/>
      <c r="AY28" s="1"/>
      <c r="AZ28" s="1"/>
      <c r="BA28" s="1"/>
    </row>
    <row r="29" spans="1:53">
      <c r="A29" s="21">
        <f t="shared" si="0"/>
        <v>44525</v>
      </c>
      <c r="B29" s="38">
        <v>53000</v>
      </c>
      <c r="C29" s="38"/>
      <c r="D29" s="24">
        <f t="shared" si="1"/>
        <v>53000</v>
      </c>
      <c r="E29" s="40">
        <f>17234+8830</f>
        <v>26064</v>
      </c>
      <c r="F29" s="35"/>
      <c r="G29" s="27">
        <v>1180</v>
      </c>
      <c r="H29" s="216">
        <f t="shared" si="2"/>
        <v>27244</v>
      </c>
      <c r="I29" s="35"/>
      <c r="J29" s="41"/>
      <c r="K29" s="29"/>
      <c r="L29" s="1"/>
      <c r="M29" s="1"/>
      <c r="N29" s="1"/>
      <c r="O29" s="1"/>
      <c r="P29" s="55">
        <v>44525</v>
      </c>
      <c r="Q29" s="35"/>
      <c r="R29" s="138"/>
      <c r="S29" s="139">
        <v>4000</v>
      </c>
      <c r="T29" s="138"/>
      <c r="U29" s="139">
        <v>42000</v>
      </c>
      <c r="V29" s="138"/>
      <c r="W29" s="139">
        <v>7000</v>
      </c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1"/>
      <c r="AY29" s="1"/>
      <c r="AZ29" s="1"/>
      <c r="BA29" s="1"/>
    </row>
    <row r="30" spans="1:53">
      <c r="A30" s="21">
        <f t="shared" si="0"/>
        <v>44526</v>
      </c>
      <c r="B30" s="38">
        <v>88000</v>
      </c>
      <c r="C30" s="38"/>
      <c r="D30" s="24">
        <f t="shared" si="1"/>
        <v>88000</v>
      </c>
      <c r="E30" s="40">
        <v>2480</v>
      </c>
      <c r="F30" s="35"/>
      <c r="G30" s="27"/>
      <c r="H30" s="216">
        <f t="shared" si="2"/>
        <v>2480</v>
      </c>
      <c r="I30" s="35"/>
      <c r="J30" s="41"/>
      <c r="K30" s="29"/>
      <c r="L30" s="1"/>
      <c r="M30" s="1"/>
      <c r="N30" s="1"/>
      <c r="O30" s="1"/>
      <c r="P30" s="55">
        <v>44526</v>
      </c>
      <c r="Q30" s="35"/>
      <c r="R30" s="138"/>
      <c r="S30" s="139"/>
      <c r="T30" s="138"/>
      <c r="U30" s="139">
        <v>13000</v>
      </c>
      <c r="V30" s="138"/>
      <c r="W30" s="139">
        <v>21000</v>
      </c>
      <c r="X30" s="138"/>
      <c r="Y30" s="138"/>
      <c r="Z30" s="139">
        <v>48000</v>
      </c>
      <c r="AA30" s="138"/>
      <c r="AB30" s="139">
        <v>6000</v>
      </c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1"/>
      <c r="AY30" s="1"/>
      <c r="AZ30" s="1"/>
      <c r="BA30" s="1"/>
    </row>
    <row r="31" spans="1:53">
      <c r="A31" s="21">
        <f t="shared" si="0"/>
        <v>44527</v>
      </c>
      <c r="B31" s="38">
        <v>163000</v>
      </c>
      <c r="C31" s="38"/>
      <c r="D31" s="24">
        <f t="shared" si="1"/>
        <v>163000</v>
      </c>
      <c r="E31" s="40">
        <v>4000</v>
      </c>
      <c r="F31" s="35">
        <f>7007+11844</f>
        <v>18851</v>
      </c>
      <c r="G31" s="27">
        <v>1358</v>
      </c>
      <c r="H31" s="216">
        <f t="shared" si="2"/>
        <v>24209</v>
      </c>
      <c r="I31" s="35"/>
      <c r="J31" s="41"/>
      <c r="K31" s="29"/>
      <c r="L31" s="1"/>
      <c r="M31" s="1"/>
      <c r="N31" s="1"/>
      <c r="O31" s="1"/>
      <c r="P31" s="55">
        <v>44527</v>
      </c>
      <c r="Q31" s="35"/>
      <c r="R31" s="138"/>
      <c r="S31" s="139"/>
      <c r="T31" s="138"/>
      <c r="U31" s="139">
        <v>135000</v>
      </c>
      <c r="V31" s="138"/>
      <c r="W31" s="139"/>
      <c r="X31" s="138"/>
      <c r="Y31" s="138"/>
      <c r="Z31" s="139"/>
      <c r="AA31" s="138"/>
      <c r="AB31" s="139"/>
      <c r="AC31" s="138"/>
      <c r="AD31" s="151">
        <v>26000</v>
      </c>
      <c r="AE31" s="138"/>
      <c r="AF31" s="149"/>
      <c r="AG31" s="138"/>
      <c r="AH31" s="149"/>
      <c r="AI31" s="138"/>
      <c r="AJ31" s="149"/>
      <c r="AK31" s="138"/>
      <c r="AL31" s="149"/>
      <c r="AM31" s="138"/>
      <c r="AN31" s="138">
        <v>2000</v>
      </c>
      <c r="AO31" s="138"/>
      <c r="AP31" s="138"/>
      <c r="AQ31" s="138"/>
      <c r="AR31" s="138"/>
      <c r="AS31" s="138"/>
      <c r="AT31" s="138"/>
      <c r="AU31" s="138"/>
      <c r="AV31" s="149"/>
      <c r="AW31" s="138"/>
      <c r="AX31" s="1"/>
      <c r="AY31" s="1"/>
      <c r="AZ31" s="1"/>
      <c r="BA31" s="1"/>
    </row>
    <row r="32" spans="1:53">
      <c r="A32" s="21">
        <f t="shared" si="0"/>
        <v>44528</v>
      </c>
      <c r="B32" s="38">
        <v>70000</v>
      </c>
      <c r="C32" s="38"/>
      <c r="D32" s="24">
        <f t="shared" si="1"/>
        <v>70000</v>
      </c>
      <c r="E32" s="40"/>
      <c r="F32" s="35"/>
      <c r="G32" s="27">
        <f>1544+543</f>
        <v>2087</v>
      </c>
      <c r="H32" s="216">
        <f t="shared" si="2"/>
        <v>2087</v>
      </c>
      <c r="I32" s="35"/>
      <c r="J32" s="41"/>
      <c r="K32" s="29"/>
      <c r="L32" s="1"/>
      <c r="M32" s="1"/>
      <c r="N32" s="1"/>
      <c r="O32" s="1"/>
      <c r="P32" s="55">
        <v>44528</v>
      </c>
      <c r="Q32" s="35"/>
      <c r="R32" s="138"/>
      <c r="S32" s="139"/>
      <c r="T32" s="138"/>
      <c r="U32" s="139"/>
      <c r="V32" s="138"/>
      <c r="W32" s="139">
        <v>22000</v>
      </c>
      <c r="X32" s="138"/>
      <c r="Y32" s="138">
        <v>17000</v>
      </c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>
        <v>31000</v>
      </c>
      <c r="AP32" s="138"/>
      <c r="AQ32" s="138"/>
      <c r="AR32" s="138"/>
      <c r="AS32" s="138"/>
      <c r="AT32" s="138"/>
      <c r="AU32" s="138"/>
      <c r="AV32" s="149"/>
      <c r="AW32" s="138"/>
      <c r="AX32" s="1"/>
      <c r="AY32" s="1"/>
      <c r="AZ32" s="1"/>
      <c r="BA32" s="1"/>
    </row>
    <row r="33" spans="1:53">
      <c r="A33" s="21">
        <f t="shared" si="0"/>
        <v>44529</v>
      </c>
      <c r="B33" s="38">
        <v>23000</v>
      </c>
      <c r="C33" s="38">
        <v>14000</v>
      </c>
      <c r="D33" s="24">
        <f t="shared" si="1"/>
        <v>37000</v>
      </c>
      <c r="E33" s="40">
        <v>10182</v>
      </c>
      <c r="F33" s="35"/>
      <c r="G33" s="27"/>
      <c r="H33" s="216">
        <f t="shared" si="2"/>
        <v>10182</v>
      </c>
      <c r="I33" s="35"/>
      <c r="J33" s="41"/>
      <c r="K33" s="29"/>
      <c r="L33" s="1"/>
      <c r="M33" s="1"/>
      <c r="N33" s="1"/>
      <c r="O33" s="1"/>
      <c r="P33" s="55">
        <v>44529</v>
      </c>
      <c r="Q33" s="56">
        <v>2000</v>
      </c>
      <c r="R33" s="138"/>
      <c r="S33" s="139"/>
      <c r="T33" s="138"/>
      <c r="U33" s="139">
        <v>9000</v>
      </c>
      <c r="V33" s="138"/>
      <c r="W33" s="139">
        <v>16000</v>
      </c>
      <c r="X33" s="138"/>
      <c r="Y33" s="138"/>
      <c r="Z33" s="139">
        <v>10000</v>
      </c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1"/>
      <c r="AY33" s="1"/>
      <c r="AZ33" s="1"/>
      <c r="BA33" s="1"/>
    </row>
    <row r="34" spans="1:53">
      <c r="A34" s="21">
        <f t="shared" si="0"/>
        <v>44530</v>
      </c>
      <c r="B34" s="38">
        <v>73000</v>
      </c>
      <c r="C34" s="38"/>
      <c r="D34" s="24">
        <f t="shared" si="1"/>
        <v>73000</v>
      </c>
      <c r="E34" s="40">
        <v>3780</v>
      </c>
      <c r="F34" s="35"/>
      <c r="G34" s="27"/>
      <c r="H34" s="216">
        <f t="shared" si="2"/>
        <v>3780</v>
      </c>
      <c r="I34" s="35"/>
      <c r="J34" s="41"/>
      <c r="K34" s="29"/>
      <c r="L34" s="1"/>
      <c r="M34" s="1"/>
      <c r="N34" s="1"/>
      <c r="O34" s="1"/>
      <c r="P34" s="55">
        <v>44530</v>
      </c>
      <c r="Q34" s="137"/>
      <c r="R34" s="154"/>
      <c r="S34" s="155"/>
      <c r="T34" s="154"/>
      <c r="U34" s="155">
        <v>30000</v>
      </c>
      <c r="V34" s="154"/>
      <c r="W34" s="155">
        <v>6000</v>
      </c>
      <c r="X34" s="154"/>
      <c r="Y34" s="154"/>
      <c r="Z34" s="155">
        <v>1000</v>
      </c>
      <c r="AA34" s="154"/>
      <c r="AB34" s="155"/>
      <c r="AC34" s="154"/>
      <c r="AD34" s="156"/>
      <c r="AE34" s="154"/>
      <c r="AF34" s="157">
        <v>36000</v>
      </c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1"/>
      <c r="AY34" s="1"/>
      <c r="AZ34" s="1"/>
      <c r="BA34" s="1"/>
    </row>
    <row r="35" spans="1:53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/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1"/>
      <c r="AY35" s="1"/>
      <c r="AZ35" s="1"/>
      <c r="BA35" s="1"/>
    </row>
    <row r="36" spans="1:53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3">SUM(Q5:Q35)</f>
        <v>102000</v>
      </c>
      <c r="R36" s="115">
        <f t="shared" si="3"/>
        <v>20000</v>
      </c>
      <c r="S36" s="115">
        <f t="shared" si="3"/>
        <v>58000</v>
      </c>
      <c r="T36" s="115">
        <f t="shared" si="3"/>
        <v>0</v>
      </c>
      <c r="U36" s="115">
        <f t="shared" si="3"/>
        <v>1100000</v>
      </c>
      <c r="V36" s="115">
        <f t="shared" si="3"/>
        <v>0</v>
      </c>
      <c r="W36" s="115">
        <f t="shared" si="3"/>
        <v>935000</v>
      </c>
      <c r="X36" s="115">
        <f t="shared" si="3"/>
        <v>50000</v>
      </c>
      <c r="Y36" s="115">
        <f t="shared" si="3"/>
        <v>31000</v>
      </c>
      <c r="Z36" s="115">
        <f t="shared" si="3"/>
        <v>501000</v>
      </c>
      <c r="AA36" s="115">
        <f t="shared" si="3"/>
        <v>0</v>
      </c>
      <c r="AB36" s="115">
        <f t="shared" si="3"/>
        <v>144000</v>
      </c>
      <c r="AC36" s="115">
        <f t="shared" si="3"/>
        <v>0</v>
      </c>
      <c r="AD36" s="115">
        <f t="shared" si="3"/>
        <v>26000</v>
      </c>
      <c r="AE36" s="115">
        <f t="shared" si="3"/>
        <v>0</v>
      </c>
      <c r="AF36" s="115">
        <f t="shared" si="3"/>
        <v>252000</v>
      </c>
      <c r="AG36" s="115">
        <f t="shared" si="3"/>
        <v>0</v>
      </c>
      <c r="AH36" s="115">
        <f t="shared" si="3"/>
        <v>30000</v>
      </c>
      <c r="AI36" s="115">
        <f t="shared" si="3"/>
        <v>0</v>
      </c>
      <c r="AJ36" s="115">
        <f t="shared" si="3"/>
        <v>21000</v>
      </c>
      <c r="AK36" s="115">
        <f t="shared" si="3"/>
        <v>0</v>
      </c>
      <c r="AL36" s="115">
        <f t="shared" si="3"/>
        <v>25000</v>
      </c>
      <c r="AM36" s="115">
        <f t="shared" si="3"/>
        <v>0</v>
      </c>
      <c r="AN36" s="115">
        <f t="shared" si="3"/>
        <v>2000</v>
      </c>
      <c r="AO36" s="115">
        <f t="shared" si="3"/>
        <v>31000</v>
      </c>
      <c r="AP36" s="115">
        <f t="shared" si="3"/>
        <v>0</v>
      </c>
      <c r="AQ36" s="115">
        <f t="shared" si="3"/>
        <v>0</v>
      </c>
      <c r="AR36" s="115">
        <f t="shared" si="3"/>
        <v>0</v>
      </c>
      <c r="AS36" s="115">
        <f t="shared" si="3"/>
        <v>0</v>
      </c>
      <c r="AT36" s="115">
        <f t="shared" si="3"/>
        <v>0</v>
      </c>
      <c r="AU36" s="115">
        <f t="shared" si="3"/>
        <v>0</v>
      </c>
      <c r="AV36" s="115">
        <f t="shared" si="3"/>
        <v>0</v>
      </c>
      <c r="AW36" s="115">
        <f t="shared" si="3"/>
        <v>0</v>
      </c>
      <c r="AX36" s="1"/>
      <c r="AY36" s="1"/>
      <c r="AZ36" s="1"/>
      <c r="BA36" s="1"/>
    </row>
    <row r="37" spans="1:53" ht="22" thickTop="1" thickBot="1">
      <c r="A37" s="81" t="s">
        <v>33</v>
      </c>
      <c r="B37" s="82">
        <f t="shared" ref="B37:I37" si="4">SUM(B5:B35)</f>
        <v>2673000</v>
      </c>
      <c r="C37" s="82">
        <f t="shared" si="4"/>
        <v>655000</v>
      </c>
      <c r="D37" s="82">
        <f t="shared" si="4"/>
        <v>3328000</v>
      </c>
      <c r="E37" s="83">
        <f t="shared" si="4"/>
        <v>316684</v>
      </c>
      <c r="F37" s="84">
        <f t="shared" si="4"/>
        <v>61630</v>
      </c>
      <c r="G37" s="84">
        <f t="shared" si="4"/>
        <v>16460</v>
      </c>
      <c r="H37" s="132">
        <f t="shared" si="4"/>
        <v>394774</v>
      </c>
      <c r="I37" s="86">
        <f t="shared" si="4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35700</v>
      </c>
      <c r="R38" s="542">
        <f>R36*0.3</f>
        <v>6000</v>
      </c>
      <c r="S38" s="544">
        <f>S36*0.35</f>
        <v>20300</v>
      </c>
      <c r="T38" s="544">
        <f>T36*0.3</f>
        <v>0</v>
      </c>
      <c r="U38" s="532">
        <f>U36*0.4</f>
        <v>440000</v>
      </c>
      <c r="V38" s="532">
        <f>V36*0.3</f>
        <v>0</v>
      </c>
      <c r="W38" s="534">
        <f>W36*0.4</f>
        <v>374000</v>
      </c>
      <c r="X38" s="534">
        <f>X36*0.3</f>
        <v>15000</v>
      </c>
      <c r="Y38" s="538">
        <f>Y36</f>
        <v>31000</v>
      </c>
      <c r="Z38" s="536">
        <f>Z36*0.35</f>
        <v>175350</v>
      </c>
      <c r="AA38" s="530">
        <f>AA36*0.3</f>
        <v>0</v>
      </c>
      <c r="AB38" s="530">
        <f>AB36*0.35</f>
        <v>50400</v>
      </c>
      <c r="AC38" s="530">
        <f>AC36*0.3</f>
        <v>0</v>
      </c>
      <c r="AD38" s="530">
        <f>AD36*0.35</f>
        <v>9100</v>
      </c>
      <c r="AE38" s="530">
        <f>AE36*0.3</f>
        <v>0</v>
      </c>
      <c r="AF38" s="530">
        <f>AF36*0.35</f>
        <v>88200</v>
      </c>
      <c r="AG38" s="530">
        <f>AG36*0.3</f>
        <v>0</v>
      </c>
      <c r="AH38" s="530">
        <f>AH36*0.35</f>
        <v>10500</v>
      </c>
      <c r="AI38" s="530">
        <f>AI36*0.3</f>
        <v>0</v>
      </c>
      <c r="AJ38" s="530">
        <f>AJ36*0.35</f>
        <v>7349.9999999999991</v>
      </c>
      <c r="AK38" s="530">
        <f>AK36*0.3</f>
        <v>0</v>
      </c>
      <c r="AL38" s="530">
        <f>AL36*0.35</f>
        <v>8750</v>
      </c>
      <c r="AM38" s="530">
        <f>AM36*0.3</f>
        <v>0</v>
      </c>
      <c r="AN38" s="536">
        <f t="shared" ref="AN38:AV38" si="5">AN36*0.35</f>
        <v>700</v>
      </c>
      <c r="AO38" s="530">
        <f t="shared" si="5"/>
        <v>10850</v>
      </c>
      <c r="AP38" s="530">
        <f t="shared" si="5"/>
        <v>0</v>
      </c>
      <c r="AQ38" s="530">
        <f t="shared" si="5"/>
        <v>0</v>
      </c>
      <c r="AR38" s="530">
        <f t="shared" si="5"/>
        <v>0</v>
      </c>
      <c r="AS38" s="530">
        <f t="shared" si="5"/>
        <v>0</v>
      </c>
      <c r="AT38" s="530">
        <f t="shared" si="5"/>
        <v>0</v>
      </c>
      <c r="AU38" s="530">
        <f t="shared" si="5"/>
        <v>0</v>
      </c>
      <c r="AV38" s="530">
        <f t="shared" si="5"/>
        <v>0</v>
      </c>
      <c r="AW38" s="530">
        <f>AW36*0.3</f>
        <v>0</v>
      </c>
      <c r="AX38" s="182"/>
      <c r="AY38" s="182"/>
      <c r="AZ38" s="182"/>
      <c r="BA38" s="182"/>
    </row>
    <row r="39" spans="1:53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  <c r="AY39" s="182"/>
      <c r="AZ39" s="182"/>
      <c r="BA39" s="182"/>
    </row>
    <row r="40" spans="1:53">
      <c r="A40" s="1"/>
      <c r="B40" s="552">
        <f>B1</f>
        <v>11</v>
      </c>
      <c r="C40" s="547"/>
      <c r="D40" s="548">
        <v>79000</v>
      </c>
      <c r="E40" s="549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182"/>
      <c r="AY40" s="182"/>
      <c r="AZ40" s="182"/>
      <c r="BA40" s="182"/>
    </row>
    <row r="41" spans="1:53">
      <c r="A41" s="1"/>
      <c r="B41" s="182"/>
      <c r="C41" s="1"/>
      <c r="D41" s="1"/>
      <c r="E41" s="372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182"/>
      <c r="AY41" s="182"/>
      <c r="AZ41" s="182"/>
      <c r="BA41" s="182"/>
    </row>
    <row r="42" spans="1:53">
      <c r="A42" s="1"/>
      <c r="B42" s="496" t="s">
        <v>307</v>
      </c>
      <c r="C42" s="496"/>
      <c r="D42" s="496" t="s">
        <v>308</v>
      </c>
      <c r="E42" s="496"/>
      <c r="F42" s="1"/>
      <c r="G42" s="91">
        <f>95000+43000+42000+45000+79000+44000</f>
        <v>348000</v>
      </c>
      <c r="H42" s="1">
        <v>10000</v>
      </c>
      <c r="I42" s="1"/>
      <c r="J42" s="1"/>
      <c r="K42" s="1">
        <v>1900000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1"/>
      <c r="B43" s="546">
        <f>B37-D40</f>
        <v>2594000</v>
      </c>
      <c r="C43" s="547"/>
      <c r="D43" s="548">
        <f>D40-F37-G37</f>
        <v>910</v>
      </c>
      <c r="E43" s="549"/>
      <c r="F43" s="1"/>
      <c r="G43" s="1"/>
      <c r="H43" s="1"/>
      <c r="I43" s="1"/>
      <c r="J43" s="1"/>
      <c r="K43" s="181">
        <f>214000+73000</f>
        <v>287000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1"/>
      <c r="B44" s="1"/>
      <c r="C44" s="1"/>
      <c r="D44" s="1"/>
      <c r="E44" s="1"/>
      <c r="F44" s="1"/>
      <c r="G44" s="39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1"/>
      <c r="B45" s="1"/>
      <c r="C45" s="1"/>
      <c r="D45" s="1"/>
      <c r="E45" s="1"/>
      <c r="F45" s="1"/>
      <c r="G45" s="91">
        <f>G42-K42-K43</f>
        <v>-1839000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</sheetData>
  <mergeCells count="85">
    <mergeCell ref="I3:I4"/>
    <mergeCell ref="A1:A2"/>
    <mergeCell ref="B1:B2"/>
    <mergeCell ref="A3:A4"/>
    <mergeCell ref="B3:D3"/>
    <mergeCell ref="E3:H3"/>
    <mergeCell ref="Z3:Z4"/>
    <mergeCell ref="J3:J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W3:AW4"/>
    <mergeCell ref="AL3:AL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R3:AR4"/>
    <mergeCell ref="AS3:AS4"/>
    <mergeCell ref="AT3:AT4"/>
    <mergeCell ref="AU3:AU4"/>
    <mergeCell ref="AV3:AV4"/>
    <mergeCell ref="AM3:AM4"/>
    <mergeCell ref="AN3:AN4"/>
    <mergeCell ref="AO3:AO4"/>
    <mergeCell ref="AP3:AP4"/>
    <mergeCell ref="AQ3:AQ4"/>
    <mergeCell ref="Y38:Y39"/>
    <mergeCell ref="M10:N10"/>
    <mergeCell ref="N11:N12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K38:AK39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AH38:AH39"/>
    <mergeCell ref="AI38:AI39"/>
    <mergeCell ref="AJ38:AJ39"/>
    <mergeCell ref="AW38:AW39"/>
    <mergeCell ref="AL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U38:AU39"/>
    <mergeCell ref="AV38:AV39"/>
    <mergeCell ref="B43:C43"/>
    <mergeCell ref="D43:E43"/>
    <mergeCell ref="B39:C39"/>
    <mergeCell ref="D39:E39"/>
    <mergeCell ref="B40:C40"/>
    <mergeCell ref="D40:E40"/>
    <mergeCell ref="B42:C42"/>
    <mergeCell ref="D42:E42"/>
  </mergeCells>
  <phoneticPr fontId="7"/>
  <dataValidations count="2">
    <dataValidation type="list" allowBlank="1" showErrorMessage="1" sqref="Q3:Q4 AD3:AD4 S3:S4 U3:U4 AL3:AL4 AH3:AH4 Z3:Z4 AF3:AF4 AJ3:AJ4 W3:W4 AB3:AB4 AV3:AV4 AN3:AN4 AO3:AU3" xr:uid="{98F3BBEB-5E1D-B345-983B-4671BACED2BB}">
      <formula1>名前</formula1>
    </dataValidation>
    <dataValidation allowBlank="1" showErrorMessage="1" sqref="R3:R4 AI3:AI4 T3:T4 AC3:AC4 AA3:AA4 AE3:AE4 AG3:AG4 AK3:AK4 AW3:AW4 V3:V4 AM3:AM4 X3:X4 Y3" xr:uid="{F4A6F2EB-CAF1-F743-82C7-5BEFE0A7F65C}"/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B010-8E78-49A8-A506-E8703C990777}">
  <dimension ref="A1:CD43"/>
  <sheetViews>
    <sheetView zoomScale="50" zoomScaleNormal="63" workbookViewId="0">
      <selection sqref="A1:AX53"/>
    </sheetView>
  </sheetViews>
  <sheetFormatPr baseColWidth="10" defaultColWidth="11.140625" defaultRowHeight="20"/>
  <cols>
    <col min="1" max="1" width="15" style="1" bestFit="1" customWidth="1"/>
    <col min="2" max="14" width="11.140625" style="1"/>
    <col min="15" max="15" width="4.85546875" style="1" customWidth="1"/>
    <col min="16" max="16" width="16.7109375" style="1" customWidth="1"/>
    <col min="17" max="22" width="11.140625" style="1"/>
    <col min="23" max="23" width="11.140625" style="1" customWidth="1"/>
    <col min="24" max="16384" width="11.140625" style="1"/>
  </cols>
  <sheetData>
    <row r="1" spans="1:82">
      <c r="A1" s="498">
        <v>2021</v>
      </c>
      <c r="B1" s="500">
        <v>1</v>
      </c>
      <c r="E1" s="2"/>
      <c r="F1" s="2"/>
      <c r="G1" s="2"/>
      <c r="H1" s="2"/>
      <c r="I1" s="2"/>
      <c r="J1" s="2"/>
    </row>
    <row r="2" spans="1:82" ht="21" thickBot="1">
      <c r="A2" s="499"/>
      <c r="B2" s="499"/>
      <c r="E2" s="2"/>
      <c r="F2" s="2"/>
      <c r="G2" s="2"/>
      <c r="H2" s="2"/>
      <c r="I2" s="2"/>
      <c r="J2" s="2"/>
    </row>
    <row r="3" spans="1:82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248</v>
      </c>
      <c r="AA3" s="494">
        <v>0.3</v>
      </c>
      <c r="AB3" s="492" t="s">
        <v>248</v>
      </c>
      <c r="AC3" s="494">
        <v>0.3</v>
      </c>
      <c r="AD3" s="496" t="s">
        <v>248</v>
      </c>
      <c r="AE3" s="494">
        <v>0.3</v>
      </c>
      <c r="AF3" s="527" t="s">
        <v>248</v>
      </c>
      <c r="AG3" s="494">
        <v>0.3</v>
      </c>
      <c r="AH3" s="492" t="s">
        <v>248</v>
      </c>
      <c r="AI3" s="494">
        <v>0.3</v>
      </c>
      <c r="AJ3" s="496" t="s">
        <v>248</v>
      </c>
      <c r="AK3" s="494">
        <v>0.3</v>
      </c>
      <c r="AL3" s="496" t="s">
        <v>248</v>
      </c>
      <c r="AM3" s="523">
        <v>0.3</v>
      </c>
      <c r="AN3" s="496" t="s">
        <v>248</v>
      </c>
      <c r="AO3" s="520" t="s">
        <v>248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</row>
    <row r="4" spans="1:82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</row>
    <row r="5" spans="1:82">
      <c r="A5" s="21">
        <f t="shared" ref="A5:A35" si="0">IF(DAY(DATE($A$1,$B$1,ROW()-4))=ROW()-4,DATE($A$1,$B$1,ROW()-4),"")</f>
        <v>44197</v>
      </c>
      <c r="B5" s="23"/>
      <c r="C5" s="23"/>
      <c r="D5" s="24">
        <f t="shared" ref="D5:D35" si="1">SUM(B5:C5)</f>
        <v>0</v>
      </c>
      <c r="E5" s="25"/>
      <c r="F5" s="26"/>
      <c r="G5" s="27"/>
      <c r="H5" s="216">
        <f t="shared" ref="H5:H35" si="2">SUM(E5:G5)</f>
        <v>0</v>
      </c>
      <c r="I5" s="27"/>
      <c r="J5" s="28"/>
      <c r="K5" s="29"/>
      <c r="P5" s="55">
        <v>44197</v>
      </c>
      <c r="Q5" s="35"/>
      <c r="R5" s="138"/>
      <c r="S5" s="139"/>
      <c r="T5" s="138"/>
      <c r="U5" s="190"/>
      <c r="V5" s="138"/>
      <c r="W5" s="141"/>
      <c r="X5" s="138"/>
      <c r="Y5" s="166"/>
      <c r="Z5" s="142"/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0</v>
      </c>
      <c r="CD5" s="1" t="str">
        <f>""</f>
        <v/>
      </c>
    </row>
    <row r="6" spans="1:82">
      <c r="A6" s="21">
        <f t="shared" si="0"/>
        <v>44198</v>
      </c>
      <c r="B6" s="38"/>
      <c r="C6" s="23"/>
      <c r="D6" s="24">
        <f t="shared" si="1"/>
        <v>0</v>
      </c>
      <c r="E6" s="40"/>
      <c r="F6" s="35"/>
      <c r="G6" s="27"/>
      <c r="H6" s="216">
        <f t="shared" si="2"/>
        <v>0</v>
      </c>
      <c r="I6" s="35"/>
      <c r="J6" s="41"/>
      <c r="K6" s="29"/>
      <c r="P6" s="55">
        <v>44198</v>
      </c>
      <c r="Q6" s="35"/>
      <c r="R6" s="138"/>
      <c r="S6" s="139"/>
      <c r="T6" s="138"/>
      <c r="U6" s="143"/>
      <c r="V6" s="138"/>
      <c r="W6" s="147"/>
      <c r="X6" s="138"/>
      <c r="Y6" s="166"/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0</v>
      </c>
    </row>
    <row r="7" spans="1:82">
      <c r="A7" s="21">
        <f t="shared" si="0"/>
        <v>44199</v>
      </c>
      <c r="B7" s="38"/>
      <c r="C7" s="23"/>
      <c r="D7" s="24">
        <f t="shared" si="1"/>
        <v>0</v>
      </c>
      <c r="E7" s="40"/>
      <c r="F7" s="35"/>
      <c r="G7" s="27"/>
      <c r="H7" s="216">
        <f t="shared" si="2"/>
        <v>0</v>
      </c>
      <c r="I7" s="35"/>
      <c r="J7" s="41"/>
      <c r="K7" s="29"/>
      <c r="P7" s="55">
        <v>44199</v>
      </c>
      <c r="Q7" s="35"/>
      <c r="R7" s="138"/>
      <c r="S7" s="139"/>
      <c r="T7" s="138"/>
      <c r="U7" s="143"/>
      <c r="V7" s="138"/>
      <c r="W7" s="147"/>
      <c r="X7" s="138"/>
      <c r="Y7" s="166"/>
      <c r="Z7" s="142"/>
      <c r="AA7" s="138"/>
      <c r="AB7" s="139"/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0</v>
      </c>
    </row>
    <row r="8" spans="1:82">
      <c r="A8" s="21">
        <f t="shared" si="0"/>
        <v>44200</v>
      </c>
      <c r="B8" s="38"/>
      <c r="C8" s="23"/>
      <c r="D8" s="24">
        <f t="shared" si="1"/>
        <v>0</v>
      </c>
      <c r="E8" s="40"/>
      <c r="F8" s="35"/>
      <c r="G8" s="27"/>
      <c r="H8" s="216">
        <f t="shared" si="2"/>
        <v>0</v>
      </c>
      <c r="I8" s="35"/>
      <c r="J8" s="41"/>
      <c r="K8" s="29"/>
      <c r="P8" s="55">
        <v>44200</v>
      </c>
      <c r="Q8" s="35"/>
      <c r="R8" s="138"/>
      <c r="S8" s="139"/>
      <c r="T8" s="138"/>
      <c r="U8" s="143"/>
      <c r="V8" s="138"/>
      <c r="W8" s="147"/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0</v>
      </c>
    </row>
    <row r="9" spans="1:82">
      <c r="A9" s="21">
        <f t="shared" si="0"/>
        <v>44201</v>
      </c>
      <c r="B9" s="38"/>
      <c r="C9" s="23"/>
      <c r="D9" s="24">
        <f t="shared" si="1"/>
        <v>0</v>
      </c>
      <c r="E9" s="40"/>
      <c r="F9" s="35"/>
      <c r="G9" s="27"/>
      <c r="H9" s="216">
        <f t="shared" si="2"/>
        <v>0</v>
      </c>
      <c r="I9" s="35"/>
      <c r="J9" s="41"/>
      <c r="K9" s="29"/>
      <c r="P9" s="55">
        <v>44201</v>
      </c>
      <c r="Q9" s="35"/>
      <c r="R9" s="138"/>
      <c r="S9" s="139"/>
      <c r="T9" s="138"/>
      <c r="U9" s="139"/>
      <c r="V9" s="138"/>
      <c r="W9" s="152"/>
      <c r="X9" s="138"/>
      <c r="Y9" s="138"/>
      <c r="Z9" s="139"/>
      <c r="AA9" s="138"/>
      <c r="AB9" s="139"/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0</v>
      </c>
    </row>
    <row r="10" spans="1:82">
      <c r="A10" s="21">
        <f t="shared" si="0"/>
        <v>44202</v>
      </c>
      <c r="B10" s="38"/>
      <c r="C10" s="23"/>
      <c r="D10" s="24">
        <f t="shared" si="1"/>
        <v>0</v>
      </c>
      <c r="E10" s="40"/>
      <c r="F10" s="35"/>
      <c r="G10" s="27"/>
      <c r="H10" s="216">
        <f t="shared" si="2"/>
        <v>0</v>
      </c>
      <c r="I10" s="35"/>
      <c r="J10" s="41"/>
      <c r="K10" s="29"/>
      <c r="M10" s="516" t="s">
        <v>26</v>
      </c>
      <c r="N10" s="517"/>
      <c r="P10" s="55">
        <v>44202</v>
      </c>
      <c r="Q10" s="35"/>
      <c r="R10" s="138"/>
      <c r="S10" s="139"/>
      <c r="T10" s="138"/>
      <c r="U10" s="139"/>
      <c r="V10" s="138"/>
      <c r="W10" s="139"/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0</v>
      </c>
    </row>
    <row r="11" spans="1:82">
      <c r="A11" s="21">
        <f t="shared" si="0"/>
        <v>44203</v>
      </c>
      <c r="B11" s="38"/>
      <c r="C11" s="23"/>
      <c r="D11" s="24">
        <f t="shared" si="1"/>
        <v>0</v>
      </c>
      <c r="E11" s="40"/>
      <c r="F11" s="35"/>
      <c r="G11" s="27"/>
      <c r="H11" s="216">
        <f t="shared" si="2"/>
        <v>0</v>
      </c>
      <c r="I11" s="35"/>
      <c r="J11" s="41"/>
      <c r="K11" s="29"/>
      <c r="M11" s="47" t="s">
        <v>27</v>
      </c>
      <c r="N11" s="518"/>
      <c r="P11" s="55">
        <v>44203</v>
      </c>
      <c r="Q11" s="35"/>
      <c r="R11" s="138"/>
      <c r="S11" s="139"/>
      <c r="T11" s="138"/>
      <c r="U11" s="139"/>
      <c r="V11" s="138"/>
      <c r="W11" s="139"/>
      <c r="X11" s="138"/>
      <c r="Y11" s="138"/>
      <c r="Z11" s="139"/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0</v>
      </c>
    </row>
    <row r="12" spans="1:82">
      <c r="A12" s="21">
        <f t="shared" si="0"/>
        <v>44204</v>
      </c>
      <c r="B12" s="38"/>
      <c r="C12" s="23"/>
      <c r="D12" s="24">
        <f t="shared" si="1"/>
        <v>0</v>
      </c>
      <c r="E12" s="40"/>
      <c r="F12" s="35"/>
      <c r="G12" s="27"/>
      <c r="H12" s="216">
        <f t="shared" si="2"/>
        <v>0</v>
      </c>
      <c r="I12" s="35"/>
      <c r="J12" s="41"/>
      <c r="K12" s="29"/>
      <c r="M12" s="47" t="s">
        <v>28</v>
      </c>
      <c r="N12" s="519"/>
      <c r="P12" s="55">
        <v>44204</v>
      </c>
      <c r="Q12" s="35"/>
      <c r="R12" s="138"/>
      <c r="S12" s="139"/>
      <c r="T12" s="138"/>
      <c r="U12" s="139"/>
      <c r="V12" s="138"/>
      <c r="W12" s="139"/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0</v>
      </c>
    </row>
    <row r="13" spans="1:82">
      <c r="A13" s="21">
        <f t="shared" si="0"/>
        <v>44205</v>
      </c>
      <c r="B13" s="38"/>
      <c r="C13" s="23"/>
      <c r="D13" s="24">
        <f t="shared" si="1"/>
        <v>0</v>
      </c>
      <c r="E13" s="40"/>
      <c r="F13" s="35"/>
      <c r="G13" s="27"/>
      <c r="H13" s="216">
        <f t="shared" si="2"/>
        <v>0</v>
      </c>
      <c r="I13" s="35"/>
      <c r="J13" s="41"/>
      <c r="K13" s="29"/>
      <c r="M13" s="47" t="s">
        <v>29</v>
      </c>
      <c r="N13" s="35">
        <v>7000</v>
      </c>
      <c r="P13" s="55">
        <v>44205</v>
      </c>
      <c r="Q13" s="35"/>
      <c r="R13" s="138"/>
      <c r="S13" s="139"/>
      <c r="T13" s="138"/>
      <c r="U13" s="139"/>
      <c r="V13" s="138"/>
      <c r="W13" s="139"/>
      <c r="X13" s="138"/>
      <c r="Y13" s="138"/>
      <c r="Z13" s="139"/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0</v>
      </c>
    </row>
    <row r="14" spans="1:82">
      <c r="A14" s="21">
        <f t="shared" si="0"/>
        <v>44206</v>
      </c>
      <c r="B14" s="38"/>
      <c r="C14" s="23"/>
      <c r="D14" s="24">
        <f t="shared" si="1"/>
        <v>0</v>
      </c>
      <c r="E14" s="40"/>
      <c r="F14" s="44"/>
      <c r="G14" s="27"/>
      <c r="H14" s="216">
        <f t="shared" si="2"/>
        <v>0</v>
      </c>
      <c r="I14" s="35"/>
      <c r="J14" s="41"/>
      <c r="K14" s="29"/>
      <c r="M14" s="47" t="s">
        <v>30</v>
      </c>
      <c r="N14" s="35">
        <v>4000</v>
      </c>
      <c r="P14" s="55">
        <v>44206</v>
      </c>
      <c r="Q14" s="35"/>
      <c r="R14" s="138"/>
      <c r="S14" s="139"/>
      <c r="T14" s="138"/>
      <c r="U14" s="139"/>
      <c r="V14" s="138"/>
      <c r="W14" s="139"/>
      <c r="X14" s="138"/>
      <c r="Y14" s="138"/>
      <c r="Z14" s="139"/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0</v>
      </c>
    </row>
    <row r="15" spans="1:82">
      <c r="A15" s="21">
        <f t="shared" si="0"/>
        <v>44207</v>
      </c>
      <c r="B15" s="38"/>
      <c r="C15" s="23"/>
      <c r="D15" s="24">
        <f t="shared" si="1"/>
        <v>0</v>
      </c>
      <c r="E15" s="40"/>
      <c r="F15" s="35"/>
      <c r="G15" s="27"/>
      <c r="H15" s="216">
        <f t="shared" si="2"/>
        <v>0</v>
      </c>
      <c r="I15" s="35"/>
      <c r="J15" s="41"/>
      <c r="K15" s="29"/>
      <c r="M15" s="47" t="s">
        <v>31</v>
      </c>
      <c r="N15" s="35"/>
      <c r="P15" s="55">
        <v>44207</v>
      </c>
      <c r="Q15" s="35"/>
      <c r="R15" s="138"/>
      <c r="S15" s="139"/>
      <c r="T15" s="138"/>
      <c r="U15" s="139"/>
      <c r="V15" s="138"/>
      <c r="W15" s="139"/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0</v>
      </c>
    </row>
    <row r="16" spans="1:82">
      <c r="A16" s="21">
        <f t="shared" si="0"/>
        <v>44208</v>
      </c>
      <c r="B16" s="38"/>
      <c r="C16" s="23"/>
      <c r="D16" s="24">
        <f t="shared" si="1"/>
        <v>0</v>
      </c>
      <c r="E16" s="40"/>
      <c r="F16" s="35"/>
      <c r="G16" s="27"/>
      <c r="H16" s="216">
        <f t="shared" si="2"/>
        <v>0</v>
      </c>
      <c r="I16" s="35"/>
      <c r="J16" s="41"/>
      <c r="K16" s="29"/>
      <c r="M16" s="47" t="s">
        <v>32</v>
      </c>
      <c r="N16" s="35">
        <v>45000</v>
      </c>
      <c r="P16" s="55">
        <v>44208</v>
      </c>
      <c r="Q16" s="35"/>
      <c r="R16" s="138"/>
      <c r="S16" s="139"/>
      <c r="T16" s="138"/>
      <c r="U16" s="139"/>
      <c r="V16" s="138"/>
      <c r="W16" s="139"/>
      <c r="X16" s="138"/>
      <c r="Y16" s="138"/>
      <c r="Z16" s="139"/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0</v>
      </c>
    </row>
    <row r="17" spans="1:50">
      <c r="A17" s="21">
        <f t="shared" si="0"/>
        <v>44209</v>
      </c>
      <c r="B17" s="38"/>
      <c r="C17" s="23"/>
      <c r="D17" s="24">
        <f t="shared" si="1"/>
        <v>0</v>
      </c>
      <c r="E17" s="40"/>
      <c r="F17" s="35"/>
      <c r="G17" s="27"/>
      <c r="H17" s="216">
        <f t="shared" si="2"/>
        <v>0</v>
      </c>
      <c r="I17" s="35"/>
      <c r="J17" s="41"/>
      <c r="K17" s="29"/>
      <c r="M17" s="47"/>
      <c r="N17" s="35"/>
      <c r="P17" s="55">
        <v>44209</v>
      </c>
      <c r="Q17" s="35"/>
      <c r="R17" s="138"/>
      <c r="S17" s="139"/>
      <c r="T17" s="138"/>
      <c r="U17" s="139"/>
      <c r="V17" s="138"/>
      <c r="W17" s="139"/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0</v>
      </c>
    </row>
    <row r="18" spans="1:50">
      <c r="A18" s="21">
        <f t="shared" si="0"/>
        <v>44210</v>
      </c>
      <c r="B18" s="38"/>
      <c r="C18" s="23"/>
      <c r="D18" s="24">
        <f t="shared" si="1"/>
        <v>0</v>
      </c>
      <c r="E18" s="40"/>
      <c r="F18" s="35"/>
      <c r="G18" s="27"/>
      <c r="H18" s="216">
        <f t="shared" si="2"/>
        <v>0</v>
      </c>
      <c r="I18" s="35"/>
      <c r="J18" s="41"/>
      <c r="K18" s="29"/>
      <c r="M18" s="47"/>
      <c r="N18" s="35"/>
      <c r="P18" s="55">
        <v>44210</v>
      </c>
      <c r="Q18" s="35"/>
      <c r="R18" s="138"/>
      <c r="S18" s="139"/>
      <c r="T18" s="138"/>
      <c r="U18" s="139"/>
      <c r="V18" s="138"/>
      <c r="W18" s="139"/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0</v>
      </c>
    </row>
    <row r="19" spans="1:50">
      <c r="A19" s="21">
        <f t="shared" si="0"/>
        <v>44211</v>
      </c>
      <c r="B19" s="38"/>
      <c r="C19" s="23"/>
      <c r="D19" s="24">
        <f t="shared" si="1"/>
        <v>0</v>
      </c>
      <c r="E19" s="40"/>
      <c r="F19" s="35"/>
      <c r="G19" s="27"/>
      <c r="H19" s="216">
        <f t="shared" si="2"/>
        <v>0</v>
      </c>
      <c r="I19" s="35"/>
      <c r="J19" s="41"/>
      <c r="K19" s="29"/>
      <c r="M19" s="49" t="s">
        <v>33</v>
      </c>
      <c r="N19" s="50">
        <f>SUM(N11:N18)</f>
        <v>56000</v>
      </c>
      <c r="P19" s="55">
        <v>44211</v>
      </c>
      <c r="Q19" s="35"/>
      <c r="R19" s="138"/>
      <c r="S19" s="139"/>
      <c r="T19" s="138"/>
      <c r="U19" s="139"/>
      <c r="V19" s="138"/>
      <c r="W19" s="139"/>
      <c r="X19" s="138"/>
      <c r="Y19" s="138"/>
      <c r="Z19" s="139"/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0</v>
      </c>
    </row>
    <row r="20" spans="1:50">
      <c r="A20" s="21">
        <f t="shared" si="0"/>
        <v>44212</v>
      </c>
      <c r="B20" s="38"/>
      <c r="C20" s="38"/>
      <c r="D20" s="24">
        <f t="shared" si="1"/>
        <v>0</v>
      </c>
      <c r="E20" s="40"/>
      <c r="F20" s="35"/>
      <c r="G20" s="27"/>
      <c r="H20" s="216">
        <f t="shared" si="2"/>
        <v>0</v>
      </c>
      <c r="I20" s="35"/>
      <c r="J20" s="41"/>
      <c r="K20" s="29"/>
      <c r="M20" s="51"/>
      <c r="N20" s="7"/>
      <c r="P20" s="55">
        <v>44212</v>
      </c>
      <c r="Q20" s="35"/>
      <c r="R20" s="138"/>
      <c r="S20" s="139"/>
      <c r="T20" s="138"/>
      <c r="U20" s="139"/>
      <c r="V20" s="138"/>
      <c r="W20" s="139"/>
      <c r="X20" s="138"/>
      <c r="Y20" s="138"/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0</v>
      </c>
    </row>
    <row r="21" spans="1:50">
      <c r="A21" s="21">
        <f t="shared" si="0"/>
        <v>44213</v>
      </c>
      <c r="B21" s="38"/>
      <c r="C21" s="38"/>
      <c r="D21" s="24">
        <f t="shared" si="1"/>
        <v>0</v>
      </c>
      <c r="E21" s="40"/>
      <c r="F21" s="35"/>
      <c r="G21" s="27"/>
      <c r="H21" s="216">
        <f t="shared" si="2"/>
        <v>0</v>
      </c>
      <c r="I21" s="35"/>
      <c r="J21" s="41"/>
      <c r="K21" s="29"/>
      <c r="P21" s="55">
        <v>44213</v>
      </c>
      <c r="Q21" s="35"/>
      <c r="R21" s="138"/>
      <c r="S21" s="139"/>
      <c r="T21" s="138"/>
      <c r="U21" s="139"/>
      <c r="V21" s="138"/>
      <c r="W21" s="139"/>
      <c r="X21" s="138"/>
      <c r="Y21" s="138"/>
      <c r="Z21" s="139"/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0</v>
      </c>
    </row>
    <row r="22" spans="1:50">
      <c r="A22" s="21">
        <f t="shared" si="0"/>
        <v>44214</v>
      </c>
      <c r="B22" s="38"/>
      <c r="C22" s="38"/>
      <c r="D22" s="24">
        <f t="shared" si="1"/>
        <v>0</v>
      </c>
      <c r="E22" s="40"/>
      <c r="F22" s="35"/>
      <c r="G22" s="27"/>
      <c r="H22" s="216">
        <f t="shared" si="2"/>
        <v>0</v>
      </c>
      <c r="I22" s="35"/>
      <c r="J22" s="41"/>
      <c r="K22" s="29"/>
      <c r="P22" s="55">
        <v>44214</v>
      </c>
      <c r="Q22" s="35"/>
      <c r="R22" s="138"/>
      <c r="S22" s="139"/>
      <c r="T22" s="138"/>
      <c r="U22" s="139"/>
      <c r="V22" s="138"/>
      <c r="W22" s="139"/>
      <c r="X22" s="138"/>
      <c r="Y22" s="375"/>
      <c r="Z22" s="153"/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0</v>
      </c>
    </row>
    <row r="23" spans="1:50">
      <c r="A23" s="21">
        <f t="shared" si="0"/>
        <v>44215</v>
      </c>
      <c r="B23" s="38"/>
      <c r="C23" s="38"/>
      <c r="D23" s="24">
        <f t="shared" si="1"/>
        <v>0</v>
      </c>
      <c r="E23" s="40"/>
      <c r="F23" s="35"/>
      <c r="G23" s="27"/>
      <c r="H23" s="216">
        <f t="shared" si="2"/>
        <v>0</v>
      </c>
      <c r="I23" s="35"/>
      <c r="J23" s="41"/>
      <c r="K23" s="29"/>
      <c r="P23" s="55">
        <v>44215</v>
      </c>
      <c r="Q23" s="35"/>
      <c r="R23" s="138"/>
      <c r="S23" s="139"/>
      <c r="T23" s="138"/>
      <c r="U23" s="139"/>
      <c r="V23" s="138"/>
      <c r="W23" s="139"/>
      <c r="X23" s="138"/>
      <c r="Y23" s="138"/>
      <c r="Z23" s="139"/>
      <c r="AA23" s="138"/>
      <c r="AB23" s="139"/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0</v>
      </c>
    </row>
    <row r="24" spans="1:50">
      <c r="A24" s="21">
        <f t="shared" si="0"/>
        <v>44216</v>
      </c>
      <c r="B24" s="38"/>
      <c r="C24" s="38"/>
      <c r="D24" s="24">
        <f t="shared" si="1"/>
        <v>0</v>
      </c>
      <c r="E24" s="40"/>
      <c r="F24" s="35"/>
      <c r="G24" s="27"/>
      <c r="H24" s="216">
        <f t="shared" si="2"/>
        <v>0</v>
      </c>
      <c r="I24" s="35"/>
      <c r="J24" s="41"/>
      <c r="K24" s="29"/>
      <c r="M24" s="53" t="s">
        <v>34</v>
      </c>
      <c r="N24" s="38">
        <f>D37</f>
        <v>0</v>
      </c>
      <c r="P24" s="55">
        <v>44216</v>
      </c>
      <c r="Q24" s="35"/>
      <c r="R24" s="138"/>
      <c r="S24" s="139"/>
      <c r="T24" s="138"/>
      <c r="U24" s="139"/>
      <c r="V24" s="138"/>
      <c r="W24" s="139"/>
      <c r="X24" s="138"/>
      <c r="Y24" s="138"/>
      <c r="Z24" s="139"/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0</v>
      </c>
    </row>
    <row r="25" spans="1:50">
      <c r="A25" s="21">
        <f t="shared" si="0"/>
        <v>44217</v>
      </c>
      <c r="B25" s="38"/>
      <c r="C25" s="38"/>
      <c r="D25" s="24">
        <f t="shared" si="1"/>
        <v>0</v>
      </c>
      <c r="E25" s="40"/>
      <c r="F25" s="35"/>
      <c r="G25" s="27"/>
      <c r="H25" s="216">
        <f t="shared" si="2"/>
        <v>0</v>
      </c>
      <c r="I25" s="35"/>
      <c r="J25" s="41"/>
      <c r="K25" s="29"/>
      <c r="M25" s="53" t="s">
        <v>35</v>
      </c>
      <c r="N25" s="38">
        <f>H37</f>
        <v>0</v>
      </c>
      <c r="P25" s="55">
        <v>44217</v>
      </c>
      <c r="Q25" s="35"/>
      <c r="R25" s="138"/>
      <c r="S25" s="139"/>
      <c r="T25" s="138"/>
      <c r="U25" s="139"/>
      <c r="V25" s="138"/>
      <c r="W25" s="139"/>
      <c r="X25" s="138"/>
      <c r="Y25" s="138"/>
      <c r="Z25" s="139"/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0</v>
      </c>
    </row>
    <row r="26" spans="1:50">
      <c r="A26" s="21">
        <f t="shared" si="0"/>
        <v>44218</v>
      </c>
      <c r="B26" s="38"/>
      <c r="C26" s="38"/>
      <c r="D26" s="24">
        <f t="shared" si="1"/>
        <v>0</v>
      </c>
      <c r="E26" s="40"/>
      <c r="F26" s="35"/>
      <c r="G26" s="27"/>
      <c r="H26" s="216">
        <f t="shared" si="2"/>
        <v>0</v>
      </c>
      <c r="I26" s="35"/>
      <c r="J26" s="41"/>
      <c r="K26" s="29"/>
      <c r="M26" s="53" t="s">
        <v>36</v>
      </c>
      <c r="N26" s="38">
        <f>N19</f>
        <v>56000</v>
      </c>
      <c r="P26" s="55">
        <v>44218</v>
      </c>
      <c r="Q26" s="35"/>
      <c r="R26" s="138"/>
      <c r="S26" s="139"/>
      <c r="T26" s="138"/>
      <c r="U26" s="139"/>
      <c r="V26" s="138"/>
      <c r="W26" s="139"/>
      <c r="X26" s="138"/>
      <c r="Y26" s="138"/>
      <c r="Z26" s="139"/>
      <c r="AA26" s="138"/>
      <c r="AB26" s="139"/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0</v>
      </c>
    </row>
    <row r="27" spans="1:50">
      <c r="A27" s="21">
        <f t="shared" si="0"/>
        <v>44219</v>
      </c>
      <c r="B27" s="38"/>
      <c r="C27" s="38"/>
      <c r="D27" s="24">
        <f t="shared" si="1"/>
        <v>0</v>
      </c>
      <c r="E27" s="40"/>
      <c r="F27" s="35"/>
      <c r="G27" s="27"/>
      <c r="H27" s="216">
        <f t="shared" si="2"/>
        <v>0</v>
      </c>
      <c r="I27" s="35"/>
      <c r="J27" s="41"/>
      <c r="K27" s="29"/>
      <c r="M27" s="60" t="s">
        <v>37</v>
      </c>
      <c r="N27" s="61">
        <f>IFERROR(N24-N25-N26, "")</f>
        <v>-56000</v>
      </c>
      <c r="P27" s="55">
        <v>44219</v>
      </c>
      <c r="Q27" s="35"/>
      <c r="R27" s="138"/>
      <c r="S27" s="139"/>
      <c r="T27" s="138"/>
      <c r="U27" s="139"/>
      <c r="V27" s="138"/>
      <c r="W27" s="139"/>
      <c r="X27" s="138"/>
      <c r="Y27" s="138"/>
      <c r="Z27" s="139"/>
      <c r="AA27" s="138"/>
      <c r="AB27" s="139"/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0</v>
      </c>
    </row>
    <row r="28" spans="1:50">
      <c r="A28" s="21">
        <f t="shared" si="0"/>
        <v>44220</v>
      </c>
      <c r="B28" s="38"/>
      <c r="C28" s="38"/>
      <c r="D28" s="24">
        <f t="shared" si="1"/>
        <v>0</v>
      </c>
      <c r="E28" s="299"/>
      <c r="F28" s="35"/>
      <c r="G28" s="27"/>
      <c r="H28" s="216">
        <f t="shared" si="2"/>
        <v>0</v>
      </c>
      <c r="I28" s="35"/>
      <c r="J28" s="41"/>
      <c r="K28" s="29"/>
      <c r="P28" s="55">
        <v>44220</v>
      </c>
      <c r="Q28" s="35"/>
      <c r="R28" s="138"/>
      <c r="S28" s="139"/>
      <c r="T28" s="138"/>
      <c r="U28" s="139"/>
      <c r="V28" s="138"/>
      <c r="W28" s="139"/>
      <c r="X28" s="138"/>
      <c r="Y28" s="138"/>
      <c r="Z28" s="139"/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0</v>
      </c>
    </row>
    <row r="29" spans="1:50">
      <c r="A29" s="21">
        <f t="shared" si="0"/>
        <v>44221</v>
      </c>
      <c r="B29" s="38"/>
      <c r="C29" s="38"/>
      <c r="D29" s="24">
        <f t="shared" si="1"/>
        <v>0</v>
      </c>
      <c r="E29" s="40"/>
      <c r="F29" s="35"/>
      <c r="G29" s="27"/>
      <c r="H29" s="216">
        <f t="shared" si="2"/>
        <v>0</v>
      </c>
      <c r="I29" s="35"/>
      <c r="J29" s="41"/>
      <c r="K29" s="29"/>
      <c r="P29" s="55">
        <v>44221</v>
      </c>
      <c r="Q29" s="35"/>
      <c r="R29" s="138"/>
      <c r="S29" s="139"/>
      <c r="T29" s="138"/>
      <c r="U29" s="139"/>
      <c r="V29" s="138"/>
      <c r="W29" s="139"/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0</v>
      </c>
    </row>
    <row r="30" spans="1:50">
      <c r="A30" s="21">
        <f t="shared" si="0"/>
        <v>44222</v>
      </c>
      <c r="B30" s="38"/>
      <c r="C30" s="38"/>
      <c r="D30" s="24">
        <f t="shared" si="1"/>
        <v>0</v>
      </c>
      <c r="E30" s="40"/>
      <c r="F30" s="35"/>
      <c r="G30" s="27"/>
      <c r="H30" s="216">
        <f t="shared" si="2"/>
        <v>0</v>
      </c>
      <c r="I30" s="35"/>
      <c r="J30" s="41"/>
      <c r="K30" s="29"/>
      <c r="P30" s="55">
        <v>44222</v>
      </c>
      <c r="Q30" s="35"/>
      <c r="R30" s="138"/>
      <c r="S30" s="139"/>
      <c r="T30" s="138"/>
      <c r="U30" s="139"/>
      <c r="V30" s="138"/>
      <c r="W30" s="139"/>
      <c r="X30" s="138"/>
      <c r="Y30" s="138"/>
      <c r="Z30" s="139"/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0</v>
      </c>
    </row>
    <row r="31" spans="1:50">
      <c r="A31" s="21">
        <f t="shared" si="0"/>
        <v>44223</v>
      </c>
      <c r="B31" s="38"/>
      <c r="C31" s="38"/>
      <c r="D31" s="24">
        <f t="shared" si="1"/>
        <v>0</v>
      </c>
      <c r="E31" s="40"/>
      <c r="F31" s="35"/>
      <c r="G31" s="27"/>
      <c r="H31" s="216">
        <f t="shared" si="2"/>
        <v>0</v>
      </c>
      <c r="I31" s="35"/>
      <c r="J31" s="41"/>
      <c r="K31" s="29"/>
      <c r="P31" s="55">
        <v>44223</v>
      </c>
      <c r="Q31" s="35"/>
      <c r="R31" s="138"/>
      <c r="S31" s="139"/>
      <c r="T31" s="138"/>
      <c r="U31" s="139"/>
      <c r="V31" s="138"/>
      <c r="W31" s="139"/>
      <c r="X31" s="138"/>
      <c r="Y31" s="138"/>
      <c r="Z31" s="139"/>
      <c r="AA31" s="138"/>
      <c r="AB31" s="139"/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0</v>
      </c>
    </row>
    <row r="32" spans="1:50">
      <c r="A32" s="21">
        <f t="shared" si="0"/>
        <v>44224</v>
      </c>
      <c r="B32" s="38"/>
      <c r="C32" s="38"/>
      <c r="D32" s="24">
        <f t="shared" si="1"/>
        <v>0</v>
      </c>
      <c r="E32" s="40"/>
      <c r="F32" s="35"/>
      <c r="G32" s="27"/>
      <c r="H32" s="216">
        <f t="shared" si="2"/>
        <v>0</v>
      </c>
      <c r="I32" s="35"/>
      <c r="J32" s="41"/>
      <c r="K32" s="29"/>
      <c r="P32" s="55">
        <v>44224</v>
      </c>
      <c r="Q32" s="35"/>
      <c r="R32" s="138"/>
      <c r="S32" s="139"/>
      <c r="T32" s="138"/>
      <c r="U32" s="139"/>
      <c r="V32" s="138"/>
      <c r="W32" s="139"/>
      <c r="X32" s="138"/>
      <c r="Y32" s="138"/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0</v>
      </c>
    </row>
    <row r="33" spans="1:81">
      <c r="A33" s="21">
        <f t="shared" si="0"/>
        <v>44225</v>
      </c>
      <c r="B33" s="38"/>
      <c r="C33" s="38"/>
      <c r="D33" s="24">
        <f t="shared" si="1"/>
        <v>0</v>
      </c>
      <c r="E33" s="40"/>
      <c r="F33" s="35"/>
      <c r="G33" s="27"/>
      <c r="H33" s="216">
        <f t="shared" si="2"/>
        <v>0</v>
      </c>
      <c r="I33" s="35"/>
      <c r="J33" s="41"/>
      <c r="K33" s="29"/>
      <c r="P33" s="55">
        <v>44225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0</v>
      </c>
    </row>
    <row r="34" spans="1:81">
      <c r="A34" s="21">
        <f t="shared" si="0"/>
        <v>44226</v>
      </c>
      <c r="B34" s="38"/>
      <c r="C34" s="38"/>
      <c r="D34" s="24">
        <f t="shared" si="1"/>
        <v>0</v>
      </c>
      <c r="E34" s="40"/>
      <c r="F34" s="35"/>
      <c r="G34" s="27"/>
      <c r="H34" s="216">
        <f t="shared" si="2"/>
        <v>0</v>
      </c>
      <c r="I34" s="35"/>
      <c r="J34" s="41"/>
      <c r="K34" s="29"/>
      <c r="P34" s="55">
        <v>44226</v>
      </c>
      <c r="Q34" s="137"/>
      <c r="R34" s="154"/>
      <c r="S34" s="155"/>
      <c r="T34" s="154"/>
      <c r="U34" s="155"/>
      <c r="V34" s="154"/>
      <c r="W34" s="155"/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0</v>
      </c>
    </row>
    <row r="35" spans="1:81" ht="21" thickBot="1">
      <c r="A35" s="21">
        <f t="shared" si="0"/>
        <v>44227</v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P35" s="55">
        <v>44227</v>
      </c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0</v>
      </c>
    </row>
    <row r="36" spans="1:81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0</v>
      </c>
      <c r="T36" s="115">
        <f t="shared" si="4"/>
        <v>0</v>
      </c>
      <c r="U36" s="115">
        <f t="shared" si="4"/>
        <v>0</v>
      </c>
      <c r="V36" s="115">
        <f t="shared" si="4"/>
        <v>0</v>
      </c>
      <c r="W36" s="115">
        <f t="shared" si="4"/>
        <v>0</v>
      </c>
      <c r="X36" s="115">
        <f t="shared" si="4"/>
        <v>0</v>
      </c>
      <c r="Y36" s="115">
        <f t="shared" si="4"/>
        <v>0</v>
      </c>
      <c r="Z36" s="115">
        <f t="shared" si="4"/>
        <v>0</v>
      </c>
      <c r="AA36" s="115">
        <f t="shared" si="4"/>
        <v>0</v>
      </c>
      <c r="AB36" s="115">
        <f t="shared" si="4"/>
        <v>0</v>
      </c>
      <c r="AC36" s="115">
        <f t="shared" si="4"/>
        <v>0</v>
      </c>
      <c r="AD36" s="115">
        <f t="shared" si="4"/>
        <v>0</v>
      </c>
      <c r="AE36" s="115">
        <f t="shared" si="4"/>
        <v>0</v>
      </c>
      <c r="AF36" s="115">
        <f t="shared" si="4"/>
        <v>0</v>
      </c>
      <c r="AG36" s="115">
        <f t="shared" si="4"/>
        <v>0</v>
      </c>
      <c r="AH36" s="115">
        <f t="shared" si="4"/>
        <v>0</v>
      </c>
      <c r="AI36" s="115">
        <f t="shared" si="4"/>
        <v>0</v>
      </c>
      <c r="AJ36" s="115">
        <f t="shared" si="4"/>
        <v>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0</v>
      </c>
      <c r="AO36" s="115">
        <f t="shared" si="4"/>
        <v>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0</v>
      </c>
    </row>
    <row r="37" spans="1:81" ht="22" thickTop="1" thickBot="1">
      <c r="A37" s="81" t="s">
        <v>33</v>
      </c>
      <c r="B37" s="82">
        <f t="shared" ref="B37:I37" si="5">SUM(B5:B35)</f>
        <v>0</v>
      </c>
      <c r="C37" s="82">
        <f t="shared" si="5"/>
        <v>0</v>
      </c>
      <c r="D37" s="82">
        <f t="shared" si="5"/>
        <v>0</v>
      </c>
      <c r="E37" s="83">
        <f t="shared" si="5"/>
        <v>0</v>
      </c>
      <c r="F37" s="84">
        <f t="shared" si="5"/>
        <v>0</v>
      </c>
      <c r="G37" s="84">
        <f t="shared" si="5"/>
        <v>0</v>
      </c>
      <c r="H37" s="132">
        <f t="shared" si="5"/>
        <v>0</v>
      </c>
      <c r="I37" s="86">
        <f t="shared" si="5"/>
        <v>0</v>
      </c>
      <c r="J37" s="86" t="str">
        <f>IFERROR(32/I37, "")</f>
        <v/>
      </c>
      <c r="K37" s="53"/>
    </row>
    <row r="38" spans="1:81">
      <c r="B38" s="91"/>
      <c r="E38" s="2"/>
      <c r="F38" s="2"/>
      <c r="G38" s="2"/>
      <c r="H38" s="2"/>
      <c r="I38" s="2"/>
      <c r="J38" s="2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0</v>
      </c>
      <c r="T38" s="544">
        <f>T36*0.3</f>
        <v>0</v>
      </c>
      <c r="U38" s="532">
        <f>U36*0.35</f>
        <v>0</v>
      </c>
      <c r="V38" s="532">
        <f>V36*0.3</f>
        <v>0</v>
      </c>
      <c r="W38" s="534">
        <f>W36*0.35</f>
        <v>0</v>
      </c>
      <c r="X38" s="534">
        <f>X36*0.3</f>
        <v>0</v>
      </c>
      <c r="Y38" s="538">
        <f>Y36</f>
        <v>0</v>
      </c>
      <c r="Z38" s="536">
        <f>Z36*0.35</f>
        <v>0</v>
      </c>
      <c r="AA38" s="530">
        <f>AA36*0.3</f>
        <v>0</v>
      </c>
      <c r="AB38" s="530">
        <f>AB36*0.35</f>
        <v>0</v>
      </c>
      <c r="AC38" s="530">
        <f>AC36*0.3</f>
        <v>0</v>
      </c>
      <c r="AD38" s="530">
        <f>AD36*0.35</f>
        <v>0</v>
      </c>
      <c r="AE38" s="530">
        <f>AE36*0.3</f>
        <v>0</v>
      </c>
      <c r="AF38" s="530">
        <f>AF36*0.35</f>
        <v>0</v>
      </c>
      <c r="AG38" s="530">
        <f>AG36*0.3</f>
        <v>0</v>
      </c>
      <c r="AH38" s="530">
        <f>AH36*0.35</f>
        <v>0</v>
      </c>
      <c r="AI38" s="530">
        <f>AI36*0.3</f>
        <v>0</v>
      </c>
      <c r="AJ38" s="530">
        <f>AJ36*0.35</f>
        <v>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0</v>
      </c>
      <c r="AO38" s="530">
        <f t="shared" si="6"/>
        <v>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82"/>
      <c r="BQ38" s="182"/>
      <c r="BR38" s="182"/>
      <c r="BS38" s="182"/>
      <c r="BT38" s="182"/>
      <c r="BU38" s="182"/>
      <c r="BV38" s="182"/>
      <c r="BW38" s="182"/>
      <c r="BX38" s="182"/>
      <c r="BY38" s="182"/>
      <c r="BZ38" s="182"/>
      <c r="CA38" s="182"/>
      <c r="CB38" s="182"/>
      <c r="CC38" s="182"/>
    </row>
    <row r="39" spans="1:81">
      <c r="B39" s="496" t="s">
        <v>309</v>
      </c>
      <c r="C39" s="496"/>
      <c r="D39" s="496" t="s">
        <v>245</v>
      </c>
      <c r="E39" s="496"/>
      <c r="F39" s="2"/>
      <c r="I39" s="2"/>
      <c r="J39" s="2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82"/>
      <c r="BU39" s="182"/>
      <c r="BV39" s="182"/>
      <c r="BW39" s="182"/>
      <c r="BX39" s="182"/>
      <c r="BY39" s="182"/>
      <c r="BZ39" s="182"/>
      <c r="CA39" s="182"/>
      <c r="CB39" s="182"/>
      <c r="CC39" s="182"/>
    </row>
    <row r="40" spans="1:81">
      <c r="B40" s="552">
        <f>B1</f>
        <v>1</v>
      </c>
      <c r="C40" s="547"/>
      <c r="D40" s="548">
        <v>0</v>
      </c>
      <c r="E40" s="549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82"/>
      <c r="BQ40" s="182"/>
      <c r="BR40" s="182"/>
      <c r="BS40" s="182"/>
      <c r="BT40" s="182"/>
      <c r="BU40" s="182"/>
      <c r="BV40" s="182"/>
      <c r="BW40" s="182"/>
      <c r="BX40" s="182"/>
      <c r="BY40" s="182"/>
      <c r="BZ40" s="182"/>
      <c r="CA40" s="182"/>
      <c r="CB40" s="182"/>
      <c r="CC40" s="182"/>
    </row>
    <row r="41" spans="1:81">
      <c r="B41" s="182"/>
      <c r="E41" s="372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82"/>
      <c r="BQ41" s="182"/>
      <c r="BR41" s="182"/>
      <c r="BS41" s="182"/>
      <c r="BT41" s="182"/>
      <c r="BU41" s="182"/>
      <c r="BV41" s="182"/>
      <c r="BW41" s="182"/>
      <c r="BX41" s="182"/>
      <c r="BY41" s="182"/>
      <c r="BZ41" s="182"/>
      <c r="CA41" s="182"/>
      <c r="CB41" s="182"/>
      <c r="CC41" s="182"/>
    </row>
    <row r="42" spans="1:81">
      <c r="B42" s="496" t="s">
        <v>307</v>
      </c>
      <c r="C42" s="496"/>
      <c r="D42" s="496" t="s">
        <v>308</v>
      </c>
      <c r="E42" s="496"/>
    </row>
    <row r="43" spans="1:81">
      <c r="B43" s="546">
        <f>B37-D40</f>
        <v>0</v>
      </c>
      <c r="C43" s="547"/>
      <c r="D43" s="548">
        <f>D40-F37-G37</f>
        <v>0</v>
      </c>
      <c r="E43" s="549"/>
    </row>
  </sheetData>
  <mergeCells count="86">
    <mergeCell ref="B43:C43"/>
    <mergeCell ref="D42:E42"/>
    <mergeCell ref="D43:E43"/>
    <mergeCell ref="AX3:AX4"/>
    <mergeCell ref="B39:C39"/>
    <mergeCell ref="D39:E39"/>
    <mergeCell ref="D40:E40"/>
    <mergeCell ref="B40:C40"/>
    <mergeCell ref="B42:C42"/>
    <mergeCell ref="AS38:AS39"/>
    <mergeCell ref="AT38:AT39"/>
    <mergeCell ref="AU38:AU39"/>
    <mergeCell ref="AV38:AV39"/>
    <mergeCell ref="AW38:AW39"/>
    <mergeCell ref="AN38:AN39"/>
    <mergeCell ref="AO38:AO39"/>
    <mergeCell ref="AP38:AP39"/>
    <mergeCell ref="AQ38:AQ39"/>
    <mergeCell ref="AR38:AR39"/>
    <mergeCell ref="AI38:AI39"/>
    <mergeCell ref="AJ38:AJ39"/>
    <mergeCell ref="AK38:AK39"/>
    <mergeCell ref="AL38:AL39"/>
    <mergeCell ref="AM38:AM39"/>
    <mergeCell ref="AD38:AD39"/>
    <mergeCell ref="AE38:AE39"/>
    <mergeCell ref="AF38:AF39"/>
    <mergeCell ref="AG38:AG39"/>
    <mergeCell ref="AH38:AH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Z38:Z39"/>
    <mergeCell ref="Y38:Y39"/>
    <mergeCell ref="AA38:AA39"/>
    <mergeCell ref="AB38:AB39"/>
    <mergeCell ref="AC38:AC39"/>
    <mergeCell ref="AB3:AB4"/>
    <mergeCell ref="AC3:AC4"/>
    <mergeCell ref="AD3:AD4"/>
    <mergeCell ref="AE3:AE4"/>
    <mergeCell ref="AF3:AF4"/>
    <mergeCell ref="V3:V4"/>
    <mergeCell ref="W3:W4"/>
    <mergeCell ref="X3:X4"/>
    <mergeCell ref="Z3:Z4"/>
    <mergeCell ref="AA3:AA4"/>
    <mergeCell ref="Y3:Y4"/>
    <mergeCell ref="M10:N10"/>
    <mergeCell ref="N11:N12"/>
    <mergeCell ref="AU3:AU4"/>
    <mergeCell ref="AV3:AV4"/>
    <mergeCell ref="AW3:AW4"/>
    <mergeCell ref="AT3:AT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G3:AG4"/>
    <mergeCell ref="AH3:AH4"/>
    <mergeCell ref="AI3:AI4"/>
    <mergeCell ref="AJ3:AJ4"/>
    <mergeCell ref="A1:A2"/>
    <mergeCell ref="B1:B2"/>
    <mergeCell ref="A3:A4"/>
    <mergeCell ref="B3:D3"/>
    <mergeCell ref="E3:H3"/>
    <mergeCell ref="I3:I4"/>
    <mergeCell ref="J3:J4"/>
    <mergeCell ref="P3:P4"/>
    <mergeCell ref="Q3:Q4"/>
    <mergeCell ref="R3:R4"/>
    <mergeCell ref="S3:S4"/>
    <mergeCell ref="T3:T4"/>
    <mergeCell ref="U3:U4"/>
  </mergeCells>
  <phoneticPr fontId="9"/>
  <dataValidations count="2">
    <dataValidation allowBlank="1" showErrorMessage="1" sqref="R3:R4 AI3:AI4 T3:T4 AC3:AC4 AA3:AA4 AE3:AE4 AG3:AG4 AK3:AK4 AW3:AW4 V3:V4 AM3:AM4 X3:X4 Y3" xr:uid="{6EDC4396-66A9-6042-84E1-97712334272F}"/>
    <dataValidation type="list" allowBlank="1" showErrorMessage="1" sqref="Q3:Q4 AD3:AD4 S3:S4 U3:U4 AL3:AL4 AH3:AH4 Z3:Z4 AF3:AF4 AJ3:AJ4 W3:W4 AB3:AB4 AV3:AV4 AN3:AN4 AO3:AU3" xr:uid="{BE5E7CBE-AB2B-F94A-83AA-D70680CCAF17}">
      <formula1>名前</formula1>
    </dataValidation>
  </dataValidations>
  <pageMargins left="0.7" right="0.7" top="0.75" bottom="0.75" header="0.3" footer="0.3"/>
  <pageSetup paperSize="9" orientation="portrait" horizontalDpi="0" verticalDpi="0"/>
  <ignoredErrors>
    <ignoredError sqref="AX5:AX6 AX7:AX35 AW36" formulaRange="1"/>
    <ignoredError sqref="AH38" 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B1EA-4E48-4562-B26F-FC3B710968F1}">
  <dimension ref="A1:C104"/>
  <sheetViews>
    <sheetView zoomScale="117" workbookViewId="0">
      <selection activeCell="C105" sqref="C105"/>
    </sheetView>
  </sheetViews>
  <sheetFormatPr baseColWidth="10" defaultColWidth="8.7109375" defaultRowHeight="20"/>
  <cols>
    <col min="3" max="3" width="15.85546875" customWidth="1"/>
  </cols>
  <sheetData>
    <row r="1" spans="1:3">
      <c r="A1" s="106" t="s">
        <v>19</v>
      </c>
      <c r="B1" s="106" t="s">
        <v>20</v>
      </c>
      <c r="C1" s="105" t="s">
        <v>48</v>
      </c>
    </row>
    <row r="2" spans="1:3">
      <c r="A2" s="107">
        <v>0.75</v>
      </c>
      <c r="B2" s="107">
        <v>0.79166666666666663</v>
      </c>
      <c r="C2" s="105" t="s">
        <v>7</v>
      </c>
    </row>
    <row r="3" spans="1:3">
      <c r="A3" s="107">
        <v>0.79166666666666663</v>
      </c>
      <c r="B3" s="107">
        <v>0.83333333333333337</v>
      </c>
      <c r="C3" s="105" t="s">
        <v>49</v>
      </c>
    </row>
    <row r="4" spans="1:3">
      <c r="A4" s="107">
        <v>0.83333333333333337</v>
      </c>
      <c r="B4" s="107">
        <v>0.875</v>
      </c>
      <c r="C4" s="117" t="s">
        <v>51</v>
      </c>
    </row>
    <row r="5" spans="1:3">
      <c r="A5" s="107">
        <v>0.875</v>
      </c>
      <c r="B5" s="107">
        <v>0.95833333333333337</v>
      </c>
      <c r="C5" s="105" t="s">
        <v>10</v>
      </c>
    </row>
    <row r="6" spans="1:3">
      <c r="A6" s="107">
        <v>0.91666666666666663</v>
      </c>
      <c r="B6" s="107">
        <v>0.97916666666666663</v>
      </c>
      <c r="C6" s="179" t="s">
        <v>122</v>
      </c>
    </row>
    <row r="7" spans="1:3">
      <c r="A7" s="107">
        <v>0.95833333333333337</v>
      </c>
      <c r="B7" s="108">
        <v>1</v>
      </c>
      <c r="C7" s="105" t="s">
        <v>11</v>
      </c>
    </row>
    <row r="8" spans="1:3">
      <c r="A8" s="108">
        <v>1</v>
      </c>
      <c r="B8" s="108">
        <v>1.0416666666666701</v>
      </c>
      <c r="C8" s="117" t="s">
        <v>138</v>
      </c>
    </row>
    <row r="9" spans="1:3">
      <c r="A9" s="108">
        <v>1.0416666666666701</v>
      </c>
      <c r="B9" s="108">
        <v>1.0833333333333299</v>
      </c>
      <c r="C9" s="117" t="s">
        <v>140</v>
      </c>
    </row>
    <row r="10" spans="1:3">
      <c r="A10" s="108">
        <v>1.0833333333333299</v>
      </c>
      <c r="B10" s="108">
        <v>1.125</v>
      </c>
      <c r="C10" s="117" t="s">
        <v>54</v>
      </c>
    </row>
    <row r="11" spans="1:3">
      <c r="A11" s="109"/>
      <c r="B11" s="108">
        <v>1.1666666666666601</v>
      </c>
      <c r="C11" s="117" t="s">
        <v>123</v>
      </c>
    </row>
    <row r="12" spans="1:3">
      <c r="A12" s="109"/>
      <c r="B12" s="108">
        <v>1.2083333333333299</v>
      </c>
      <c r="C12" s="117" t="s">
        <v>124</v>
      </c>
    </row>
    <row r="13" spans="1:3">
      <c r="A13" s="104"/>
      <c r="B13" s="109"/>
      <c r="C13" s="117" t="s">
        <v>165</v>
      </c>
    </row>
    <row r="14" spans="1:3">
      <c r="A14" s="118"/>
      <c r="B14" s="119"/>
      <c r="C14" s="120" t="s">
        <v>125</v>
      </c>
    </row>
    <row r="15" spans="1:3">
      <c r="A15" s="118"/>
      <c r="B15" s="119"/>
      <c r="C15" s="120" t="s">
        <v>60</v>
      </c>
    </row>
    <row r="16" spans="1:3">
      <c r="A16" s="118"/>
      <c r="B16" s="119"/>
      <c r="C16" s="120" t="s">
        <v>63</v>
      </c>
    </row>
    <row r="17" spans="1:3">
      <c r="A17" s="118"/>
      <c r="B17" s="119"/>
      <c r="C17" s="120" t="s">
        <v>153</v>
      </c>
    </row>
    <row r="18" spans="1:3">
      <c r="A18" s="118"/>
      <c r="B18" s="119"/>
      <c r="C18" s="120" t="s">
        <v>163</v>
      </c>
    </row>
    <row r="19" spans="1:3">
      <c r="A19" s="118"/>
      <c r="B19" s="119"/>
      <c r="C19" s="120" t="s">
        <v>66</v>
      </c>
    </row>
    <row r="20" spans="1:3">
      <c r="A20" s="118"/>
      <c r="B20" s="119"/>
      <c r="C20" s="120" t="s">
        <v>67</v>
      </c>
    </row>
    <row r="21" spans="1:3">
      <c r="A21" s="118"/>
      <c r="B21" s="119"/>
      <c r="C21" s="120" t="s">
        <v>151</v>
      </c>
    </row>
    <row r="22" spans="1:3">
      <c r="A22" s="118"/>
      <c r="B22" s="119"/>
      <c r="C22" s="120" t="s">
        <v>68</v>
      </c>
    </row>
    <row r="23" spans="1:3">
      <c r="A23" s="118"/>
      <c r="B23" s="119"/>
      <c r="C23" s="120" t="s">
        <v>136</v>
      </c>
    </row>
    <row r="24" spans="1:3">
      <c r="A24" s="118"/>
      <c r="B24" s="119"/>
      <c r="C24" s="120" t="s">
        <v>75</v>
      </c>
    </row>
    <row r="25" spans="1:3">
      <c r="A25" s="118"/>
      <c r="B25" s="119"/>
      <c r="C25" s="120" t="s">
        <v>118</v>
      </c>
    </row>
    <row r="26" spans="1:3">
      <c r="A26" s="118"/>
      <c r="B26" s="119"/>
      <c r="C26" s="120" t="s">
        <v>78</v>
      </c>
    </row>
    <row r="27" spans="1:3">
      <c r="A27" s="118"/>
      <c r="B27" s="119"/>
      <c r="C27" s="120" t="s">
        <v>79</v>
      </c>
    </row>
    <row r="28" spans="1:3">
      <c r="A28" s="118"/>
      <c r="B28" s="119"/>
      <c r="C28" s="120" t="s">
        <v>164</v>
      </c>
    </row>
    <row r="29" spans="1:3">
      <c r="A29" s="118"/>
      <c r="B29" s="119"/>
      <c r="C29" s="120" t="s">
        <v>86</v>
      </c>
    </row>
    <row r="30" spans="1:3">
      <c r="A30" s="118"/>
      <c r="B30" s="119"/>
      <c r="C30" s="120" t="s">
        <v>121</v>
      </c>
    </row>
    <row r="31" spans="1:3">
      <c r="A31" s="118"/>
      <c r="B31" s="119"/>
      <c r="C31" s="120" t="s">
        <v>120</v>
      </c>
    </row>
    <row r="32" spans="1:3">
      <c r="A32" s="118"/>
      <c r="B32" s="119"/>
      <c r="C32" s="120" t="s">
        <v>89</v>
      </c>
    </row>
    <row r="33" spans="1:3">
      <c r="A33" s="118"/>
      <c r="B33" s="119"/>
      <c r="C33" s="120" t="s">
        <v>91</v>
      </c>
    </row>
    <row r="34" spans="1:3">
      <c r="A34" s="118"/>
      <c r="B34" s="119"/>
      <c r="C34" s="120" t="s">
        <v>93</v>
      </c>
    </row>
    <row r="35" spans="1:3">
      <c r="A35" s="118"/>
      <c r="B35" s="119"/>
      <c r="C35" s="120" t="s">
        <v>67</v>
      </c>
    </row>
    <row r="36" spans="1:3">
      <c r="A36" s="118"/>
      <c r="B36" s="119"/>
      <c r="C36" s="120" t="s">
        <v>97</v>
      </c>
    </row>
    <row r="37" spans="1:3">
      <c r="A37" s="118"/>
      <c r="B37" s="119"/>
      <c r="C37" s="120" t="s">
        <v>142</v>
      </c>
    </row>
    <row r="38" spans="1:3">
      <c r="A38" s="118"/>
      <c r="B38" s="119"/>
      <c r="C38" s="120" t="s">
        <v>99</v>
      </c>
    </row>
    <row r="39" spans="1:3">
      <c r="A39" s="118"/>
      <c r="B39" s="119"/>
      <c r="C39" s="120" t="s">
        <v>101</v>
      </c>
    </row>
    <row r="40" spans="1:3">
      <c r="A40" s="118"/>
      <c r="B40" s="119"/>
      <c r="C40" s="120" t="s">
        <v>103</v>
      </c>
    </row>
    <row r="41" spans="1:3">
      <c r="A41" s="118"/>
      <c r="B41" s="119"/>
      <c r="C41" s="120" t="s">
        <v>148</v>
      </c>
    </row>
    <row r="42" spans="1:3">
      <c r="A42" s="118"/>
      <c r="B42" s="119"/>
      <c r="C42" s="120" t="s">
        <v>105</v>
      </c>
    </row>
    <row r="43" spans="1:3">
      <c r="A43" s="118"/>
      <c r="B43" s="119"/>
      <c r="C43" s="120" t="s">
        <v>108</v>
      </c>
    </row>
    <row r="44" spans="1:3">
      <c r="A44" s="118"/>
      <c r="B44" s="119"/>
      <c r="C44" s="163" t="s">
        <v>110</v>
      </c>
    </row>
    <row r="45" spans="1:3">
      <c r="A45" s="118"/>
      <c r="B45" s="119"/>
      <c r="C45" s="163" t="s">
        <v>134</v>
      </c>
    </row>
    <row r="46" spans="1:3">
      <c r="A46" s="118"/>
      <c r="B46" s="119"/>
      <c r="C46" s="177" t="s">
        <v>116</v>
      </c>
    </row>
    <row r="47" spans="1:3">
      <c r="A47" s="118"/>
      <c r="B47" s="119"/>
      <c r="C47" s="177" t="s">
        <v>113</v>
      </c>
    </row>
    <row r="48" spans="1:3">
      <c r="A48" s="118"/>
      <c r="B48" s="119"/>
      <c r="C48" s="177" t="s">
        <v>144</v>
      </c>
    </row>
    <row r="49" spans="1:3">
      <c r="A49" s="118"/>
      <c r="B49" s="119"/>
      <c r="C49" s="180" t="s">
        <v>133</v>
      </c>
    </row>
    <row r="50" spans="1:3">
      <c r="A50" s="118"/>
      <c r="B50" s="119"/>
      <c r="C50" s="180" t="s">
        <v>132</v>
      </c>
    </row>
    <row r="51" spans="1:3">
      <c r="A51" s="118"/>
      <c r="B51" s="119"/>
      <c r="C51" s="180" t="s">
        <v>126</v>
      </c>
    </row>
    <row r="52" spans="1:3">
      <c r="A52" s="118"/>
      <c r="B52" s="119"/>
      <c r="C52" s="183" t="s">
        <v>130</v>
      </c>
    </row>
    <row r="53" spans="1:3">
      <c r="A53" s="118"/>
      <c r="B53" s="119"/>
      <c r="C53" s="183" t="s">
        <v>128</v>
      </c>
    </row>
    <row r="54" spans="1:3">
      <c r="A54" s="118"/>
      <c r="B54" s="119"/>
      <c r="C54" s="188" t="s">
        <v>146</v>
      </c>
    </row>
    <row r="55" spans="1:3">
      <c r="A55" s="118"/>
      <c r="B55" s="119"/>
      <c r="C55" s="188" t="s">
        <v>149</v>
      </c>
    </row>
    <row r="56" spans="1:3">
      <c r="A56" s="118"/>
      <c r="B56" s="119"/>
      <c r="C56" s="188" t="s">
        <v>155</v>
      </c>
    </row>
    <row r="57" spans="1:3">
      <c r="A57" s="118"/>
      <c r="B57" s="119"/>
      <c r="C57" s="188" t="s">
        <v>157</v>
      </c>
    </row>
    <row r="58" spans="1:3">
      <c r="A58" s="118"/>
      <c r="B58" s="119"/>
      <c r="C58" s="188" t="s">
        <v>159</v>
      </c>
    </row>
    <row r="59" spans="1:3">
      <c r="A59" s="118"/>
      <c r="B59" s="119"/>
      <c r="C59" s="188" t="s">
        <v>161</v>
      </c>
    </row>
    <row r="60" spans="1:3">
      <c r="A60" s="118"/>
      <c r="B60" s="119"/>
      <c r="C60" s="189" t="s">
        <v>172</v>
      </c>
    </row>
    <row r="61" spans="1:3">
      <c r="A61" s="118"/>
      <c r="B61" s="119"/>
      <c r="C61" s="189" t="s">
        <v>174</v>
      </c>
    </row>
    <row r="62" spans="1:3">
      <c r="A62" s="118"/>
      <c r="B62" s="119"/>
      <c r="C62" s="254" t="s">
        <v>183</v>
      </c>
    </row>
    <row r="63" spans="1:3">
      <c r="A63" s="118"/>
      <c r="B63" s="119"/>
      <c r="C63" s="254" t="s">
        <v>185</v>
      </c>
    </row>
    <row r="64" spans="1:3">
      <c r="A64" s="118"/>
      <c r="B64" s="119"/>
      <c r="C64" s="254" t="s">
        <v>186</v>
      </c>
    </row>
    <row r="65" spans="1:3">
      <c r="A65" s="118"/>
      <c r="B65" s="119"/>
      <c r="C65" s="254" t="s">
        <v>189</v>
      </c>
    </row>
    <row r="66" spans="1:3">
      <c r="A66" s="118"/>
      <c r="B66" s="119"/>
      <c r="C66" s="254" t="s">
        <v>191</v>
      </c>
    </row>
    <row r="67" spans="1:3">
      <c r="A67" s="118"/>
      <c r="B67" s="119"/>
      <c r="C67" s="254" t="s">
        <v>192</v>
      </c>
    </row>
    <row r="68" spans="1:3">
      <c r="A68" s="118"/>
      <c r="B68" s="119"/>
      <c r="C68" s="254" t="s">
        <v>202</v>
      </c>
    </row>
    <row r="69" spans="1:3">
      <c r="A69" s="118"/>
      <c r="B69" s="119"/>
      <c r="C69" s="254" t="s">
        <v>194</v>
      </c>
    </row>
    <row r="70" spans="1:3">
      <c r="A70" s="118"/>
      <c r="B70" s="119"/>
      <c r="C70" s="254" t="s">
        <v>200</v>
      </c>
    </row>
    <row r="71" spans="1:3">
      <c r="A71" s="118"/>
      <c r="B71" s="119"/>
      <c r="C71" s="255" t="s">
        <v>196</v>
      </c>
    </row>
    <row r="72" spans="1:3">
      <c r="A72" s="118"/>
      <c r="B72" s="119"/>
      <c r="C72" s="255" t="s">
        <v>198</v>
      </c>
    </row>
    <row r="73" spans="1:3">
      <c r="A73" s="118"/>
      <c r="B73" s="119"/>
      <c r="C73" s="255" t="s">
        <v>204</v>
      </c>
    </row>
    <row r="74" spans="1:3">
      <c r="A74" s="118"/>
      <c r="B74" s="119"/>
      <c r="C74" s="255" t="s">
        <v>206</v>
      </c>
    </row>
    <row r="75" spans="1:3">
      <c r="A75" s="118"/>
      <c r="B75" s="119"/>
      <c r="C75" s="298" t="s">
        <v>208</v>
      </c>
    </row>
    <row r="76" spans="1:3">
      <c r="A76" s="118"/>
      <c r="B76" s="119"/>
      <c r="C76" s="298" t="s">
        <v>255</v>
      </c>
    </row>
    <row r="77" spans="1:3">
      <c r="A77" s="118"/>
      <c r="B77" s="119"/>
      <c r="C77" s="301" t="s">
        <v>212</v>
      </c>
    </row>
    <row r="78" spans="1:3">
      <c r="A78" s="118"/>
      <c r="B78" s="119"/>
      <c r="C78" s="302" t="s">
        <v>211</v>
      </c>
    </row>
    <row r="79" spans="1:3">
      <c r="A79" s="118"/>
      <c r="B79" s="119"/>
      <c r="C79" s="302" t="s">
        <v>214</v>
      </c>
    </row>
    <row r="80" spans="1:3">
      <c r="A80" s="118"/>
      <c r="B80" s="119"/>
      <c r="C80" s="302" t="s">
        <v>216</v>
      </c>
    </row>
    <row r="81" spans="1:3">
      <c r="A81" s="118"/>
      <c r="B81" s="119"/>
      <c r="C81" s="302" t="s">
        <v>218</v>
      </c>
    </row>
    <row r="82" spans="1:3">
      <c r="A82" s="118"/>
      <c r="B82" s="311"/>
      <c r="C82" s="303" t="s">
        <v>223</v>
      </c>
    </row>
    <row r="83" spans="1:3">
      <c r="A83" s="118"/>
      <c r="B83" s="119"/>
      <c r="C83" s="304" t="s">
        <v>224</v>
      </c>
    </row>
    <row r="84" spans="1:3">
      <c r="A84" s="118"/>
      <c r="B84" s="119"/>
      <c r="C84" s="304" t="s">
        <v>226</v>
      </c>
    </row>
    <row r="85" spans="1:3">
      <c r="A85" s="118"/>
      <c r="B85" s="119"/>
      <c r="C85" s="304" t="s">
        <v>232</v>
      </c>
    </row>
    <row r="86" spans="1:3">
      <c r="A86" s="118"/>
      <c r="B86" s="119"/>
      <c r="C86" s="313" t="s">
        <v>235</v>
      </c>
    </row>
    <row r="87" spans="1:3">
      <c r="A87" s="118"/>
      <c r="B87" s="119"/>
      <c r="C87" s="332" t="s">
        <v>336</v>
      </c>
    </row>
    <row r="88" spans="1:3">
      <c r="A88" s="118"/>
      <c r="B88" s="119"/>
      <c r="C88" s="332" t="s">
        <v>298</v>
      </c>
    </row>
    <row r="89" spans="1:3">
      <c r="A89" s="118"/>
      <c r="B89" s="119"/>
      <c r="C89" s="368" t="s">
        <v>241</v>
      </c>
    </row>
    <row r="90" spans="1:3">
      <c r="A90" s="118"/>
      <c r="B90" s="119"/>
      <c r="C90" s="368" t="s">
        <v>334</v>
      </c>
    </row>
    <row r="91" spans="1:3">
      <c r="A91" s="118"/>
      <c r="B91" s="119"/>
      <c r="C91" s="368" t="s">
        <v>300</v>
      </c>
    </row>
    <row r="92" spans="1:3">
      <c r="A92" s="118"/>
      <c r="B92" s="119"/>
      <c r="C92" s="368" t="s">
        <v>258</v>
      </c>
    </row>
    <row r="93" spans="1:3">
      <c r="A93" s="118"/>
      <c r="B93" s="119"/>
      <c r="C93" s="368" t="s">
        <v>261</v>
      </c>
    </row>
    <row r="94" spans="1:3">
      <c r="A94" s="118"/>
      <c r="B94" s="119"/>
      <c r="C94" s="369" t="s">
        <v>263</v>
      </c>
    </row>
    <row r="95" spans="1:3">
      <c r="A95" s="118"/>
      <c r="B95" s="119"/>
      <c r="C95" s="392" t="s">
        <v>272</v>
      </c>
    </row>
    <row r="96" spans="1:3">
      <c r="A96" s="118"/>
      <c r="B96" s="119"/>
      <c r="C96" s="392" t="s">
        <v>274</v>
      </c>
    </row>
    <row r="97" spans="1:3">
      <c r="A97" s="118"/>
      <c r="B97" s="119"/>
      <c r="C97" s="404" t="s">
        <v>288</v>
      </c>
    </row>
    <row r="98" spans="1:3">
      <c r="A98" s="118"/>
      <c r="B98" s="119"/>
      <c r="C98" s="410" t="s">
        <v>289</v>
      </c>
    </row>
    <row r="99" spans="1:3">
      <c r="A99" s="118"/>
      <c r="B99" s="119"/>
      <c r="C99" s="471" t="s">
        <v>292</v>
      </c>
    </row>
    <row r="100" spans="1:3">
      <c r="A100" s="118"/>
      <c r="B100" s="119"/>
      <c r="C100" s="471" t="s">
        <v>328</v>
      </c>
    </row>
    <row r="101" spans="1:3">
      <c r="A101" s="118"/>
      <c r="B101" s="119"/>
      <c r="C101" s="473" t="s">
        <v>295</v>
      </c>
    </row>
    <row r="102" spans="1:3">
      <c r="A102" s="118"/>
      <c r="B102" s="119"/>
      <c r="C102" s="473" t="s">
        <v>330</v>
      </c>
    </row>
    <row r="103" spans="1:3">
      <c r="A103" s="490"/>
      <c r="B103" s="119"/>
      <c r="C103" s="491" t="s">
        <v>339</v>
      </c>
    </row>
    <row r="104" spans="1:3">
      <c r="A104" s="490"/>
      <c r="B104" s="119"/>
      <c r="C104" s="491" t="s">
        <v>344</v>
      </c>
    </row>
  </sheetData>
  <phoneticPr fontId="9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45CD-F546-6841-B085-41C8D1BC2645}">
  <dimension ref="A1:BB49"/>
  <sheetViews>
    <sheetView topLeftCell="A3" zoomScale="91" workbookViewId="0">
      <selection activeCell="G27" sqref="G27"/>
    </sheetView>
  </sheetViews>
  <sheetFormatPr baseColWidth="10" defaultRowHeight="20"/>
  <cols>
    <col min="1" max="1" width="14.5703125" bestFit="1" customWidth="1"/>
  </cols>
  <sheetData>
    <row r="1" spans="1:54">
      <c r="A1" s="498">
        <v>2021</v>
      </c>
      <c r="B1" s="500">
        <v>12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297</v>
      </c>
      <c r="AC3" s="494">
        <v>0.3</v>
      </c>
      <c r="AD3" s="496" t="s">
        <v>329</v>
      </c>
      <c r="AE3" s="494">
        <v>0.3</v>
      </c>
      <c r="AF3" s="527" t="s">
        <v>262</v>
      </c>
      <c r="AG3" s="494">
        <v>0.3</v>
      </c>
      <c r="AH3" s="492" t="s">
        <v>187</v>
      </c>
      <c r="AI3" s="494">
        <v>0.3</v>
      </c>
      <c r="AJ3" s="496" t="s">
        <v>240</v>
      </c>
      <c r="AK3" s="494">
        <v>0.3</v>
      </c>
      <c r="AL3" s="496" t="s">
        <v>334</v>
      </c>
      <c r="AM3" s="523">
        <v>0.3</v>
      </c>
      <c r="AN3" s="496" t="s">
        <v>120</v>
      </c>
      <c r="AO3" s="520" t="s">
        <v>160</v>
      </c>
      <c r="AP3" s="520" t="s">
        <v>335</v>
      </c>
      <c r="AQ3" s="520" t="s">
        <v>201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  <c r="AY3" s="1"/>
      <c r="AZ3" s="1"/>
      <c r="BA3" s="1"/>
      <c r="BB3" s="1"/>
    </row>
    <row r="4" spans="1:54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  <c r="AY4" s="1"/>
      <c r="AZ4" s="1"/>
      <c r="BA4" s="1"/>
      <c r="BB4" s="1"/>
    </row>
    <row r="5" spans="1:54">
      <c r="A5" s="21">
        <f t="shared" ref="A5:A35" si="0">IF(DAY(DATE($A$1,$B$1,ROW()-4))=ROW()-4,DATE($A$1,$B$1,ROW()-4),"")</f>
        <v>44531</v>
      </c>
      <c r="B5" s="23">
        <v>66000</v>
      </c>
      <c r="C5" s="23">
        <v>75000</v>
      </c>
      <c r="D5" s="24">
        <f t="shared" ref="D5:D35" si="1">SUM(B5:C5)</f>
        <v>141000</v>
      </c>
      <c r="E5" s="25">
        <v>24270</v>
      </c>
      <c r="F5" s="26"/>
      <c r="G5" s="27"/>
      <c r="H5" s="216">
        <f t="shared" ref="H5:H35" si="2">SUM(E5:G5)</f>
        <v>24270</v>
      </c>
      <c r="I5" s="27"/>
      <c r="J5" s="28"/>
      <c r="K5" s="29"/>
      <c r="L5" s="1"/>
      <c r="M5" s="1"/>
      <c r="N5" s="1"/>
      <c r="O5" s="1"/>
      <c r="P5" s="489">
        <v>44531</v>
      </c>
      <c r="Q5" s="35"/>
      <c r="R5" s="138"/>
      <c r="S5" s="139"/>
      <c r="T5" s="138"/>
      <c r="U5" s="190">
        <v>33000</v>
      </c>
      <c r="V5" s="138"/>
      <c r="W5" s="141">
        <v>89000</v>
      </c>
      <c r="X5" s="138"/>
      <c r="Y5" s="166"/>
      <c r="Z5" s="142"/>
      <c r="AA5" s="138"/>
      <c r="AB5" s="143"/>
      <c r="AC5" s="138"/>
      <c r="AD5" s="144"/>
      <c r="AE5" s="138"/>
      <c r="AF5" s="145">
        <v>10000</v>
      </c>
      <c r="AG5" s="138"/>
      <c r="AH5" s="146">
        <v>9000</v>
      </c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141000</v>
      </c>
      <c r="AY5" s="1"/>
      <c r="AZ5" s="1"/>
      <c r="BA5" s="1"/>
      <c r="BB5" s="1"/>
    </row>
    <row r="6" spans="1:54">
      <c r="A6" s="21">
        <f t="shared" si="0"/>
        <v>44532</v>
      </c>
      <c r="B6" s="38">
        <v>63000</v>
      </c>
      <c r="C6" s="23">
        <v>3000</v>
      </c>
      <c r="D6" s="24">
        <f t="shared" si="1"/>
        <v>66000</v>
      </c>
      <c r="E6" s="40">
        <v>10952</v>
      </c>
      <c r="F6" s="35"/>
      <c r="G6" s="27"/>
      <c r="H6" s="216">
        <f t="shared" si="2"/>
        <v>10952</v>
      </c>
      <c r="I6" s="35"/>
      <c r="J6" s="41"/>
      <c r="K6" s="29"/>
      <c r="L6" s="1"/>
      <c r="M6" s="1"/>
      <c r="N6" s="1"/>
      <c r="O6" s="1"/>
      <c r="P6" s="489">
        <v>44532</v>
      </c>
      <c r="Q6" s="35"/>
      <c r="R6" s="138"/>
      <c r="S6" s="139"/>
      <c r="T6" s="138"/>
      <c r="U6" s="143">
        <v>11000</v>
      </c>
      <c r="V6" s="138"/>
      <c r="W6" s="147"/>
      <c r="X6" s="138"/>
      <c r="Y6" s="166"/>
      <c r="Z6" s="142"/>
      <c r="AA6" s="138"/>
      <c r="AB6" s="143"/>
      <c r="AC6" s="138"/>
      <c r="AD6" s="147"/>
      <c r="AE6" s="138"/>
      <c r="AF6" s="145">
        <v>55000</v>
      </c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66000</v>
      </c>
      <c r="AY6" s="1"/>
      <c r="AZ6" s="1"/>
      <c r="BA6" s="1"/>
      <c r="BB6" s="1"/>
    </row>
    <row r="7" spans="1:54">
      <c r="A7" s="21">
        <f t="shared" si="0"/>
        <v>44533</v>
      </c>
      <c r="B7" s="38">
        <v>185000</v>
      </c>
      <c r="C7" s="23">
        <f>24000</f>
        <v>24000</v>
      </c>
      <c r="D7" s="24">
        <f t="shared" si="1"/>
        <v>209000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489">
        <v>44533</v>
      </c>
      <c r="Q7" s="35"/>
      <c r="R7" s="138"/>
      <c r="S7" s="139"/>
      <c r="T7" s="138"/>
      <c r="U7" s="143">
        <v>25000</v>
      </c>
      <c r="V7" s="138"/>
      <c r="W7" s="147">
        <v>74000</v>
      </c>
      <c r="X7" s="138"/>
      <c r="Y7" s="166"/>
      <c r="Z7" s="142">
        <v>75000</v>
      </c>
      <c r="AA7" s="138"/>
      <c r="AB7" s="139">
        <v>15000</v>
      </c>
      <c r="AC7" s="138"/>
      <c r="AD7" s="148"/>
      <c r="AE7" s="138"/>
      <c r="AF7" s="149">
        <v>20000</v>
      </c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209000</v>
      </c>
      <c r="AY7" s="1"/>
      <c r="AZ7" s="1"/>
      <c r="BA7" s="1"/>
      <c r="BB7" s="1"/>
    </row>
    <row r="8" spans="1:54">
      <c r="A8" s="21">
        <f t="shared" si="0"/>
        <v>44534</v>
      </c>
      <c r="B8" s="38">
        <v>26000</v>
      </c>
      <c r="C8" s="23">
        <f>22000+10000</f>
        <v>32000</v>
      </c>
      <c r="D8" s="24">
        <f t="shared" si="1"/>
        <v>58000</v>
      </c>
      <c r="E8" s="40">
        <v>14850</v>
      </c>
      <c r="F8" s="35"/>
      <c r="G8" s="27"/>
      <c r="H8" s="216">
        <f t="shared" si="2"/>
        <v>14850</v>
      </c>
      <c r="I8" s="35"/>
      <c r="J8" s="41"/>
      <c r="K8" s="29"/>
      <c r="L8" s="1"/>
      <c r="M8" s="1"/>
      <c r="N8" s="1"/>
      <c r="O8" s="1"/>
      <c r="P8" s="489">
        <v>44534</v>
      </c>
      <c r="Q8" s="35"/>
      <c r="R8" s="138"/>
      <c r="S8" s="139">
        <v>26000</v>
      </c>
      <c r="T8" s="138"/>
      <c r="U8" s="143">
        <v>12000</v>
      </c>
      <c r="V8" s="138"/>
      <c r="W8" s="147">
        <v>2000</v>
      </c>
      <c r="X8" s="138"/>
      <c r="Y8" s="166"/>
      <c r="Z8" s="142">
        <v>2000</v>
      </c>
      <c r="AA8" s="138"/>
      <c r="AB8" s="139">
        <v>16000</v>
      </c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58000</v>
      </c>
      <c r="AY8" s="1"/>
      <c r="AZ8" s="1"/>
      <c r="BA8" s="1"/>
      <c r="BB8" s="1"/>
    </row>
    <row r="9" spans="1:54">
      <c r="A9" s="21">
        <f t="shared" si="0"/>
        <v>44535</v>
      </c>
      <c r="B9" s="38">
        <v>215000</v>
      </c>
      <c r="C9" s="23">
        <v>30000</v>
      </c>
      <c r="D9" s="24">
        <f t="shared" si="1"/>
        <v>245000</v>
      </c>
      <c r="E9" s="40">
        <v>8744</v>
      </c>
      <c r="F9" s="35"/>
      <c r="G9" s="27"/>
      <c r="H9" s="216">
        <f t="shared" si="2"/>
        <v>8744</v>
      </c>
      <c r="I9" s="35"/>
      <c r="J9" s="41"/>
      <c r="K9" s="29"/>
      <c r="L9" s="1"/>
      <c r="M9" s="1"/>
      <c r="N9" s="1"/>
      <c r="O9" s="1"/>
      <c r="P9" s="489">
        <v>44535</v>
      </c>
      <c r="Q9" s="35"/>
      <c r="R9" s="138"/>
      <c r="S9" s="139"/>
      <c r="T9" s="138"/>
      <c r="U9" s="139">
        <v>31000</v>
      </c>
      <c r="V9" s="138">
        <v>25000</v>
      </c>
      <c r="W9" s="152">
        <v>50000</v>
      </c>
      <c r="X9" s="138"/>
      <c r="Y9" s="138"/>
      <c r="Z9" s="139">
        <v>76000</v>
      </c>
      <c r="AA9" s="138"/>
      <c r="AB9" s="139">
        <v>10000</v>
      </c>
      <c r="AC9" s="138"/>
      <c r="AD9" s="151"/>
      <c r="AE9" s="138"/>
      <c r="AF9" s="149">
        <v>53000</v>
      </c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245000</v>
      </c>
      <c r="AY9" s="1"/>
      <c r="AZ9" s="1"/>
      <c r="BA9" s="1"/>
      <c r="BB9" s="1"/>
    </row>
    <row r="10" spans="1:54">
      <c r="A10" s="21">
        <f t="shared" si="0"/>
        <v>44536</v>
      </c>
      <c r="B10" s="38">
        <v>41000</v>
      </c>
      <c r="C10" s="23"/>
      <c r="D10" s="24">
        <f t="shared" si="1"/>
        <v>41000</v>
      </c>
      <c r="E10" s="40">
        <v>18000</v>
      </c>
      <c r="F10" s="35"/>
      <c r="G10" s="27"/>
      <c r="H10" s="216">
        <f t="shared" si="2"/>
        <v>18000</v>
      </c>
      <c r="I10" s="35"/>
      <c r="J10" s="41"/>
      <c r="K10" s="29"/>
      <c r="L10" s="1"/>
      <c r="M10" s="516" t="s">
        <v>26</v>
      </c>
      <c r="N10" s="517"/>
      <c r="O10" s="1"/>
      <c r="P10" s="489">
        <v>44536</v>
      </c>
      <c r="Q10" s="35"/>
      <c r="R10" s="138"/>
      <c r="S10" s="139"/>
      <c r="T10" s="138"/>
      <c r="U10" s="139">
        <v>16000</v>
      </c>
      <c r="V10" s="138"/>
      <c r="W10" s="139">
        <v>25000</v>
      </c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41000</v>
      </c>
      <c r="AY10" s="1"/>
      <c r="AZ10" s="1"/>
      <c r="BA10" s="1"/>
      <c r="BB10" s="1"/>
    </row>
    <row r="11" spans="1:54">
      <c r="A11" s="21">
        <f t="shared" si="0"/>
        <v>44537</v>
      </c>
      <c r="B11" s="38">
        <v>60000</v>
      </c>
      <c r="C11" s="23"/>
      <c r="D11" s="24">
        <f t="shared" si="1"/>
        <v>60000</v>
      </c>
      <c r="E11" s="40"/>
      <c r="F11" s="35"/>
      <c r="G11" s="27">
        <f>586+654</f>
        <v>1240</v>
      </c>
      <c r="H11" s="216">
        <f t="shared" si="2"/>
        <v>1240</v>
      </c>
      <c r="I11" s="35"/>
      <c r="J11" s="41"/>
      <c r="K11" s="29"/>
      <c r="L11" s="1"/>
      <c r="M11" s="47" t="s">
        <v>27</v>
      </c>
      <c r="N11" s="518"/>
      <c r="O11" s="1"/>
      <c r="P11" s="489">
        <v>44537</v>
      </c>
      <c r="Q11" s="35"/>
      <c r="R11" s="138"/>
      <c r="S11" s="139"/>
      <c r="T11" s="138"/>
      <c r="U11" s="139"/>
      <c r="V11" s="138"/>
      <c r="W11" s="139">
        <v>7000</v>
      </c>
      <c r="X11" s="138"/>
      <c r="Y11" s="138">
        <v>19000</v>
      </c>
      <c r="Z11" s="139">
        <v>17000</v>
      </c>
      <c r="AA11" s="138"/>
      <c r="AB11" s="139">
        <v>7000</v>
      </c>
      <c r="AC11" s="138"/>
      <c r="AD11" s="151"/>
      <c r="AE11" s="138"/>
      <c r="AF11" s="149"/>
      <c r="AG11" s="138"/>
      <c r="AH11" s="149"/>
      <c r="AI11" s="138"/>
      <c r="AJ11" s="149">
        <v>10000</v>
      </c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60000</v>
      </c>
      <c r="AY11" s="1"/>
      <c r="AZ11" s="1"/>
      <c r="BA11" s="1"/>
      <c r="BB11" s="1"/>
    </row>
    <row r="12" spans="1:54">
      <c r="A12" s="21">
        <f t="shared" si="0"/>
        <v>44538</v>
      </c>
      <c r="B12" s="38">
        <v>26000</v>
      </c>
      <c r="C12" s="23">
        <v>20000</v>
      </c>
      <c r="D12" s="24">
        <f t="shared" si="1"/>
        <v>46000</v>
      </c>
      <c r="E12" s="40">
        <v>13600</v>
      </c>
      <c r="F12" s="35"/>
      <c r="G12" s="27"/>
      <c r="H12" s="216">
        <f t="shared" si="2"/>
        <v>13600</v>
      </c>
      <c r="I12" s="35"/>
      <c r="J12" s="41"/>
      <c r="K12" s="29"/>
      <c r="L12" s="1"/>
      <c r="M12" s="47" t="s">
        <v>28</v>
      </c>
      <c r="N12" s="519"/>
      <c r="O12" s="1"/>
      <c r="P12" s="489">
        <v>44538</v>
      </c>
      <c r="Q12" s="35"/>
      <c r="R12" s="138"/>
      <c r="S12" s="139"/>
      <c r="T12" s="138"/>
      <c r="U12" s="139">
        <v>22000</v>
      </c>
      <c r="V12" s="138"/>
      <c r="W12" s="139"/>
      <c r="X12" s="138"/>
      <c r="Y12" s="138">
        <v>18000</v>
      </c>
      <c r="Z12" s="139"/>
      <c r="AA12" s="138"/>
      <c r="AB12" s="139">
        <v>6000</v>
      </c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46000</v>
      </c>
      <c r="AY12" s="1"/>
      <c r="AZ12" s="1"/>
      <c r="BA12" s="1"/>
      <c r="BB12" s="1"/>
    </row>
    <row r="13" spans="1:54">
      <c r="A13" s="21">
        <f t="shared" si="0"/>
        <v>44539</v>
      </c>
      <c r="B13" s="38">
        <v>81000</v>
      </c>
      <c r="C13" s="23"/>
      <c r="D13" s="24">
        <f t="shared" si="1"/>
        <v>81000</v>
      </c>
      <c r="E13" s="40"/>
      <c r="F13" s="35"/>
      <c r="G13" s="27">
        <f>356+2068</f>
        <v>2424</v>
      </c>
      <c r="H13" s="216">
        <f t="shared" si="2"/>
        <v>2424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489">
        <v>44539</v>
      </c>
      <c r="Q13" s="35"/>
      <c r="R13" s="138"/>
      <c r="S13" s="139"/>
      <c r="T13" s="138"/>
      <c r="U13" s="139">
        <v>73000</v>
      </c>
      <c r="V13" s="138"/>
      <c r="W13" s="139">
        <v>2000</v>
      </c>
      <c r="X13" s="138"/>
      <c r="Y13" s="138"/>
      <c r="Z13" s="139">
        <v>6000</v>
      </c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81000</v>
      </c>
      <c r="AY13" s="1"/>
      <c r="AZ13" s="1"/>
      <c r="BA13" s="1"/>
      <c r="BB13" s="1"/>
    </row>
    <row r="14" spans="1:54">
      <c r="A14" s="21">
        <f t="shared" si="0"/>
        <v>44540</v>
      </c>
      <c r="B14" s="474">
        <f>108000+112000</f>
        <v>220000</v>
      </c>
      <c r="C14" s="23">
        <v>4000</v>
      </c>
      <c r="D14" s="24">
        <f t="shared" si="1"/>
        <v>224000</v>
      </c>
      <c r="E14" s="40">
        <f>11800+4800+12980</f>
        <v>29580</v>
      </c>
      <c r="F14" s="44"/>
      <c r="G14" s="27">
        <f>1941+7227</f>
        <v>9168</v>
      </c>
      <c r="H14" s="216">
        <f t="shared" si="2"/>
        <v>38748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489">
        <v>44540</v>
      </c>
      <c r="Q14" s="35"/>
      <c r="R14" s="138"/>
      <c r="S14" s="139"/>
      <c r="T14" s="138"/>
      <c r="U14" s="139">
        <v>70000</v>
      </c>
      <c r="V14" s="138"/>
      <c r="W14" s="139">
        <v>10000</v>
      </c>
      <c r="X14" s="138"/>
      <c r="Y14" s="138">
        <v>112000</v>
      </c>
      <c r="Z14" s="139">
        <v>27000</v>
      </c>
      <c r="AA14" s="138"/>
      <c r="AB14" s="139"/>
      <c r="AC14" s="138"/>
      <c r="AD14" s="151">
        <v>5000</v>
      </c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224000</v>
      </c>
      <c r="AY14" s="1"/>
      <c r="AZ14" s="1"/>
      <c r="BA14" s="1"/>
      <c r="BB14" s="1"/>
    </row>
    <row r="15" spans="1:54">
      <c r="A15" s="21">
        <f t="shared" si="0"/>
        <v>44541</v>
      </c>
      <c r="B15" s="38">
        <v>135000</v>
      </c>
      <c r="C15" s="23">
        <v>42000</v>
      </c>
      <c r="D15" s="24">
        <f t="shared" si="1"/>
        <v>177000</v>
      </c>
      <c r="E15" s="40"/>
      <c r="F15" s="35"/>
      <c r="G15" s="27">
        <v>534</v>
      </c>
      <c r="H15" s="216">
        <f t="shared" si="2"/>
        <v>534</v>
      </c>
      <c r="I15" s="35"/>
      <c r="J15" s="41"/>
      <c r="K15" s="29"/>
      <c r="L15" s="1"/>
      <c r="M15" s="47" t="s">
        <v>31</v>
      </c>
      <c r="N15" s="35"/>
      <c r="O15" s="1"/>
      <c r="P15" s="489">
        <v>44541</v>
      </c>
      <c r="Q15" s="35"/>
      <c r="R15" s="138"/>
      <c r="S15" s="139"/>
      <c r="T15" s="138"/>
      <c r="U15" s="139">
        <v>31000</v>
      </c>
      <c r="V15" s="138"/>
      <c r="W15" s="139">
        <v>42000</v>
      </c>
      <c r="X15" s="138"/>
      <c r="Y15" s="138"/>
      <c r="Z15" s="139">
        <v>31000</v>
      </c>
      <c r="AA15" s="138"/>
      <c r="AB15" s="139"/>
      <c r="AC15" s="138"/>
      <c r="AD15" s="151"/>
      <c r="AE15" s="138"/>
      <c r="AF15" s="149">
        <v>73000</v>
      </c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177000</v>
      </c>
      <c r="AY15" s="1"/>
      <c r="AZ15" s="1"/>
      <c r="BA15" s="1"/>
      <c r="BB15" s="1"/>
    </row>
    <row r="16" spans="1:54">
      <c r="A16" s="21">
        <f t="shared" si="0"/>
        <v>44542</v>
      </c>
      <c r="B16" s="38">
        <v>116000</v>
      </c>
      <c r="C16" s="23">
        <f>27000+20000</f>
        <v>47000</v>
      </c>
      <c r="D16" s="24">
        <f t="shared" si="1"/>
        <v>163000</v>
      </c>
      <c r="E16" s="40">
        <f>2580+4800+15018+21500</f>
        <v>43898</v>
      </c>
      <c r="F16" s="35"/>
      <c r="G16" s="27"/>
      <c r="H16" s="216">
        <f t="shared" si="2"/>
        <v>43898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489">
        <v>44542</v>
      </c>
      <c r="Q16" s="35"/>
      <c r="R16" s="138"/>
      <c r="S16" s="139"/>
      <c r="T16" s="138"/>
      <c r="U16" s="139">
        <v>112000</v>
      </c>
      <c r="V16" s="138"/>
      <c r="W16" s="139"/>
      <c r="X16" s="138"/>
      <c r="Y16" s="138"/>
      <c r="Z16" s="139">
        <v>15000</v>
      </c>
      <c r="AA16" s="138"/>
      <c r="AB16" s="139">
        <v>16000</v>
      </c>
      <c r="AC16" s="138"/>
      <c r="AD16" s="151"/>
      <c r="AE16" s="138"/>
      <c r="AF16" s="149">
        <v>20000</v>
      </c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163000</v>
      </c>
      <c r="AY16" s="1"/>
      <c r="AZ16" s="1"/>
      <c r="BA16" s="1"/>
      <c r="BB16" s="1"/>
    </row>
    <row r="17" spans="1:54">
      <c r="A17" s="21">
        <f t="shared" si="0"/>
        <v>44543</v>
      </c>
      <c r="B17" s="38"/>
      <c r="C17" s="23"/>
      <c r="D17" s="24">
        <f t="shared" si="1"/>
        <v>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489">
        <v>44543</v>
      </c>
      <c r="Q17" s="35"/>
      <c r="R17" s="138"/>
      <c r="S17" s="139"/>
      <c r="T17" s="138"/>
      <c r="U17" s="139"/>
      <c r="V17" s="138"/>
      <c r="W17" s="139"/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0</v>
      </c>
      <c r="AY17" s="1"/>
      <c r="AZ17" s="1"/>
      <c r="BA17" s="1"/>
      <c r="BB17" s="1"/>
    </row>
    <row r="18" spans="1:54">
      <c r="A18" s="21">
        <f t="shared" si="0"/>
        <v>44544</v>
      </c>
      <c r="B18" s="38">
        <v>29000</v>
      </c>
      <c r="C18" s="23">
        <v>23000</v>
      </c>
      <c r="D18" s="24">
        <f t="shared" si="1"/>
        <v>52000</v>
      </c>
      <c r="E18" s="40">
        <v>3804</v>
      </c>
      <c r="F18" s="35"/>
      <c r="G18" s="27"/>
      <c r="H18" s="216">
        <f t="shared" si="2"/>
        <v>3804</v>
      </c>
      <c r="I18" s="35"/>
      <c r="J18" s="41"/>
      <c r="K18" s="29"/>
      <c r="L18" s="1"/>
      <c r="M18" s="47"/>
      <c r="N18" s="35"/>
      <c r="O18" s="1"/>
      <c r="P18" s="489">
        <v>44544</v>
      </c>
      <c r="Q18" s="35"/>
      <c r="R18" s="138"/>
      <c r="S18" s="139"/>
      <c r="T18" s="138"/>
      <c r="U18" s="139">
        <v>9000</v>
      </c>
      <c r="V18" s="138"/>
      <c r="W18" s="139">
        <v>11000</v>
      </c>
      <c r="X18" s="138"/>
      <c r="Y18" s="138"/>
      <c r="Z18" s="139"/>
      <c r="AA18" s="138"/>
      <c r="AB18" s="139">
        <v>23000</v>
      </c>
      <c r="AC18" s="138"/>
      <c r="AD18" s="151"/>
      <c r="AE18" s="138"/>
      <c r="AF18" s="149"/>
      <c r="AG18" s="138"/>
      <c r="AH18" s="149"/>
      <c r="AI18" s="138"/>
      <c r="AJ18" s="149"/>
      <c r="AK18" s="138"/>
      <c r="AL18" s="149">
        <v>9000</v>
      </c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52000</v>
      </c>
      <c r="AY18" s="1"/>
      <c r="AZ18" s="1"/>
      <c r="BA18" s="1"/>
      <c r="BB18" s="1"/>
    </row>
    <row r="19" spans="1:54">
      <c r="A19" s="21">
        <f t="shared" si="0"/>
        <v>44545</v>
      </c>
      <c r="B19" s="38">
        <v>56000</v>
      </c>
      <c r="C19" s="23">
        <v>44000</v>
      </c>
      <c r="D19" s="24">
        <f t="shared" si="1"/>
        <v>100000</v>
      </c>
      <c r="E19" s="40"/>
      <c r="F19" s="35"/>
      <c r="G19" s="27">
        <v>352</v>
      </c>
      <c r="H19" s="216">
        <f t="shared" si="2"/>
        <v>352</v>
      </c>
      <c r="I19" s="35"/>
      <c r="J19" s="41"/>
      <c r="K19" s="29"/>
      <c r="L19" s="1"/>
      <c r="M19" s="49" t="s">
        <v>33</v>
      </c>
      <c r="N19" s="50">
        <f>SUM(N11:N18)</f>
        <v>56000</v>
      </c>
      <c r="O19" s="1"/>
      <c r="P19" s="489">
        <v>44545</v>
      </c>
      <c r="Q19" s="35"/>
      <c r="R19" s="138"/>
      <c r="S19" s="139"/>
      <c r="T19" s="138"/>
      <c r="U19" s="139">
        <v>8000</v>
      </c>
      <c r="V19" s="138"/>
      <c r="W19" s="139">
        <v>71000</v>
      </c>
      <c r="X19" s="138"/>
      <c r="Y19" s="138"/>
      <c r="Z19" s="139"/>
      <c r="AA19" s="138"/>
      <c r="AB19" s="139">
        <v>7000</v>
      </c>
      <c r="AC19" s="138"/>
      <c r="AD19" s="151"/>
      <c r="AE19" s="138"/>
      <c r="AF19" s="149">
        <v>5000</v>
      </c>
      <c r="AG19" s="138"/>
      <c r="AH19" s="149"/>
      <c r="AI19" s="138"/>
      <c r="AJ19" s="149"/>
      <c r="AK19" s="138"/>
      <c r="AL19" s="149">
        <v>9000</v>
      </c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100000</v>
      </c>
      <c r="AY19" s="1"/>
      <c r="AZ19" s="1"/>
      <c r="BA19" s="1"/>
      <c r="BB19" s="1"/>
    </row>
    <row r="20" spans="1:54">
      <c r="A20" s="21">
        <f t="shared" si="0"/>
        <v>44546</v>
      </c>
      <c r="B20" s="38">
        <v>64000</v>
      </c>
      <c r="C20" s="38"/>
      <c r="D20" s="24">
        <f t="shared" si="1"/>
        <v>64000</v>
      </c>
      <c r="E20" s="40"/>
      <c r="F20" s="35"/>
      <c r="G20" s="27"/>
      <c r="H20" s="216">
        <f t="shared" si="2"/>
        <v>0</v>
      </c>
      <c r="I20" s="35"/>
      <c r="J20" s="41"/>
      <c r="K20" s="29"/>
      <c r="L20" s="1"/>
      <c r="M20" s="51"/>
      <c r="N20" s="7"/>
      <c r="O20" s="1"/>
      <c r="P20" s="489">
        <v>44546</v>
      </c>
      <c r="Q20" s="35"/>
      <c r="R20" s="138"/>
      <c r="S20" s="139"/>
      <c r="T20" s="138"/>
      <c r="U20" s="139">
        <v>46000</v>
      </c>
      <c r="V20" s="138"/>
      <c r="W20" s="139"/>
      <c r="X20" s="138"/>
      <c r="Y20" s="138"/>
      <c r="Z20" s="139"/>
      <c r="AA20" s="138"/>
      <c r="AB20" s="139">
        <v>6000</v>
      </c>
      <c r="AC20" s="138"/>
      <c r="AD20" s="151"/>
      <c r="AE20" s="138"/>
      <c r="AF20" s="149">
        <v>12000</v>
      </c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64000</v>
      </c>
      <c r="AY20" s="1"/>
      <c r="AZ20" s="1"/>
      <c r="BA20" s="1"/>
      <c r="BB20" s="1"/>
    </row>
    <row r="21" spans="1:54">
      <c r="A21" s="21">
        <f t="shared" si="0"/>
        <v>44547</v>
      </c>
      <c r="B21" s="38">
        <v>35000</v>
      </c>
      <c r="C21" s="38"/>
      <c r="D21" s="24">
        <f t="shared" si="1"/>
        <v>35000</v>
      </c>
      <c r="E21" s="40">
        <v>11544</v>
      </c>
      <c r="F21" s="35">
        <v>4136</v>
      </c>
      <c r="G21" s="27">
        <v>654</v>
      </c>
      <c r="H21" s="216">
        <f t="shared" si="2"/>
        <v>16334</v>
      </c>
      <c r="I21" s="35"/>
      <c r="J21" s="41"/>
      <c r="K21" s="29"/>
      <c r="L21" s="1"/>
      <c r="M21" s="1"/>
      <c r="N21" s="1"/>
      <c r="O21" s="1"/>
      <c r="P21" s="489">
        <v>44547</v>
      </c>
      <c r="Q21" s="35"/>
      <c r="R21" s="138"/>
      <c r="S21" s="139"/>
      <c r="T21" s="138"/>
      <c r="U21" s="139">
        <v>7000</v>
      </c>
      <c r="V21" s="138"/>
      <c r="W21" s="139">
        <v>13000</v>
      </c>
      <c r="X21" s="138"/>
      <c r="Y21" s="138"/>
      <c r="Z21" s="139">
        <v>10000</v>
      </c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>
        <v>5000</v>
      </c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35000</v>
      </c>
      <c r="AY21" s="1"/>
      <c r="AZ21" s="1"/>
      <c r="BA21" s="1"/>
      <c r="BB21" s="1"/>
    </row>
    <row r="22" spans="1:54">
      <c r="A22" s="21">
        <f t="shared" si="0"/>
        <v>44548</v>
      </c>
      <c r="B22" s="38">
        <v>129000</v>
      </c>
      <c r="C22" s="38"/>
      <c r="D22" s="24">
        <f t="shared" si="1"/>
        <v>129000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489">
        <v>44548</v>
      </c>
      <c r="Q22" s="35"/>
      <c r="R22" s="138"/>
      <c r="S22" s="139"/>
      <c r="T22" s="138"/>
      <c r="U22" s="139">
        <v>34000</v>
      </c>
      <c r="V22" s="138"/>
      <c r="W22" s="139">
        <v>38000</v>
      </c>
      <c r="X22" s="138"/>
      <c r="Y22" s="375">
        <v>10000</v>
      </c>
      <c r="Z22" s="153">
        <v>25000</v>
      </c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>
        <v>22000</v>
      </c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129000</v>
      </c>
      <c r="AY22" s="1"/>
      <c r="AZ22" s="1"/>
      <c r="BA22" s="1"/>
      <c r="BB22" s="1"/>
    </row>
    <row r="23" spans="1:54">
      <c r="A23" s="21">
        <f t="shared" si="0"/>
        <v>44549</v>
      </c>
      <c r="B23" s="38">
        <v>168000</v>
      </c>
      <c r="C23" s="38">
        <v>25000</v>
      </c>
      <c r="D23" s="24">
        <f t="shared" si="1"/>
        <v>193000</v>
      </c>
      <c r="E23" s="40">
        <f>13452+4780+20752</f>
        <v>38984</v>
      </c>
      <c r="F23" s="35"/>
      <c r="G23" s="27">
        <f>893+702</f>
        <v>1595</v>
      </c>
      <c r="H23" s="216">
        <f t="shared" si="2"/>
        <v>40579</v>
      </c>
      <c r="I23" s="35"/>
      <c r="J23" s="41"/>
      <c r="K23" s="29"/>
      <c r="L23" s="1"/>
      <c r="M23" s="1"/>
      <c r="N23" s="1"/>
      <c r="O23" s="1"/>
      <c r="P23" s="489">
        <v>44549</v>
      </c>
      <c r="Q23" s="35"/>
      <c r="R23" s="138"/>
      <c r="S23" s="139"/>
      <c r="T23" s="138"/>
      <c r="U23" s="139">
        <v>44000</v>
      </c>
      <c r="V23" s="138"/>
      <c r="W23" s="139">
        <v>5000</v>
      </c>
      <c r="X23" s="138"/>
      <c r="Y23" s="138"/>
      <c r="Z23" s="139">
        <v>14000</v>
      </c>
      <c r="AA23" s="138"/>
      <c r="AB23" s="139">
        <v>22000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>
        <v>108000</v>
      </c>
      <c r="AQ23" s="160"/>
      <c r="AR23" s="158"/>
      <c r="AS23" s="158"/>
      <c r="AT23" s="158"/>
      <c r="AU23" s="158"/>
      <c r="AV23" s="145"/>
      <c r="AW23" s="138"/>
      <c r="AX23" s="2">
        <f t="shared" si="3"/>
        <v>193000</v>
      </c>
      <c r="AY23" s="1"/>
      <c r="AZ23" s="1"/>
      <c r="BA23" s="1"/>
      <c r="BB23" s="1"/>
    </row>
    <row r="24" spans="1:54">
      <c r="A24" s="21">
        <f t="shared" si="0"/>
        <v>44550</v>
      </c>
      <c r="B24" s="38">
        <v>44000</v>
      </c>
      <c r="C24" s="38">
        <v>6000</v>
      </c>
      <c r="D24" s="24">
        <f t="shared" si="1"/>
        <v>50000</v>
      </c>
      <c r="E24" s="40"/>
      <c r="F24" s="35">
        <v>7007</v>
      </c>
      <c r="G24" s="27"/>
      <c r="H24" s="216">
        <f t="shared" si="2"/>
        <v>7007</v>
      </c>
      <c r="I24" s="35"/>
      <c r="J24" s="41"/>
      <c r="K24" s="29"/>
      <c r="L24" s="1"/>
      <c r="M24" s="53" t="s">
        <v>34</v>
      </c>
      <c r="N24" s="38">
        <f>D37</f>
        <v>3669000</v>
      </c>
      <c r="O24" s="1"/>
      <c r="P24" s="489">
        <v>44550</v>
      </c>
      <c r="Q24" s="35"/>
      <c r="R24" s="138"/>
      <c r="S24" s="139"/>
      <c r="T24" s="138"/>
      <c r="U24" s="139">
        <v>38000</v>
      </c>
      <c r="V24" s="138"/>
      <c r="W24" s="139">
        <v>2000</v>
      </c>
      <c r="X24" s="138"/>
      <c r="Y24" s="138"/>
      <c r="Z24" s="139"/>
      <c r="AA24" s="138"/>
      <c r="AB24" s="139">
        <v>4000</v>
      </c>
      <c r="AC24" s="138"/>
      <c r="AD24" s="151"/>
      <c r="AE24" s="138"/>
      <c r="AF24" s="149">
        <v>6000</v>
      </c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50000</v>
      </c>
      <c r="AY24" s="1"/>
      <c r="AZ24" s="1"/>
      <c r="BA24" s="1"/>
      <c r="BB24" s="1"/>
    </row>
    <row r="25" spans="1:54">
      <c r="A25" s="21">
        <f t="shared" si="0"/>
        <v>44551</v>
      </c>
      <c r="B25" s="38">
        <v>45000</v>
      </c>
      <c r="C25" s="38">
        <f>42000+10000</f>
        <v>52000</v>
      </c>
      <c r="D25" s="24">
        <f t="shared" si="1"/>
        <v>97000</v>
      </c>
      <c r="E25" s="40"/>
      <c r="F25" s="35"/>
      <c r="G25" s="27"/>
      <c r="H25" s="216">
        <f t="shared" si="2"/>
        <v>0</v>
      </c>
      <c r="I25" s="35"/>
      <c r="J25" s="41"/>
      <c r="K25" s="29"/>
      <c r="L25" s="1"/>
      <c r="M25" s="53" t="s">
        <v>35</v>
      </c>
      <c r="N25" s="38">
        <f>H37</f>
        <v>517868</v>
      </c>
      <c r="O25" s="1"/>
      <c r="P25" s="489">
        <v>44551</v>
      </c>
      <c r="Q25" s="35"/>
      <c r="R25" s="138"/>
      <c r="S25" s="139">
        <v>42000</v>
      </c>
      <c r="T25" s="138"/>
      <c r="U25" s="139">
        <v>11000</v>
      </c>
      <c r="V25" s="138"/>
      <c r="W25" s="139">
        <v>12000</v>
      </c>
      <c r="X25" s="138"/>
      <c r="Y25" s="138"/>
      <c r="Z25" s="139">
        <v>32000</v>
      </c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97000</v>
      </c>
      <c r="AY25" s="1"/>
      <c r="AZ25" s="1"/>
      <c r="BA25" s="1"/>
      <c r="BB25" s="1"/>
    </row>
    <row r="26" spans="1:54">
      <c r="A26" s="21">
        <f t="shared" si="0"/>
        <v>44552</v>
      </c>
      <c r="B26" s="38">
        <v>120000</v>
      </c>
      <c r="C26" s="38">
        <f>20000+10000+15000</f>
        <v>45000</v>
      </c>
      <c r="D26" s="24">
        <f t="shared" si="1"/>
        <v>165000</v>
      </c>
      <c r="E26" s="40"/>
      <c r="F26" s="35"/>
      <c r="G26" s="27">
        <v>6130</v>
      </c>
      <c r="H26" s="216">
        <f t="shared" si="2"/>
        <v>6130</v>
      </c>
      <c r="I26" s="35"/>
      <c r="J26" s="41"/>
      <c r="K26" s="29"/>
      <c r="L26" s="1"/>
      <c r="M26" s="53" t="s">
        <v>36</v>
      </c>
      <c r="N26" s="38">
        <f>N19</f>
        <v>56000</v>
      </c>
      <c r="O26" s="1"/>
      <c r="P26" s="489">
        <v>44552</v>
      </c>
      <c r="Q26" s="35"/>
      <c r="R26" s="138"/>
      <c r="S26" s="139">
        <v>20000</v>
      </c>
      <c r="T26" s="138"/>
      <c r="U26" s="139">
        <v>17000</v>
      </c>
      <c r="V26" s="138"/>
      <c r="W26" s="139"/>
      <c r="X26" s="138"/>
      <c r="Y26" s="138"/>
      <c r="Z26" s="139">
        <v>30000</v>
      </c>
      <c r="AA26" s="138"/>
      <c r="AB26" s="139"/>
      <c r="AC26" s="138"/>
      <c r="AD26" s="151"/>
      <c r="AE26" s="138"/>
      <c r="AF26" s="149">
        <v>80000</v>
      </c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>
        <v>18000</v>
      </c>
      <c r="AR26" s="158"/>
      <c r="AS26" s="158"/>
      <c r="AT26" s="158"/>
      <c r="AU26" s="158"/>
      <c r="AV26" s="145"/>
      <c r="AW26" s="138"/>
      <c r="AX26" s="2">
        <f t="shared" si="3"/>
        <v>165000</v>
      </c>
      <c r="AY26" s="1"/>
      <c r="AZ26" s="1"/>
      <c r="BA26" s="1"/>
      <c r="BB26" s="1"/>
    </row>
    <row r="27" spans="1:54">
      <c r="A27" s="21">
        <f t="shared" si="0"/>
        <v>44553</v>
      </c>
      <c r="B27" s="38">
        <v>79000</v>
      </c>
      <c r="C27" s="38"/>
      <c r="D27" s="24">
        <f t="shared" si="1"/>
        <v>79000</v>
      </c>
      <c r="E27" s="40">
        <v>4720</v>
      </c>
      <c r="F27" s="35">
        <v>168000</v>
      </c>
      <c r="G27" s="27">
        <v>11005</v>
      </c>
      <c r="H27" s="216">
        <f t="shared" si="2"/>
        <v>183725</v>
      </c>
      <c r="I27" s="35"/>
      <c r="J27" s="41"/>
      <c r="K27" s="29"/>
      <c r="L27" s="1"/>
      <c r="M27" s="60" t="s">
        <v>37</v>
      </c>
      <c r="N27" s="61">
        <f>IFERROR(N24-N25-N26, "")</f>
        <v>3095132</v>
      </c>
      <c r="O27" s="1"/>
      <c r="P27" s="489">
        <v>44553</v>
      </c>
      <c r="Q27" s="35"/>
      <c r="R27" s="138"/>
      <c r="S27" s="139"/>
      <c r="T27" s="138"/>
      <c r="U27" s="139">
        <v>19000</v>
      </c>
      <c r="V27" s="138"/>
      <c r="W27" s="139">
        <v>2000</v>
      </c>
      <c r="X27" s="138"/>
      <c r="Y27" s="138"/>
      <c r="Z27" s="139"/>
      <c r="AA27" s="138"/>
      <c r="AB27" s="139">
        <v>11000</v>
      </c>
      <c r="AC27" s="138"/>
      <c r="AD27" s="151"/>
      <c r="AE27" s="138"/>
      <c r="AF27" s="149">
        <v>41000</v>
      </c>
      <c r="AG27" s="138"/>
      <c r="AH27" s="149"/>
      <c r="AI27" s="138"/>
      <c r="AJ27" s="149"/>
      <c r="AK27" s="138"/>
      <c r="AL27" s="149"/>
      <c r="AM27" s="138"/>
      <c r="AN27" s="138">
        <v>6000</v>
      </c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79000</v>
      </c>
      <c r="AY27" s="1"/>
      <c r="AZ27" s="1"/>
      <c r="BA27" s="1"/>
      <c r="BB27" s="1"/>
    </row>
    <row r="28" spans="1:54">
      <c r="A28" s="21">
        <f t="shared" si="0"/>
        <v>44554</v>
      </c>
      <c r="B28" s="38">
        <v>95000</v>
      </c>
      <c r="C28" s="38"/>
      <c r="D28" s="24">
        <f t="shared" si="1"/>
        <v>95000</v>
      </c>
      <c r="E28" s="299">
        <f>15262</f>
        <v>15262</v>
      </c>
      <c r="F28" s="35"/>
      <c r="G28" s="27"/>
      <c r="H28" s="216">
        <f t="shared" si="2"/>
        <v>15262</v>
      </c>
      <c r="I28" s="35"/>
      <c r="J28" s="41"/>
      <c r="K28" s="29"/>
      <c r="L28" s="1"/>
      <c r="M28" s="1"/>
      <c r="N28" s="1"/>
      <c r="O28" s="1"/>
      <c r="P28" s="489">
        <v>44554</v>
      </c>
      <c r="Q28" s="35"/>
      <c r="R28" s="138"/>
      <c r="S28" s="139"/>
      <c r="T28" s="138"/>
      <c r="U28" s="139">
        <v>45000</v>
      </c>
      <c r="V28" s="138"/>
      <c r="W28" s="139">
        <v>9000</v>
      </c>
      <c r="X28" s="138"/>
      <c r="Y28" s="138"/>
      <c r="Z28" s="139">
        <v>2000</v>
      </c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>
        <v>9000</v>
      </c>
      <c r="AM28" s="138"/>
      <c r="AN28" s="138">
        <v>30000</v>
      </c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95000</v>
      </c>
      <c r="AY28" s="1"/>
      <c r="AZ28" s="1"/>
      <c r="BA28" s="1"/>
      <c r="BB28" s="1"/>
    </row>
    <row r="29" spans="1:54">
      <c r="A29" s="21">
        <f t="shared" si="0"/>
        <v>44555</v>
      </c>
      <c r="B29" s="38">
        <v>88000</v>
      </c>
      <c r="C29" s="38">
        <v>24000</v>
      </c>
      <c r="D29" s="24">
        <f t="shared" si="1"/>
        <v>112000</v>
      </c>
      <c r="E29" s="40">
        <v>13182</v>
      </c>
      <c r="F29" s="35"/>
      <c r="G29" s="27"/>
      <c r="H29" s="216">
        <f t="shared" si="2"/>
        <v>13182</v>
      </c>
      <c r="I29" s="35"/>
      <c r="J29" s="41"/>
      <c r="K29" s="29"/>
      <c r="L29" s="1"/>
      <c r="M29" s="1"/>
      <c r="N29" s="1"/>
      <c r="O29" s="1"/>
      <c r="P29" s="489">
        <v>44555</v>
      </c>
      <c r="Q29" s="35"/>
      <c r="R29" s="138"/>
      <c r="S29" s="139"/>
      <c r="T29" s="138"/>
      <c r="U29" s="139">
        <v>44000</v>
      </c>
      <c r="V29" s="138"/>
      <c r="W29" s="139">
        <v>51000</v>
      </c>
      <c r="X29" s="138"/>
      <c r="Y29" s="138"/>
      <c r="Z29" s="139">
        <v>17000</v>
      </c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112000</v>
      </c>
      <c r="AY29" s="1"/>
      <c r="AZ29" s="1"/>
      <c r="BA29" s="1"/>
      <c r="BB29" s="1"/>
    </row>
    <row r="30" spans="1:54">
      <c r="A30" s="21">
        <f t="shared" si="0"/>
        <v>44556</v>
      </c>
      <c r="B30" s="38">
        <v>110000</v>
      </c>
      <c r="C30" s="38">
        <v>12000</v>
      </c>
      <c r="D30" s="24">
        <f t="shared" si="1"/>
        <v>122000</v>
      </c>
      <c r="E30" s="40"/>
      <c r="F30" s="35"/>
      <c r="G30" s="27">
        <v>1188</v>
      </c>
      <c r="H30" s="216">
        <f t="shared" si="2"/>
        <v>1188</v>
      </c>
      <c r="I30" s="35"/>
      <c r="J30" s="41"/>
      <c r="K30" s="29"/>
      <c r="L30" s="1"/>
      <c r="M30" s="1"/>
      <c r="N30" s="1"/>
      <c r="O30" s="1"/>
      <c r="P30" s="489">
        <v>44556</v>
      </c>
      <c r="Q30" s="35"/>
      <c r="R30" s="138"/>
      <c r="S30" s="139"/>
      <c r="T30" s="138"/>
      <c r="U30" s="139">
        <v>44000</v>
      </c>
      <c r="V30" s="138"/>
      <c r="W30" s="139">
        <v>6000</v>
      </c>
      <c r="X30" s="138"/>
      <c r="Y30" s="138"/>
      <c r="Z30" s="139">
        <v>12000</v>
      </c>
      <c r="AA30" s="138"/>
      <c r="AB30" s="139"/>
      <c r="AC30" s="138"/>
      <c r="AD30" s="151"/>
      <c r="AE30" s="138"/>
      <c r="AF30" s="149">
        <v>60000</v>
      </c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122000</v>
      </c>
      <c r="AY30" s="1"/>
      <c r="AZ30" s="1"/>
      <c r="BA30" s="1"/>
      <c r="BB30" s="1"/>
    </row>
    <row r="31" spans="1:54">
      <c r="A31" s="21">
        <f t="shared" si="0"/>
        <v>44557</v>
      </c>
      <c r="B31" s="38">
        <v>111000</v>
      </c>
      <c r="C31" s="38"/>
      <c r="D31" s="24">
        <f t="shared" si="1"/>
        <v>111000</v>
      </c>
      <c r="E31" s="40">
        <v>13572</v>
      </c>
      <c r="F31" s="35">
        <v>12606</v>
      </c>
      <c r="G31" s="27">
        <f>702+963</f>
        <v>1665</v>
      </c>
      <c r="H31" s="216">
        <f t="shared" si="2"/>
        <v>27843</v>
      </c>
      <c r="I31" s="35"/>
      <c r="J31" s="41"/>
      <c r="K31" s="29"/>
      <c r="L31" s="1"/>
      <c r="M31" s="1"/>
      <c r="N31" s="1"/>
      <c r="O31" s="1"/>
      <c r="P31" s="489">
        <v>44557</v>
      </c>
      <c r="Q31" s="35"/>
      <c r="R31" s="138"/>
      <c r="S31" s="139"/>
      <c r="T31" s="138"/>
      <c r="U31" s="139">
        <v>27000</v>
      </c>
      <c r="V31" s="138"/>
      <c r="W31" s="139">
        <v>5000</v>
      </c>
      <c r="X31" s="138"/>
      <c r="Y31" s="138"/>
      <c r="Z31" s="139"/>
      <c r="AA31" s="138"/>
      <c r="AB31" s="139">
        <v>6000</v>
      </c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>
        <v>73000</v>
      </c>
      <c r="AQ31" s="138"/>
      <c r="AR31" s="138"/>
      <c r="AS31" s="138"/>
      <c r="AT31" s="138"/>
      <c r="AU31" s="138"/>
      <c r="AV31" s="149"/>
      <c r="AW31" s="138"/>
      <c r="AX31" s="2">
        <f t="shared" si="3"/>
        <v>111000</v>
      </c>
      <c r="AY31" s="1"/>
      <c r="AZ31" s="1"/>
      <c r="BA31" s="1"/>
      <c r="BB31" s="1"/>
    </row>
    <row r="32" spans="1:54">
      <c r="A32" s="21">
        <f t="shared" si="0"/>
        <v>44558</v>
      </c>
      <c r="B32" s="38">
        <v>111000</v>
      </c>
      <c r="C32" s="38"/>
      <c r="D32" s="24">
        <f t="shared" si="1"/>
        <v>111000</v>
      </c>
      <c r="E32" s="40">
        <v>10056</v>
      </c>
      <c r="F32" s="35"/>
      <c r="G32" s="27"/>
      <c r="H32" s="216">
        <f t="shared" si="2"/>
        <v>10056</v>
      </c>
      <c r="I32" s="35"/>
      <c r="J32" s="41"/>
      <c r="K32" s="29"/>
      <c r="L32" s="1"/>
      <c r="M32" s="1"/>
      <c r="N32" s="1"/>
      <c r="O32" s="1"/>
      <c r="P32" s="489">
        <v>44558</v>
      </c>
      <c r="Q32" s="35"/>
      <c r="R32" s="138"/>
      <c r="S32" s="139">
        <v>10000</v>
      </c>
      <c r="T32" s="138"/>
      <c r="U32" s="139">
        <v>8000</v>
      </c>
      <c r="V32" s="138"/>
      <c r="W32" s="139">
        <v>4000</v>
      </c>
      <c r="X32" s="138"/>
      <c r="Y32" s="138"/>
      <c r="Z32" s="139">
        <v>13000</v>
      </c>
      <c r="AA32" s="138"/>
      <c r="AB32" s="139">
        <v>10000</v>
      </c>
      <c r="AC32" s="138"/>
      <c r="AD32" s="151"/>
      <c r="AE32" s="138"/>
      <c r="AF32" s="149">
        <v>37000</v>
      </c>
      <c r="AG32" s="138"/>
      <c r="AH32" s="149"/>
      <c r="AI32" s="138"/>
      <c r="AJ32" s="149"/>
      <c r="AK32" s="138"/>
      <c r="AL32" s="149">
        <v>28000</v>
      </c>
      <c r="AM32" s="138"/>
      <c r="AN32" s="138"/>
      <c r="AO32" s="138"/>
      <c r="AP32" s="138"/>
      <c r="AQ32" s="138">
        <v>1000</v>
      </c>
      <c r="AR32" s="138"/>
      <c r="AS32" s="138"/>
      <c r="AT32" s="138"/>
      <c r="AU32" s="138"/>
      <c r="AV32" s="149"/>
      <c r="AW32" s="138"/>
      <c r="AX32" s="2">
        <f t="shared" si="3"/>
        <v>111000</v>
      </c>
      <c r="AY32" s="1"/>
      <c r="AZ32" s="1"/>
      <c r="BA32" s="1"/>
      <c r="BB32" s="1"/>
    </row>
    <row r="33" spans="1:54">
      <c r="A33" s="21">
        <f t="shared" si="0"/>
        <v>44559</v>
      </c>
      <c r="B33" s="38">
        <v>202000</v>
      </c>
      <c r="C33" s="38">
        <v>20000</v>
      </c>
      <c r="D33" s="24">
        <f t="shared" si="1"/>
        <v>222000</v>
      </c>
      <c r="E33" s="40">
        <f>2400+582</f>
        <v>2982</v>
      </c>
      <c r="F33" s="35">
        <v>10510</v>
      </c>
      <c r="G33" s="27"/>
      <c r="H33" s="216">
        <f t="shared" si="2"/>
        <v>13492</v>
      </c>
      <c r="I33" s="35"/>
      <c r="J33" s="41"/>
      <c r="K33" s="29"/>
      <c r="L33" s="1"/>
      <c r="M33" s="1"/>
      <c r="N33" s="1"/>
      <c r="O33" s="1"/>
      <c r="P33" s="489">
        <v>44559</v>
      </c>
      <c r="Q33" s="56"/>
      <c r="R33" s="138"/>
      <c r="S33" s="139">
        <v>32000</v>
      </c>
      <c r="T33" s="138"/>
      <c r="U33" s="139">
        <v>69000</v>
      </c>
      <c r="V33" s="138"/>
      <c r="W33" s="139">
        <v>66000</v>
      </c>
      <c r="X33" s="138"/>
      <c r="Y33" s="138">
        <v>4000</v>
      </c>
      <c r="Z33" s="139">
        <v>31000</v>
      </c>
      <c r="AA33" s="138"/>
      <c r="AB33" s="139">
        <v>10000</v>
      </c>
      <c r="AC33" s="138"/>
      <c r="AD33" s="151">
        <v>10000</v>
      </c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222000</v>
      </c>
      <c r="AY33" s="1"/>
      <c r="AZ33" s="1"/>
      <c r="BA33" s="1"/>
      <c r="BB33" s="1"/>
    </row>
    <row r="34" spans="1:54">
      <c r="A34" s="21">
        <f t="shared" si="0"/>
        <v>44560</v>
      </c>
      <c r="B34" s="38">
        <v>118000</v>
      </c>
      <c r="C34" s="38"/>
      <c r="D34" s="24">
        <f t="shared" si="1"/>
        <v>118000</v>
      </c>
      <c r="E34" s="40"/>
      <c r="F34" s="35"/>
      <c r="G34" s="27"/>
      <c r="H34" s="216">
        <f t="shared" si="2"/>
        <v>0</v>
      </c>
      <c r="I34" s="35"/>
      <c r="J34" s="41"/>
      <c r="K34" s="29"/>
      <c r="L34" s="1"/>
      <c r="M34" s="1"/>
      <c r="N34" s="1"/>
      <c r="O34" s="1"/>
      <c r="P34" s="489">
        <v>44560</v>
      </c>
      <c r="Q34" s="137"/>
      <c r="R34" s="154"/>
      <c r="S34" s="155"/>
      <c r="T34" s="154"/>
      <c r="U34" s="155">
        <v>118000</v>
      </c>
      <c r="V34" s="154"/>
      <c r="W34" s="155"/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118000</v>
      </c>
      <c r="AY34" s="1"/>
      <c r="AZ34" s="1"/>
      <c r="BA34" s="1"/>
      <c r="BB34" s="1"/>
    </row>
    <row r="35" spans="1:54" ht="21" thickBot="1">
      <c r="A35" s="21">
        <f t="shared" si="0"/>
        <v>44561</v>
      </c>
      <c r="B35" s="38">
        <v>303000</v>
      </c>
      <c r="C35" s="38"/>
      <c r="D35" s="24">
        <f t="shared" si="1"/>
        <v>303000</v>
      </c>
      <c r="E35" s="40"/>
      <c r="F35" s="35"/>
      <c r="G35" s="27">
        <f>987+667</f>
        <v>1654</v>
      </c>
      <c r="H35" s="216">
        <f t="shared" si="2"/>
        <v>1654</v>
      </c>
      <c r="I35" s="57"/>
      <c r="J35" s="58"/>
      <c r="K35" s="59"/>
      <c r="L35" s="1"/>
      <c r="M35" s="1"/>
      <c r="N35" s="1"/>
      <c r="O35" s="1"/>
      <c r="P35" s="489">
        <v>44561</v>
      </c>
      <c r="Q35" s="115"/>
      <c r="R35" s="158"/>
      <c r="S35" s="147"/>
      <c r="T35" s="158"/>
      <c r="U35" s="147">
        <v>145000</v>
      </c>
      <c r="V35" s="158"/>
      <c r="W35" s="147">
        <v>112000</v>
      </c>
      <c r="X35" s="158"/>
      <c r="Y35" s="158"/>
      <c r="Z35" s="147"/>
      <c r="AA35" s="158"/>
      <c r="AB35" s="147"/>
      <c r="AC35" s="158"/>
      <c r="AD35" s="147"/>
      <c r="AE35" s="158"/>
      <c r="AF35" s="147">
        <v>46000</v>
      </c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303000</v>
      </c>
      <c r="AY35" s="1"/>
      <c r="AZ35" s="1"/>
      <c r="BA35" s="1"/>
      <c r="BB35" s="1"/>
    </row>
    <row r="36" spans="1:54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130000</v>
      </c>
      <c r="T36" s="115">
        <f t="shared" si="4"/>
        <v>0</v>
      </c>
      <c r="U36" s="115">
        <f t="shared" si="4"/>
        <v>1169000</v>
      </c>
      <c r="V36" s="115">
        <f t="shared" si="4"/>
        <v>25000</v>
      </c>
      <c r="W36" s="115">
        <f t="shared" si="4"/>
        <v>708000</v>
      </c>
      <c r="X36" s="115">
        <f t="shared" si="4"/>
        <v>0</v>
      </c>
      <c r="Y36" s="115">
        <f t="shared" si="4"/>
        <v>163000</v>
      </c>
      <c r="Z36" s="115">
        <f t="shared" si="4"/>
        <v>435000</v>
      </c>
      <c r="AA36" s="115">
        <f t="shared" si="4"/>
        <v>0</v>
      </c>
      <c r="AB36" s="115">
        <f t="shared" si="4"/>
        <v>169000</v>
      </c>
      <c r="AC36" s="115">
        <f t="shared" si="4"/>
        <v>0</v>
      </c>
      <c r="AD36" s="115">
        <f t="shared" si="4"/>
        <v>15000</v>
      </c>
      <c r="AE36" s="115">
        <f t="shared" si="4"/>
        <v>0</v>
      </c>
      <c r="AF36" s="115">
        <f t="shared" si="4"/>
        <v>518000</v>
      </c>
      <c r="AG36" s="115">
        <f t="shared" si="4"/>
        <v>0</v>
      </c>
      <c r="AH36" s="115">
        <f t="shared" si="4"/>
        <v>9000</v>
      </c>
      <c r="AI36" s="115">
        <f t="shared" si="4"/>
        <v>0</v>
      </c>
      <c r="AJ36" s="115">
        <f t="shared" si="4"/>
        <v>10000</v>
      </c>
      <c r="AK36" s="115">
        <f t="shared" si="4"/>
        <v>0</v>
      </c>
      <c r="AL36" s="115">
        <f t="shared" si="4"/>
        <v>55000</v>
      </c>
      <c r="AM36" s="115">
        <f t="shared" si="4"/>
        <v>0</v>
      </c>
      <c r="AN36" s="115">
        <f t="shared" si="4"/>
        <v>41000</v>
      </c>
      <c r="AO36" s="115">
        <f t="shared" si="4"/>
        <v>22000</v>
      </c>
      <c r="AP36" s="115">
        <f t="shared" si="4"/>
        <v>181000</v>
      </c>
      <c r="AQ36" s="115">
        <f t="shared" si="4"/>
        <v>19000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3669000</v>
      </c>
      <c r="AY36" s="1"/>
      <c r="AZ36" s="1"/>
      <c r="BA36" s="1"/>
      <c r="BB36" s="1"/>
    </row>
    <row r="37" spans="1:54" ht="22" thickTop="1" thickBot="1">
      <c r="A37" s="81" t="s">
        <v>33</v>
      </c>
      <c r="B37" s="82">
        <f t="shared" ref="B37:I37" si="5">SUM(B5:B35)</f>
        <v>3141000</v>
      </c>
      <c r="C37" s="82">
        <f t="shared" si="5"/>
        <v>528000</v>
      </c>
      <c r="D37" s="82">
        <f t="shared" si="5"/>
        <v>3669000</v>
      </c>
      <c r="E37" s="83">
        <f t="shared" si="5"/>
        <v>278000</v>
      </c>
      <c r="F37" s="84">
        <f t="shared" si="5"/>
        <v>202259</v>
      </c>
      <c r="G37" s="84">
        <f t="shared" si="5"/>
        <v>37609</v>
      </c>
      <c r="H37" s="132">
        <f t="shared" si="5"/>
        <v>517868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45500</v>
      </c>
      <c r="T38" s="544">
        <f>T36*0.3</f>
        <v>0</v>
      </c>
      <c r="U38" s="532">
        <f>U36*0.4</f>
        <v>467600</v>
      </c>
      <c r="V38" s="532">
        <f>V36*0.3</f>
        <v>7500</v>
      </c>
      <c r="W38" s="534">
        <f>W36*0.35</f>
        <v>247799.99999999997</v>
      </c>
      <c r="X38" s="534">
        <f>X36*0.3</f>
        <v>0</v>
      </c>
      <c r="Y38" s="538">
        <f>Y36</f>
        <v>163000</v>
      </c>
      <c r="Z38" s="536">
        <f>Z36*0.35</f>
        <v>152250</v>
      </c>
      <c r="AA38" s="530">
        <f>AA36*0.3</f>
        <v>0</v>
      </c>
      <c r="AB38" s="530">
        <f>AB36*0.35</f>
        <v>59149.999999999993</v>
      </c>
      <c r="AC38" s="530">
        <f>AC36*0.3</f>
        <v>0</v>
      </c>
      <c r="AD38" s="530">
        <f>AD36*0.35</f>
        <v>5250</v>
      </c>
      <c r="AE38" s="530">
        <f>AE36*0.3</f>
        <v>0</v>
      </c>
      <c r="AF38" s="530">
        <f>AF36*0.35</f>
        <v>181300</v>
      </c>
      <c r="AG38" s="530">
        <f>AG36*0.3</f>
        <v>0</v>
      </c>
      <c r="AH38" s="530">
        <f>AH36*0.35</f>
        <v>3150</v>
      </c>
      <c r="AI38" s="530">
        <f>AI36*0.3</f>
        <v>0</v>
      </c>
      <c r="AJ38" s="530">
        <f>AJ36*0.35</f>
        <v>3500</v>
      </c>
      <c r="AK38" s="530">
        <f>AK36*0.3</f>
        <v>0</v>
      </c>
      <c r="AL38" s="530">
        <f>AL36*0.35</f>
        <v>19250</v>
      </c>
      <c r="AM38" s="530">
        <f>AM36*0.3</f>
        <v>0</v>
      </c>
      <c r="AN38" s="536">
        <f t="shared" ref="AN38:AV38" si="6">AN36*0.35</f>
        <v>14349.999999999998</v>
      </c>
      <c r="AO38" s="530">
        <f t="shared" si="6"/>
        <v>7699.9999999999991</v>
      </c>
      <c r="AP38" s="530">
        <f t="shared" si="6"/>
        <v>63349.999999999993</v>
      </c>
      <c r="AQ38" s="530">
        <f t="shared" si="6"/>
        <v>6650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  <c r="AY38" s="182"/>
      <c r="AZ38" s="182"/>
      <c r="BA38" s="182"/>
      <c r="BB38" s="182"/>
    </row>
    <row r="39" spans="1:54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  <c r="AY39" s="182"/>
      <c r="AZ39" s="182"/>
      <c r="BA39" s="182"/>
      <c r="BB39" s="182"/>
    </row>
    <row r="40" spans="1:54">
      <c r="A40" s="1"/>
      <c r="B40" s="552">
        <f>B1</f>
        <v>12</v>
      </c>
      <c r="C40" s="547"/>
      <c r="D40" s="548">
        <v>240000</v>
      </c>
      <c r="E40" s="549"/>
      <c r="F40" s="1"/>
      <c r="G40" s="488">
        <v>44538</v>
      </c>
      <c r="H40" s="485" t="s">
        <v>278</v>
      </c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  <c r="AY40" s="182"/>
      <c r="AZ40" s="182"/>
      <c r="BA40" s="182"/>
      <c r="BB40" s="182"/>
    </row>
    <row r="41" spans="1:54">
      <c r="A41" s="1"/>
      <c r="B41" s="182"/>
      <c r="C41" s="1"/>
      <c r="D41" s="1"/>
      <c r="E41" s="372"/>
      <c r="F41" s="1"/>
      <c r="G41" s="487" t="s">
        <v>331</v>
      </c>
      <c r="H41" s="486">
        <v>14250</v>
      </c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  <c r="AY41" s="182"/>
      <c r="AZ41" s="182"/>
      <c r="BA41" s="182"/>
      <c r="BB41" s="182"/>
    </row>
    <row r="42" spans="1:54">
      <c r="A42" s="1"/>
      <c r="B42" s="496" t="s">
        <v>307</v>
      </c>
      <c r="C42" s="496"/>
      <c r="D42" s="496" t="s">
        <v>308</v>
      </c>
      <c r="E42" s="496"/>
      <c r="F42" s="1"/>
      <c r="G42" s="487" t="s">
        <v>332</v>
      </c>
      <c r="H42" s="486">
        <v>35000</v>
      </c>
      <c r="I42" s="1"/>
      <c r="J42" s="181" t="s">
        <v>337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>
      <c r="A43" s="1"/>
      <c r="B43" s="546">
        <f>B37-D40-H41-H42</f>
        <v>2851750</v>
      </c>
      <c r="C43" s="547"/>
      <c r="D43" s="548">
        <f>D40-F37-G37</f>
        <v>132</v>
      </c>
      <c r="E43" s="549"/>
      <c r="F43" s="1"/>
      <c r="G43" s="181" t="s">
        <v>333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>
      <c r="A45" s="1"/>
      <c r="B45" s="91"/>
      <c r="C45" s="9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</sheetData>
  <mergeCells count="86">
    <mergeCell ref="B43:C43"/>
    <mergeCell ref="D43:E43"/>
    <mergeCell ref="B39:C39"/>
    <mergeCell ref="D39:E39"/>
    <mergeCell ref="B40:C40"/>
    <mergeCell ref="D40:E40"/>
    <mergeCell ref="B42:C42"/>
    <mergeCell ref="D42:E42"/>
    <mergeCell ref="AW38:AW39"/>
    <mergeCell ref="AL38:AL39"/>
    <mergeCell ref="AM38:AM39"/>
    <mergeCell ref="AN38:AN39"/>
    <mergeCell ref="AO38:AO39"/>
    <mergeCell ref="AP38:AP39"/>
    <mergeCell ref="AQ38:AQ39"/>
    <mergeCell ref="AR38:AR39"/>
    <mergeCell ref="AS38:AS39"/>
    <mergeCell ref="AT38:AT39"/>
    <mergeCell ref="AU38:AU39"/>
    <mergeCell ref="AV38:AV39"/>
    <mergeCell ref="AK38:AK39"/>
    <mergeCell ref="Z38:Z39"/>
    <mergeCell ref="AA38:AA39"/>
    <mergeCell ref="AB38:AB39"/>
    <mergeCell ref="AC38:AC39"/>
    <mergeCell ref="AD38:AD39"/>
    <mergeCell ref="AE38:AE39"/>
    <mergeCell ref="AF38:AF39"/>
    <mergeCell ref="AG38:AG39"/>
    <mergeCell ref="AH38:AH39"/>
    <mergeCell ref="AI38:AI39"/>
    <mergeCell ref="AJ38:AJ39"/>
    <mergeCell ref="Y38:Y39"/>
    <mergeCell ref="M10:N10"/>
    <mergeCell ref="N11:N12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AX3:AX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L3:AL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Z3:Z4"/>
    <mergeCell ref="J3:J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I3:I4"/>
    <mergeCell ref="A1:A2"/>
    <mergeCell ref="B1:B2"/>
    <mergeCell ref="A3:A4"/>
    <mergeCell ref="B3:D3"/>
    <mergeCell ref="E3:H3"/>
  </mergeCells>
  <phoneticPr fontId="7"/>
  <dataValidations count="2">
    <dataValidation type="list" allowBlank="1" showErrorMessage="1" sqref="Q3:Q4 AD3:AD4 S3:S4 U3:U4 AL3:AL4 AH3:AH4 Z3:Z4 AF3:AF4 AJ3:AJ4 W3:W4 AB3:AB4 AV3:AV4 AN3:AN4 AO3:AU3" xr:uid="{4D805E89-22A4-E440-923B-4F3D7B138D6B}">
      <formula1>名前</formula1>
    </dataValidation>
    <dataValidation allowBlank="1" showErrorMessage="1" sqref="R3:R4 AI3:AI4 T3:T4 AC3:AC4 AA3:AA4 AE3:AE4 AG3:AG4 AK3:AK4 AW3:AW4 V3:V4 AM3:AM4 X3:X4 Y3" xr:uid="{753F9A16-0126-2A43-90CC-EB62F161BE31}"/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9C7B-392F-FC46-B17E-472DBCFA0ACB}">
  <dimension ref="A1:AX46"/>
  <sheetViews>
    <sheetView topLeftCell="D1" zoomScale="65" workbookViewId="0">
      <selection activeCell="B43" sqref="B43:C43"/>
    </sheetView>
  </sheetViews>
  <sheetFormatPr baseColWidth="10" defaultRowHeight="20"/>
  <cols>
    <col min="1" max="1" width="15.28515625" customWidth="1"/>
    <col min="2" max="2" width="11.5703125" bestFit="1" customWidth="1"/>
    <col min="40" max="40" width="13" bestFit="1" customWidth="1"/>
  </cols>
  <sheetData>
    <row r="1" spans="1:50">
      <c r="A1" s="498">
        <v>2021</v>
      </c>
      <c r="B1" s="500">
        <v>1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317</v>
      </c>
      <c r="AA3" s="494">
        <v>0.3</v>
      </c>
      <c r="AB3" s="492" t="s">
        <v>318</v>
      </c>
      <c r="AC3" s="494">
        <v>0.3</v>
      </c>
      <c r="AD3" s="496" t="s">
        <v>329</v>
      </c>
      <c r="AE3" s="494">
        <v>0.3</v>
      </c>
      <c r="AF3" s="527" t="s">
        <v>120</v>
      </c>
      <c r="AG3" s="494">
        <v>0.3</v>
      </c>
      <c r="AH3" s="514" t="s">
        <v>262</v>
      </c>
      <c r="AI3" s="494">
        <v>0.3</v>
      </c>
      <c r="AJ3" s="496" t="s">
        <v>339</v>
      </c>
      <c r="AK3" s="494">
        <v>0.3</v>
      </c>
      <c r="AL3" s="496" t="s">
        <v>248</v>
      </c>
      <c r="AM3" s="523">
        <v>0.3</v>
      </c>
      <c r="AN3" s="496" t="s">
        <v>162</v>
      </c>
      <c r="AO3" s="520" t="s">
        <v>273</v>
      </c>
      <c r="AP3" s="520" t="s">
        <v>280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5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</row>
    <row r="5" spans="1:50">
      <c r="A5" s="21">
        <f t="shared" ref="A5:A35" si="0">IF(DAY(DATE($A$1,$B$1,ROW()-4))=ROW()-4,DATE($A$1,$B$1,ROW()-4),"")</f>
        <v>44197</v>
      </c>
      <c r="B5" s="23">
        <v>0</v>
      </c>
      <c r="C5" s="23"/>
      <c r="D5" s="24">
        <f t="shared" ref="D5:D35" si="1">SUM(B5:C5)</f>
        <v>0</v>
      </c>
      <c r="E5" s="25"/>
      <c r="F5" s="26"/>
      <c r="G5" s="27"/>
      <c r="H5" s="216">
        <f t="shared" ref="H5:H35" si="2">SUM(E5:G5)</f>
        <v>0</v>
      </c>
      <c r="I5" s="27"/>
      <c r="J5" s="28"/>
      <c r="K5" s="29"/>
      <c r="L5" s="1"/>
      <c r="M5" s="1"/>
      <c r="N5" s="1"/>
      <c r="O5" s="1"/>
      <c r="P5" s="55">
        <v>44197</v>
      </c>
      <c r="Q5" s="35"/>
      <c r="R5" s="138"/>
      <c r="S5" s="139"/>
      <c r="T5" s="138"/>
      <c r="U5" s="190"/>
      <c r="V5" s="138"/>
      <c r="W5" s="141"/>
      <c r="X5" s="138"/>
      <c r="Y5" s="166"/>
      <c r="Z5" s="142"/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0</v>
      </c>
    </row>
    <row r="6" spans="1:50">
      <c r="A6" s="21">
        <f t="shared" si="0"/>
        <v>44198</v>
      </c>
      <c r="B6" s="38">
        <v>0</v>
      </c>
      <c r="C6" s="23"/>
      <c r="D6" s="24">
        <f t="shared" si="1"/>
        <v>0</v>
      </c>
      <c r="E6" s="40"/>
      <c r="F6" s="35"/>
      <c r="G6" s="27"/>
      <c r="H6" s="216">
        <f t="shared" si="2"/>
        <v>0</v>
      </c>
      <c r="I6" s="35"/>
      <c r="J6" s="41"/>
      <c r="K6" s="29"/>
      <c r="L6" s="1"/>
      <c r="M6" s="1"/>
      <c r="N6" s="1"/>
      <c r="O6" s="1"/>
      <c r="P6" s="55">
        <v>44198</v>
      </c>
      <c r="Q6" s="35"/>
      <c r="R6" s="138"/>
      <c r="S6" s="139"/>
      <c r="T6" s="138"/>
      <c r="U6" s="143"/>
      <c r="V6" s="138"/>
      <c r="W6" s="147"/>
      <c r="X6" s="138"/>
      <c r="Y6" s="166"/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0</v>
      </c>
    </row>
    <row r="7" spans="1:50">
      <c r="A7" s="21">
        <f t="shared" si="0"/>
        <v>44199</v>
      </c>
      <c r="B7" s="38">
        <v>226000</v>
      </c>
      <c r="C7" s="23">
        <v>24000</v>
      </c>
      <c r="D7" s="24">
        <f t="shared" si="1"/>
        <v>250000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44199</v>
      </c>
      <c r="Q7" s="35"/>
      <c r="R7" s="138"/>
      <c r="S7" s="139"/>
      <c r="T7" s="138"/>
      <c r="U7" s="143">
        <v>157000</v>
      </c>
      <c r="V7" s="138"/>
      <c r="W7" s="147">
        <v>49000</v>
      </c>
      <c r="X7" s="138">
        <v>20000</v>
      </c>
      <c r="Y7" s="166"/>
      <c r="Z7" s="142">
        <v>24000</v>
      </c>
      <c r="AA7" s="138"/>
      <c r="AB7" s="139"/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250000</v>
      </c>
    </row>
    <row r="8" spans="1:50">
      <c r="A8" s="21">
        <f t="shared" si="0"/>
        <v>44200</v>
      </c>
      <c r="B8" s="38">
        <v>224000</v>
      </c>
      <c r="C8" s="23"/>
      <c r="D8" s="24">
        <f t="shared" si="1"/>
        <v>224000</v>
      </c>
      <c r="E8" s="40">
        <f>2040+12184+17040+14760</f>
        <v>46024</v>
      </c>
      <c r="F8" s="35"/>
      <c r="G8" s="27">
        <f>2997+654+617</f>
        <v>4268</v>
      </c>
      <c r="H8" s="216">
        <f t="shared" si="2"/>
        <v>50292</v>
      </c>
      <c r="I8" s="35"/>
      <c r="J8" s="41"/>
      <c r="K8" s="29"/>
      <c r="L8" s="1"/>
      <c r="M8" s="1"/>
      <c r="N8" s="1"/>
      <c r="O8" s="1"/>
      <c r="P8" s="55">
        <v>44200</v>
      </c>
      <c r="Q8" s="35"/>
      <c r="R8" s="138"/>
      <c r="S8" s="139"/>
      <c r="T8" s="138"/>
      <c r="U8" s="143">
        <v>27000</v>
      </c>
      <c r="V8" s="138"/>
      <c r="W8" s="147">
        <v>197000</v>
      </c>
      <c r="X8" s="138"/>
      <c r="Y8" s="166"/>
      <c r="Z8" s="142"/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224000</v>
      </c>
    </row>
    <row r="9" spans="1:50">
      <c r="A9" s="21">
        <f t="shared" si="0"/>
        <v>44201</v>
      </c>
      <c r="B9" s="38">
        <v>138000</v>
      </c>
      <c r="C9" s="23"/>
      <c r="D9" s="24">
        <f t="shared" si="1"/>
        <v>138000</v>
      </c>
      <c r="E9" s="40"/>
      <c r="F9" s="35"/>
      <c r="G9" s="27">
        <f>382</f>
        <v>382</v>
      </c>
      <c r="H9" s="216">
        <f t="shared" si="2"/>
        <v>382</v>
      </c>
      <c r="I9" s="35"/>
      <c r="J9" s="41"/>
      <c r="K9" s="29"/>
      <c r="L9" s="1"/>
      <c r="M9" s="1"/>
      <c r="N9" s="1"/>
      <c r="O9" s="1"/>
      <c r="P9" s="55">
        <v>44201</v>
      </c>
      <c r="Q9" s="35"/>
      <c r="R9" s="138"/>
      <c r="S9" s="139"/>
      <c r="T9" s="138"/>
      <c r="U9" s="139">
        <v>20000</v>
      </c>
      <c r="V9" s="138"/>
      <c r="W9" s="152">
        <v>71000</v>
      </c>
      <c r="X9" s="138"/>
      <c r="Y9" s="138"/>
      <c r="Z9" s="139">
        <v>18000</v>
      </c>
      <c r="AA9" s="138"/>
      <c r="AB9" s="139">
        <v>29000</v>
      </c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138000</v>
      </c>
    </row>
    <row r="10" spans="1:50">
      <c r="A10" s="21">
        <f t="shared" si="0"/>
        <v>44202</v>
      </c>
      <c r="B10" s="38">
        <v>40000</v>
      </c>
      <c r="C10" s="23"/>
      <c r="D10" s="24">
        <f t="shared" si="1"/>
        <v>40000</v>
      </c>
      <c r="E10" s="40"/>
      <c r="F10" s="35"/>
      <c r="G10" s="27">
        <v>994</v>
      </c>
      <c r="H10" s="216">
        <f t="shared" si="2"/>
        <v>994</v>
      </c>
      <c r="I10" s="35"/>
      <c r="J10" s="41"/>
      <c r="K10" s="29"/>
      <c r="L10" s="1"/>
      <c r="M10" s="516" t="s">
        <v>26</v>
      </c>
      <c r="N10" s="517"/>
      <c r="O10" s="1"/>
      <c r="P10" s="55">
        <v>44202</v>
      </c>
      <c r="Q10" s="35"/>
      <c r="R10" s="138"/>
      <c r="S10" s="139">
        <v>40000</v>
      </c>
      <c r="T10" s="138"/>
      <c r="U10" s="139"/>
      <c r="V10" s="138"/>
      <c r="W10" s="139"/>
      <c r="X10" s="138"/>
      <c r="Y10" s="138"/>
      <c r="Z10" s="139"/>
      <c r="AA10" s="138"/>
      <c r="AB10" s="139"/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40000</v>
      </c>
    </row>
    <row r="11" spans="1:50">
      <c r="A11" s="21">
        <f t="shared" si="0"/>
        <v>44203</v>
      </c>
      <c r="B11" s="38">
        <v>96000</v>
      </c>
      <c r="C11" s="23"/>
      <c r="D11" s="24">
        <f t="shared" si="1"/>
        <v>96000</v>
      </c>
      <c r="E11" s="40">
        <f>9900+14680</f>
        <v>24580</v>
      </c>
      <c r="F11" s="35"/>
      <c r="G11" s="27"/>
      <c r="H11" s="216">
        <f t="shared" si="2"/>
        <v>24580</v>
      </c>
      <c r="I11" s="35"/>
      <c r="J11" s="41"/>
      <c r="K11" s="29"/>
      <c r="L11" s="1"/>
      <c r="M11" s="47" t="s">
        <v>27</v>
      </c>
      <c r="N11" s="518"/>
      <c r="O11" s="1"/>
      <c r="P11" s="55">
        <v>44203</v>
      </c>
      <c r="Q11" s="35"/>
      <c r="R11" s="138"/>
      <c r="S11" s="139"/>
      <c r="T11" s="138"/>
      <c r="U11" s="139">
        <v>38000</v>
      </c>
      <c r="V11" s="138"/>
      <c r="W11" s="139">
        <v>18000</v>
      </c>
      <c r="X11" s="138"/>
      <c r="Y11" s="138"/>
      <c r="Z11" s="139">
        <v>32000</v>
      </c>
      <c r="AA11" s="138"/>
      <c r="AB11" s="139"/>
      <c r="AC11" s="138"/>
      <c r="AD11" s="151"/>
      <c r="AE11" s="138"/>
      <c r="AF11" s="149">
        <v>8000</v>
      </c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96000</v>
      </c>
    </row>
    <row r="12" spans="1:50">
      <c r="A12" s="21">
        <f t="shared" si="0"/>
        <v>44204</v>
      </c>
      <c r="B12" s="38">
        <v>102000</v>
      </c>
      <c r="C12" s="23"/>
      <c r="D12" s="24">
        <f t="shared" si="1"/>
        <v>102000</v>
      </c>
      <c r="E12" s="40">
        <v>1746</v>
      </c>
      <c r="F12" s="35"/>
      <c r="G12" s="27"/>
      <c r="H12" s="216">
        <f t="shared" si="2"/>
        <v>1746</v>
      </c>
      <c r="I12" s="35"/>
      <c r="J12" s="41"/>
      <c r="K12" s="29"/>
      <c r="L12" s="1"/>
      <c r="M12" s="47" t="s">
        <v>28</v>
      </c>
      <c r="N12" s="519"/>
      <c r="O12" s="1"/>
      <c r="P12" s="55">
        <v>44204</v>
      </c>
      <c r="Q12" s="35"/>
      <c r="R12" s="138"/>
      <c r="S12" s="139"/>
      <c r="T12" s="138"/>
      <c r="U12" s="139">
        <v>65000</v>
      </c>
      <c r="V12" s="138"/>
      <c r="W12" s="139">
        <v>37000</v>
      </c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102000</v>
      </c>
    </row>
    <row r="13" spans="1:50">
      <c r="A13" s="21">
        <f t="shared" si="0"/>
        <v>44205</v>
      </c>
      <c r="B13" s="38">
        <v>103000</v>
      </c>
      <c r="C13" s="23">
        <v>56000</v>
      </c>
      <c r="D13" s="24">
        <f t="shared" si="1"/>
        <v>159000</v>
      </c>
      <c r="E13" s="299" t="s">
        <v>338</v>
      </c>
      <c r="F13" s="35"/>
      <c r="G13" s="27">
        <v>753</v>
      </c>
      <c r="H13" s="216">
        <f t="shared" si="2"/>
        <v>753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44205</v>
      </c>
      <c r="Q13" s="35"/>
      <c r="R13" s="138"/>
      <c r="S13" s="139"/>
      <c r="T13" s="138"/>
      <c r="U13" s="139">
        <v>25000</v>
      </c>
      <c r="V13" s="138"/>
      <c r="W13" s="139">
        <v>64000</v>
      </c>
      <c r="X13" s="138"/>
      <c r="Y13" s="138"/>
      <c r="Z13" s="139">
        <v>12000</v>
      </c>
      <c r="AA13" s="138"/>
      <c r="AB13" s="139">
        <v>58000</v>
      </c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159000</v>
      </c>
    </row>
    <row r="14" spans="1:50">
      <c r="A14" s="21">
        <f t="shared" si="0"/>
        <v>44206</v>
      </c>
      <c r="B14" s="38">
        <v>181000</v>
      </c>
      <c r="C14" s="23"/>
      <c r="D14" s="24">
        <f t="shared" si="1"/>
        <v>181000</v>
      </c>
      <c r="E14" s="40">
        <f>15992+1164</f>
        <v>17156</v>
      </c>
      <c r="F14" s="44"/>
      <c r="G14" s="27">
        <v>537</v>
      </c>
      <c r="H14" s="216">
        <f t="shared" si="2"/>
        <v>17693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44206</v>
      </c>
      <c r="Q14" s="35"/>
      <c r="R14" s="138"/>
      <c r="S14" s="139"/>
      <c r="T14" s="138"/>
      <c r="U14" s="139">
        <v>118000</v>
      </c>
      <c r="V14" s="138"/>
      <c r="W14" s="139">
        <v>3000</v>
      </c>
      <c r="X14" s="138"/>
      <c r="Y14" s="138"/>
      <c r="Z14" s="139"/>
      <c r="AA14" s="138"/>
      <c r="AB14">
        <v>60000</v>
      </c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181000</v>
      </c>
    </row>
    <row r="15" spans="1:50">
      <c r="A15" s="21">
        <f t="shared" si="0"/>
        <v>44207</v>
      </c>
      <c r="B15" s="38">
        <v>85000</v>
      </c>
      <c r="C15" s="23">
        <v>9000</v>
      </c>
      <c r="D15" s="24">
        <f t="shared" si="1"/>
        <v>94000</v>
      </c>
      <c r="E15" s="40">
        <f>13324</f>
        <v>13324</v>
      </c>
      <c r="F15" s="35"/>
      <c r="G15" s="27"/>
      <c r="H15" s="216">
        <f t="shared" si="2"/>
        <v>13324</v>
      </c>
      <c r="I15" s="35"/>
      <c r="J15" s="41"/>
      <c r="K15" s="29"/>
      <c r="L15" s="1"/>
      <c r="M15" s="47" t="s">
        <v>31</v>
      </c>
      <c r="N15" s="35"/>
      <c r="O15" s="1"/>
      <c r="P15" s="55">
        <v>44207</v>
      </c>
      <c r="Q15" s="35"/>
      <c r="R15" s="138"/>
      <c r="S15" s="139"/>
      <c r="T15" s="138"/>
      <c r="U15" s="139">
        <v>29000</v>
      </c>
      <c r="V15" s="138"/>
      <c r="W15" s="139">
        <v>39000</v>
      </c>
      <c r="X15" s="138"/>
      <c r="Y15" s="138"/>
      <c r="Z15" s="139"/>
      <c r="AA15" s="138"/>
      <c r="AB15" s="139">
        <v>11000</v>
      </c>
      <c r="AC15" s="138"/>
      <c r="AD15" s="151"/>
      <c r="AE15" s="138"/>
      <c r="AF15" s="149"/>
      <c r="AG15" s="138"/>
      <c r="AH15" s="149">
        <v>15000</v>
      </c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94000</v>
      </c>
    </row>
    <row r="16" spans="1:50">
      <c r="A16" s="21">
        <f t="shared" si="0"/>
        <v>44208</v>
      </c>
      <c r="B16" s="38">
        <v>74000</v>
      </c>
      <c r="C16" s="23"/>
      <c r="D16" s="24">
        <f t="shared" si="1"/>
        <v>74000</v>
      </c>
      <c r="E16" s="40"/>
      <c r="F16" s="35"/>
      <c r="G16" s="27"/>
      <c r="H16" s="216">
        <f t="shared" si="2"/>
        <v>0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44208</v>
      </c>
      <c r="Q16" s="35"/>
      <c r="R16" s="138"/>
      <c r="S16" s="139"/>
      <c r="T16" s="138"/>
      <c r="U16" s="139">
        <v>11000</v>
      </c>
      <c r="V16" s="138"/>
      <c r="W16" s="139"/>
      <c r="X16" s="138"/>
      <c r="Y16" s="138"/>
      <c r="Z16" s="139">
        <v>63000</v>
      </c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74000</v>
      </c>
    </row>
    <row r="17" spans="1:50">
      <c r="A17" s="21">
        <f t="shared" si="0"/>
        <v>44209</v>
      </c>
      <c r="B17" s="38">
        <v>69000</v>
      </c>
      <c r="C17" s="23"/>
      <c r="D17" s="24">
        <f t="shared" si="1"/>
        <v>69000</v>
      </c>
      <c r="E17" s="40">
        <f>23390+3540</f>
        <v>26930</v>
      </c>
      <c r="F17" s="35"/>
      <c r="G17" s="27"/>
      <c r="H17" s="216">
        <f t="shared" si="2"/>
        <v>26930</v>
      </c>
      <c r="I17" s="35"/>
      <c r="J17" s="41"/>
      <c r="K17" s="29"/>
      <c r="L17" s="1"/>
      <c r="M17" s="47"/>
      <c r="N17" s="35"/>
      <c r="O17" s="1"/>
      <c r="P17" s="55">
        <v>44209</v>
      </c>
      <c r="Q17" s="35"/>
      <c r="R17" s="138"/>
      <c r="S17" s="139"/>
      <c r="T17" s="138"/>
      <c r="U17" s="139">
        <v>2000</v>
      </c>
      <c r="V17" s="138"/>
      <c r="W17" s="139"/>
      <c r="X17" s="138"/>
      <c r="Y17" s="138"/>
      <c r="Z17" s="139">
        <v>42000</v>
      </c>
      <c r="AA17" s="138"/>
      <c r="AB17" s="139"/>
      <c r="AC17" s="138"/>
      <c r="AD17" s="151"/>
      <c r="AE17" s="138"/>
      <c r="AF17" s="149"/>
      <c r="AG17" s="138"/>
      <c r="AH17" s="149">
        <v>25000</v>
      </c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69000</v>
      </c>
    </row>
    <row r="18" spans="1:50">
      <c r="A18" s="21">
        <f t="shared" si="0"/>
        <v>44210</v>
      </c>
      <c r="B18" s="38">
        <v>78000</v>
      </c>
      <c r="C18" s="23"/>
      <c r="D18" s="24">
        <f t="shared" si="1"/>
        <v>78000</v>
      </c>
      <c r="E18" s="40"/>
      <c r="F18" s="35"/>
      <c r="G18" s="27"/>
      <c r="H18" s="216">
        <f t="shared" si="2"/>
        <v>0</v>
      </c>
      <c r="I18" s="35"/>
      <c r="J18" s="41"/>
      <c r="K18" s="29"/>
      <c r="L18" s="1"/>
      <c r="M18" s="47"/>
      <c r="N18" s="35"/>
      <c r="O18" s="1"/>
      <c r="P18" s="55">
        <v>44210</v>
      </c>
      <c r="Q18" s="35"/>
      <c r="R18" s="138"/>
      <c r="S18" s="139"/>
      <c r="T18" s="138"/>
      <c r="U18" s="139">
        <v>40000</v>
      </c>
      <c r="V18" s="138"/>
      <c r="W18" s="139">
        <v>38000</v>
      </c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78000</v>
      </c>
    </row>
    <row r="19" spans="1:50">
      <c r="A19" s="21">
        <f t="shared" si="0"/>
        <v>44211</v>
      </c>
      <c r="B19" s="38">
        <v>87000</v>
      </c>
      <c r="C19" s="23"/>
      <c r="D19" s="24">
        <f t="shared" si="1"/>
        <v>87000</v>
      </c>
      <c r="E19" s="40"/>
      <c r="F19" s="35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56000</v>
      </c>
      <c r="O19" s="1"/>
      <c r="P19" s="55">
        <v>44211</v>
      </c>
      <c r="Q19" s="35"/>
      <c r="R19" s="138"/>
      <c r="S19" s="139">
        <v>2000</v>
      </c>
      <c r="T19" s="138"/>
      <c r="U19" s="139">
        <v>46000</v>
      </c>
      <c r="V19" s="138"/>
      <c r="W19" s="139">
        <v>35000</v>
      </c>
      <c r="X19" s="138"/>
      <c r="Y19" s="138"/>
      <c r="Z19" s="139">
        <v>4000</v>
      </c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87000</v>
      </c>
    </row>
    <row r="20" spans="1:50">
      <c r="A20" s="21">
        <f t="shared" si="0"/>
        <v>44212</v>
      </c>
      <c r="B20" s="38">
        <v>165000</v>
      </c>
      <c r="C20" s="38">
        <v>19000</v>
      </c>
      <c r="D20" s="24">
        <f t="shared" si="1"/>
        <v>184000</v>
      </c>
      <c r="E20" s="40">
        <v>10182</v>
      </c>
      <c r="F20" s="35"/>
      <c r="G20" s="27"/>
      <c r="H20" s="216">
        <f t="shared" si="2"/>
        <v>10182</v>
      </c>
      <c r="I20" s="35"/>
      <c r="J20" s="41"/>
      <c r="K20" s="29"/>
      <c r="L20" s="1"/>
      <c r="M20" s="51"/>
      <c r="N20" s="7"/>
      <c r="O20" s="1"/>
      <c r="P20" s="55">
        <v>44212</v>
      </c>
      <c r="Q20" s="35"/>
      <c r="R20" s="138"/>
      <c r="S20" s="139"/>
      <c r="T20" s="138"/>
      <c r="U20" s="139">
        <v>10000</v>
      </c>
      <c r="V20" s="138"/>
      <c r="W20" s="139">
        <v>49000</v>
      </c>
      <c r="X20" s="138"/>
      <c r="Y20" s="138">
        <v>7000</v>
      </c>
      <c r="Z20" s="139">
        <v>20000</v>
      </c>
      <c r="AA20" s="138"/>
      <c r="AB20" s="139"/>
      <c r="AC20" s="138"/>
      <c r="AD20" s="151"/>
      <c r="AE20" s="138"/>
      <c r="AF20" s="149"/>
      <c r="AG20" s="138"/>
      <c r="AH20" s="149">
        <v>68000</v>
      </c>
      <c r="AI20" s="138"/>
      <c r="AJ20" s="149"/>
      <c r="AK20" s="138"/>
      <c r="AL20" s="149"/>
      <c r="AM20" s="138"/>
      <c r="AN20" s="138">
        <v>20000</v>
      </c>
      <c r="AO20" s="138">
        <v>10000</v>
      </c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184000</v>
      </c>
    </row>
    <row r="21" spans="1:50">
      <c r="A21" s="21">
        <f t="shared" si="0"/>
        <v>44213</v>
      </c>
      <c r="B21" s="38">
        <v>9000</v>
      </c>
      <c r="C21" s="38"/>
      <c r="D21" s="24">
        <f t="shared" si="1"/>
        <v>9000</v>
      </c>
      <c r="E21" s="40">
        <v>15800</v>
      </c>
      <c r="F21" s="35"/>
      <c r="G21" s="27">
        <v>770</v>
      </c>
      <c r="H21" s="216">
        <f t="shared" si="2"/>
        <v>16570</v>
      </c>
      <c r="I21" s="35"/>
      <c r="J21" s="41"/>
      <c r="K21" s="29"/>
      <c r="L21" s="1"/>
      <c r="M21" s="1"/>
      <c r="N21" s="1"/>
      <c r="O21" s="1"/>
      <c r="P21" s="55">
        <v>44213</v>
      </c>
      <c r="Q21" s="35"/>
      <c r="R21" s="138"/>
      <c r="S21" s="139"/>
      <c r="T21" s="138"/>
      <c r="U21" s="139"/>
      <c r="V21" s="138"/>
      <c r="W21" s="139"/>
      <c r="X21" s="138"/>
      <c r="Y21" s="138"/>
      <c r="Z21" s="139">
        <v>9000</v>
      </c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9000</v>
      </c>
    </row>
    <row r="22" spans="1:50">
      <c r="A22" s="21">
        <f t="shared" si="0"/>
        <v>44214</v>
      </c>
      <c r="B22" s="38">
        <v>96000</v>
      </c>
      <c r="C22" s="38"/>
      <c r="D22" s="24">
        <f t="shared" si="1"/>
        <v>96000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55">
        <v>44214</v>
      </c>
      <c r="Q22" s="35"/>
      <c r="R22" s="138"/>
      <c r="S22" s="139"/>
      <c r="T22" s="138"/>
      <c r="U22" s="139">
        <v>27000</v>
      </c>
      <c r="V22" s="138"/>
      <c r="W22" s="139">
        <v>10000</v>
      </c>
      <c r="X22" s="138"/>
      <c r="Y22" s="375">
        <v>19000</v>
      </c>
      <c r="Z22" s="153"/>
      <c r="AA22" s="138"/>
      <c r="AB22" s="139">
        <v>40000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96000</v>
      </c>
    </row>
    <row r="23" spans="1:50">
      <c r="A23" s="21">
        <f t="shared" si="0"/>
        <v>44215</v>
      </c>
      <c r="B23" s="38">
        <v>76000</v>
      </c>
      <c r="C23" s="38"/>
      <c r="D23" s="24">
        <f t="shared" si="1"/>
        <v>76000</v>
      </c>
      <c r="E23" s="40"/>
      <c r="F23" s="35">
        <v>5742</v>
      </c>
      <c r="G23" s="27"/>
      <c r="H23" s="216">
        <f t="shared" si="2"/>
        <v>5742</v>
      </c>
      <c r="I23" s="35"/>
      <c r="J23" s="41"/>
      <c r="K23" s="29"/>
      <c r="L23" s="1"/>
      <c r="M23" s="1"/>
      <c r="N23" s="1"/>
      <c r="O23" s="1"/>
      <c r="P23" s="55">
        <v>44215</v>
      </c>
      <c r="Q23" s="35"/>
      <c r="R23" s="138"/>
      <c r="S23" s="139"/>
      <c r="T23" s="138"/>
      <c r="U23" s="139">
        <v>3000</v>
      </c>
      <c r="V23" s="138"/>
      <c r="W23" s="139">
        <v>36000</v>
      </c>
      <c r="X23" s="138"/>
      <c r="Y23" s="138">
        <v>21000</v>
      </c>
      <c r="Z23" s="139">
        <v>13000</v>
      </c>
      <c r="AA23" s="138"/>
      <c r="AB23" s="139">
        <v>3000</v>
      </c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76000</v>
      </c>
    </row>
    <row r="24" spans="1:50">
      <c r="A24" s="21">
        <f t="shared" si="0"/>
        <v>44216</v>
      </c>
      <c r="B24" s="38">
        <v>7000</v>
      </c>
      <c r="C24" s="38"/>
      <c r="D24" s="24">
        <f t="shared" si="1"/>
        <v>7000</v>
      </c>
      <c r="E24" s="40"/>
      <c r="F24" s="35"/>
      <c r="G24" s="27"/>
      <c r="H24" s="216">
        <f t="shared" si="2"/>
        <v>0</v>
      </c>
      <c r="I24" s="35"/>
      <c r="J24" s="41"/>
      <c r="K24" s="29"/>
      <c r="L24" s="1"/>
      <c r="M24" s="53" t="s">
        <v>34</v>
      </c>
      <c r="N24" s="38">
        <f>D37</f>
        <v>3244000</v>
      </c>
      <c r="O24" s="1"/>
      <c r="P24" s="55">
        <v>44216</v>
      </c>
      <c r="Q24" s="35"/>
      <c r="R24" s="138"/>
      <c r="S24" s="139"/>
      <c r="T24" s="138"/>
      <c r="U24" s="139">
        <v>7000</v>
      </c>
      <c r="V24" s="138"/>
      <c r="W24" s="139"/>
      <c r="X24" s="138"/>
      <c r="Y24" s="138"/>
      <c r="Z24" s="139"/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7000</v>
      </c>
    </row>
    <row r="25" spans="1:50">
      <c r="A25" s="21">
        <f t="shared" si="0"/>
        <v>44217</v>
      </c>
      <c r="B25" s="38">
        <v>71000</v>
      </c>
      <c r="C25" s="38"/>
      <c r="D25" s="24">
        <f t="shared" si="1"/>
        <v>71000</v>
      </c>
      <c r="E25" s="40"/>
      <c r="F25" s="35"/>
      <c r="G25" s="27"/>
      <c r="H25" s="216">
        <f t="shared" si="2"/>
        <v>0</v>
      </c>
      <c r="I25" s="35"/>
      <c r="J25" s="41"/>
      <c r="K25" s="29"/>
      <c r="L25" s="1"/>
      <c r="M25" s="53" t="s">
        <v>35</v>
      </c>
      <c r="N25" s="38">
        <f>H37</f>
        <v>224813</v>
      </c>
      <c r="O25" s="1"/>
      <c r="P25" s="55">
        <v>44217</v>
      </c>
      <c r="Q25" s="35"/>
      <c r="R25" s="138"/>
      <c r="S25" s="139"/>
      <c r="T25" s="138"/>
      <c r="U25" s="139">
        <v>34000</v>
      </c>
      <c r="V25" s="138"/>
      <c r="W25" s="139">
        <v>14000</v>
      </c>
      <c r="X25" s="138"/>
      <c r="Y25" s="138">
        <v>5000</v>
      </c>
      <c r="Z25" s="139">
        <v>18000</v>
      </c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71000</v>
      </c>
    </row>
    <row r="26" spans="1:50">
      <c r="A26" s="21">
        <f t="shared" si="0"/>
        <v>44218</v>
      </c>
      <c r="B26" s="38">
        <v>151000</v>
      </c>
      <c r="C26" s="38">
        <v>25000</v>
      </c>
      <c r="D26" s="24">
        <f t="shared" si="1"/>
        <v>176000</v>
      </c>
      <c r="E26" s="40"/>
      <c r="F26" s="35"/>
      <c r="G26" s="27">
        <v>1071</v>
      </c>
      <c r="H26" s="216">
        <f t="shared" si="2"/>
        <v>1071</v>
      </c>
      <c r="I26" s="35"/>
      <c r="J26" s="41"/>
      <c r="K26" s="29"/>
      <c r="L26" s="1"/>
      <c r="M26" s="53" t="s">
        <v>36</v>
      </c>
      <c r="N26" s="38">
        <f>N19</f>
        <v>56000</v>
      </c>
      <c r="O26" s="1"/>
      <c r="P26" s="55">
        <v>44218</v>
      </c>
      <c r="Q26" s="35"/>
      <c r="R26" s="138"/>
      <c r="S26" s="139"/>
      <c r="T26" s="138"/>
      <c r="U26" s="139">
        <v>55000</v>
      </c>
      <c r="V26" s="138"/>
      <c r="W26" s="139">
        <v>50000</v>
      </c>
      <c r="X26" s="138"/>
      <c r="Y26" s="138"/>
      <c r="Z26" s="139">
        <v>12000</v>
      </c>
      <c r="AA26" s="138"/>
      <c r="AB26" s="139"/>
      <c r="AC26" s="138"/>
      <c r="AD26" s="151"/>
      <c r="AE26" s="138"/>
      <c r="AF26" s="149"/>
      <c r="AG26" s="138"/>
      <c r="AH26" s="149"/>
      <c r="AI26" s="138"/>
      <c r="AJ26" s="149">
        <v>59000</v>
      </c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176000</v>
      </c>
    </row>
    <row r="27" spans="1:50">
      <c r="A27" s="21">
        <f t="shared" si="0"/>
        <v>44219</v>
      </c>
      <c r="B27" s="38">
        <v>58000</v>
      </c>
      <c r="C27" s="38">
        <v>65000</v>
      </c>
      <c r="D27" s="24">
        <f t="shared" si="1"/>
        <v>123000</v>
      </c>
      <c r="E27" s="40">
        <v>10750</v>
      </c>
      <c r="F27" s="35"/>
      <c r="G27" s="27"/>
      <c r="H27" s="216">
        <f t="shared" si="2"/>
        <v>10750</v>
      </c>
      <c r="I27" s="35"/>
      <c r="J27" s="41"/>
      <c r="K27" s="29"/>
      <c r="L27" s="1"/>
      <c r="M27" s="60" t="s">
        <v>37</v>
      </c>
      <c r="N27" s="61">
        <f>IFERROR(N24-N25-N26, "")</f>
        <v>2963187</v>
      </c>
      <c r="O27" s="1"/>
      <c r="P27" s="55">
        <v>44219</v>
      </c>
      <c r="Q27" s="35"/>
      <c r="R27" s="138"/>
      <c r="S27" s="139"/>
      <c r="T27" s="138"/>
      <c r="U27" s="139"/>
      <c r="V27" s="138"/>
      <c r="W27" s="139">
        <v>76000</v>
      </c>
      <c r="X27" s="138"/>
      <c r="Y27" s="138"/>
      <c r="Z27" s="139">
        <v>40000</v>
      </c>
      <c r="AA27" s="138"/>
      <c r="AB27" s="139">
        <v>7000</v>
      </c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123000</v>
      </c>
    </row>
    <row r="28" spans="1:50">
      <c r="A28" s="21">
        <f t="shared" si="0"/>
        <v>44220</v>
      </c>
      <c r="B28" s="38">
        <v>0</v>
      </c>
      <c r="C28" s="38"/>
      <c r="D28" s="24">
        <f t="shared" si="1"/>
        <v>0</v>
      </c>
      <c r="E28" s="299"/>
      <c r="F28" s="35"/>
      <c r="G28" s="27"/>
      <c r="H28" s="216">
        <f t="shared" si="2"/>
        <v>0</v>
      </c>
      <c r="I28" s="35"/>
      <c r="J28" s="41"/>
      <c r="K28" s="29"/>
      <c r="L28" s="1"/>
      <c r="M28" s="1"/>
      <c r="N28" s="1"/>
      <c r="O28" s="1"/>
      <c r="P28" s="55">
        <v>44220</v>
      </c>
      <c r="Q28" s="35"/>
      <c r="R28" s="138"/>
      <c r="S28" s="139"/>
      <c r="T28" s="138"/>
      <c r="U28" s="139"/>
      <c r="V28" s="138"/>
      <c r="W28" s="139"/>
      <c r="X28" s="138"/>
      <c r="Y28" s="138"/>
      <c r="Z28" s="139"/>
      <c r="AA28" s="138"/>
      <c r="AB28" s="139"/>
      <c r="AC28" s="138"/>
      <c r="AD28" s="151"/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0</v>
      </c>
    </row>
    <row r="29" spans="1:50">
      <c r="A29" s="21">
        <f t="shared" si="0"/>
        <v>44221</v>
      </c>
      <c r="B29" s="38">
        <v>98000</v>
      </c>
      <c r="C29" s="38">
        <v>19000</v>
      </c>
      <c r="D29" s="24">
        <f t="shared" si="1"/>
        <v>117000</v>
      </c>
      <c r="E29" s="40">
        <v>15228</v>
      </c>
      <c r="F29" s="35"/>
      <c r="G29" s="27">
        <v>654</v>
      </c>
      <c r="H29" s="216">
        <f t="shared" si="2"/>
        <v>15882</v>
      </c>
      <c r="I29" s="35"/>
      <c r="J29" s="41"/>
      <c r="K29" s="29"/>
      <c r="L29" s="1"/>
      <c r="M29" s="1"/>
      <c r="N29" s="1"/>
      <c r="O29" s="1"/>
      <c r="P29" s="55">
        <v>44221</v>
      </c>
      <c r="Q29" s="35"/>
      <c r="R29" s="138"/>
      <c r="S29" s="139">
        <v>19000</v>
      </c>
      <c r="T29" s="138"/>
      <c r="U29" s="139">
        <v>30000</v>
      </c>
      <c r="V29" s="138"/>
      <c r="W29" s="139">
        <v>60000</v>
      </c>
      <c r="X29" s="138"/>
      <c r="Y29" s="138"/>
      <c r="Z29" s="139">
        <v>8000</v>
      </c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117000</v>
      </c>
    </row>
    <row r="30" spans="1:50">
      <c r="A30" s="21">
        <f t="shared" si="0"/>
        <v>44222</v>
      </c>
      <c r="B30" s="38">
        <v>68000</v>
      </c>
      <c r="C30" s="38">
        <v>39000</v>
      </c>
      <c r="D30" s="24">
        <f t="shared" si="1"/>
        <v>107000</v>
      </c>
      <c r="E30" s="40"/>
      <c r="F30" s="35"/>
      <c r="G30" s="27">
        <v>466</v>
      </c>
      <c r="H30" s="216">
        <f t="shared" si="2"/>
        <v>466</v>
      </c>
      <c r="I30" s="35"/>
      <c r="J30" s="41"/>
      <c r="K30" s="29"/>
      <c r="L30" s="1"/>
      <c r="M30" s="1"/>
      <c r="N30" s="1"/>
      <c r="O30" s="1"/>
      <c r="P30" s="55">
        <v>44222</v>
      </c>
      <c r="Q30" s="35"/>
      <c r="R30" s="138"/>
      <c r="S30" s="139"/>
      <c r="T30" s="138"/>
      <c r="U30" s="139">
        <v>47000</v>
      </c>
      <c r="V30" s="138"/>
      <c r="W30" s="139">
        <v>36000</v>
      </c>
      <c r="X30" s="138"/>
      <c r="Y30" s="138">
        <v>15000</v>
      </c>
      <c r="Z30" s="139"/>
      <c r="AA30" s="138"/>
      <c r="AB30" s="139"/>
      <c r="AC30" s="138"/>
      <c r="AD30" s="151">
        <v>9000</v>
      </c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107000</v>
      </c>
    </row>
    <row r="31" spans="1:50">
      <c r="A31" s="21">
        <f t="shared" si="0"/>
        <v>44223</v>
      </c>
      <c r="B31" s="38">
        <v>394000</v>
      </c>
      <c r="C31" s="38"/>
      <c r="D31" s="24">
        <f t="shared" si="1"/>
        <v>394000</v>
      </c>
      <c r="E31" s="40">
        <v>11012</v>
      </c>
      <c r="F31" s="35"/>
      <c r="G31" s="27"/>
      <c r="H31" s="216">
        <f t="shared" si="2"/>
        <v>11012</v>
      </c>
      <c r="I31" s="35"/>
      <c r="J31" s="41"/>
      <c r="K31" s="29"/>
      <c r="L31" s="1"/>
      <c r="M31" s="1"/>
      <c r="N31" s="1"/>
      <c r="O31" s="1"/>
      <c r="P31" s="55">
        <v>44223</v>
      </c>
      <c r="Q31" s="35"/>
      <c r="R31" s="138"/>
      <c r="S31" s="139"/>
      <c r="T31" s="138"/>
      <c r="U31" s="139">
        <v>174000</v>
      </c>
      <c r="V31" s="138"/>
      <c r="W31" s="139">
        <v>153000</v>
      </c>
      <c r="X31" s="138"/>
      <c r="Y31" s="138"/>
      <c r="Z31" s="139"/>
      <c r="AA31" s="138"/>
      <c r="AB31" s="139">
        <v>50000</v>
      </c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>
        <v>17000</v>
      </c>
      <c r="AQ31" s="138"/>
      <c r="AR31" s="138"/>
      <c r="AS31" s="138"/>
      <c r="AT31" s="138"/>
      <c r="AU31" s="138"/>
      <c r="AV31" s="149"/>
      <c r="AW31" s="138"/>
      <c r="AX31" s="2">
        <f t="shared" si="3"/>
        <v>394000</v>
      </c>
    </row>
    <row r="32" spans="1:50">
      <c r="A32" s="21">
        <f t="shared" si="0"/>
        <v>44224</v>
      </c>
      <c r="B32" s="38">
        <v>0</v>
      </c>
      <c r="C32" s="38"/>
      <c r="D32" s="24">
        <f t="shared" si="1"/>
        <v>0</v>
      </c>
      <c r="E32" s="40"/>
      <c r="F32" s="35"/>
      <c r="G32" s="27"/>
      <c r="H32" s="216">
        <f t="shared" si="2"/>
        <v>0</v>
      </c>
      <c r="I32" s="35"/>
      <c r="J32" s="41"/>
      <c r="K32" s="29"/>
      <c r="L32" s="1"/>
      <c r="M32" s="1"/>
      <c r="N32" s="1"/>
      <c r="O32" s="1"/>
      <c r="P32" s="55">
        <v>44224</v>
      </c>
      <c r="Q32" s="35"/>
      <c r="R32" s="138"/>
      <c r="S32" s="139"/>
      <c r="T32" s="138"/>
      <c r="U32" s="139"/>
      <c r="V32" s="138"/>
      <c r="W32" s="139"/>
      <c r="X32" s="138"/>
      <c r="Y32" s="138"/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0</v>
      </c>
    </row>
    <row r="33" spans="1:50">
      <c r="A33" s="21">
        <f t="shared" si="0"/>
        <v>44225</v>
      </c>
      <c r="B33" s="38">
        <v>74000</v>
      </c>
      <c r="C33" s="38">
        <v>76000</v>
      </c>
      <c r="D33" s="24">
        <f t="shared" si="1"/>
        <v>150000</v>
      </c>
      <c r="E33" s="40">
        <v>6444</v>
      </c>
      <c r="F33" s="35"/>
      <c r="G33" s="27"/>
      <c r="H33" s="216">
        <f t="shared" si="2"/>
        <v>6444</v>
      </c>
      <c r="I33" s="35"/>
      <c r="J33" s="41"/>
      <c r="K33" s="29"/>
      <c r="L33" s="1"/>
      <c r="M33" s="1"/>
      <c r="N33" s="1"/>
      <c r="O33" s="1"/>
      <c r="P33" s="55">
        <v>44225</v>
      </c>
      <c r="Q33" s="56"/>
      <c r="R33" s="138"/>
      <c r="S33" s="139">
        <v>60000</v>
      </c>
      <c r="T33" s="138"/>
      <c r="U33" s="139">
        <v>23000</v>
      </c>
      <c r="V33" s="138"/>
      <c r="W33" s="139">
        <v>56000</v>
      </c>
      <c r="X33" s="138"/>
      <c r="Y33" s="138"/>
      <c r="Z33" s="139"/>
      <c r="AA33" s="138"/>
      <c r="AB33" s="139">
        <v>11000</v>
      </c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150000</v>
      </c>
    </row>
    <row r="34" spans="1:50">
      <c r="A34" s="21">
        <f t="shared" si="0"/>
        <v>44226</v>
      </c>
      <c r="B34" s="38">
        <v>40000</v>
      </c>
      <c r="C34" s="38"/>
      <c r="D34" s="24">
        <f t="shared" si="1"/>
        <v>40000</v>
      </c>
      <c r="E34" s="40"/>
      <c r="F34" s="35"/>
      <c r="G34" s="27"/>
      <c r="H34" s="216">
        <f t="shared" si="2"/>
        <v>0</v>
      </c>
      <c r="I34" s="35"/>
      <c r="J34" s="41"/>
      <c r="K34" s="29"/>
      <c r="L34" s="1"/>
      <c r="M34" s="1"/>
      <c r="N34" s="1"/>
      <c r="O34" s="1"/>
      <c r="P34" s="55">
        <v>44226</v>
      </c>
      <c r="Q34" s="137"/>
      <c r="R34" s="154"/>
      <c r="S34" s="155"/>
      <c r="T34" s="154"/>
      <c r="U34" s="155"/>
      <c r="V34" s="154"/>
      <c r="W34" s="155">
        <v>40000</v>
      </c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40000</v>
      </c>
    </row>
    <row r="35" spans="1:50" ht="21" thickBot="1">
      <c r="A35" s="21">
        <f t="shared" si="0"/>
        <v>44227</v>
      </c>
      <c r="B35" s="38">
        <v>92000</v>
      </c>
      <c r="C35" s="38">
        <v>10000</v>
      </c>
      <c r="D35" s="24">
        <f t="shared" si="1"/>
        <v>102000</v>
      </c>
      <c r="E35" s="40"/>
      <c r="F35" s="35">
        <v>10000</v>
      </c>
      <c r="G35" s="27"/>
      <c r="H35" s="216">
        <f t="shared" si="2"/>
        <v>10000</v>
      </c>
      <c r="I35" s="57"/>
      <c r="J35" s="58"/>
      <c r="K35" s="59"/>
      <c r="L35" s="1"/>
      <c r="M35" s="1"/>
      <c r="N35" s="1"/>
      <c r="O35" s="1"/>
      <c r="P35" s="55">
        <v>44227</v>
      </c>
      <c r="Q35" s="115"/>
      <c r="R35" s="158"/>
      <c r="S35" s="147"/>
      <c r="T35" s="158"/>
      <c r="U35" s="147">
        <v>44000</v>
      </c>
      <c r="V35" s="158"/>
      <c r="W35" s="147">
        <v>46000</v>
      </c>
      <c r="X35" s="158"/>
      <c r="Y35" s="158"/>
      <c r="Z35" s="147">
        <v>7000</v>
      </c>
      <c r="AA35" s="158"/>
      <c r="AB35" s="147">
        <v>5000</v>
      </c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102000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121000</v>
      </c>
      <c r="T36" s="115">
        <f t="shared" si="4"/>
        <v>0</v>
      </c>
      <c r="U36" s="115">
        <f t="shared" si="4"/>
        <v>1032000</v>
      </c>
      <c r="V36" s="115">
        <f t="shared" si="4"/>
        <v>0</v>
      </c>
      <c r="W36" s="115">
        <f t="shared" si="4"/>
        <v>1177000</v>
      </c>
      <c r="X36" s="115">
        <f t="shared" si="4"/>
        <v>20000</v>
      </c>
      <c r="Y36" s="115">
        <f t="shared" si="4"/>
        <v>67000</v>
      </c>
      <c r="Z36" s="115">
        <f t="shared" si="4"/>
        <v>322000</v>
      </c>
      <c r="AA36" s="115">
        <f t="shared" si="4"/>
        <v>0</v>
      </c>
      <c r="AB36" s="115">
        <f t="shared" si="4"/>
        <v>274000</v>
      </c>
      <c r="AC36" s="115">
        <f t="shared" si="4"/>
        <v>0</v>
      </c>
      <c r="AD36" s="115">
        <f t="shared" si="4"/>
        <v>9000</v>
      </c>
      <c r="AE36" s="115">
        <f t="shared" si="4"/>
        <v>0</v>
      </c>
      <c r="AF36" s="115">
        <f t="shared" si="4"/>
        <v>8000</v>
      </c>
      <c r="AG36" s="115">
        <f t="shared" si="4"/>
        <v>0</v>
      </c>
      <c r="AH36" s="115">
        <f t="shared" si="4"/>
        <v>108000</v>
      </c>
      <c r="AI36" s="115">
        <f t="shared" si="4"/>
        <v>0</v>
      </c>
      <c r="AJ36" s="115">
        <f t="shared" si="4"/>
        <v>59000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20000</v>
      </c>
      <c r="AO36" s="115">
        <f t="shared" si="4"/>
        <v>10000</v>
      </c>
      <c r="AP36" s="115">
        <f t="shared" si="4"/>
        <v>17000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3244000</v>
      </c>
    </row>
    <row r="37" spans="1:50" ht="22" thickTop="1" thickBot="1">
      <c r="A37" s="81" t="s">
        <v>33</v>
      </c>
      <c r="B37" s="82">
        <f t="shared" ref="B37:I37" si="5">SUM(B5:B35)</f>
        <v>2902000</v>
      </c>
      <c r="C37" s="82">
        <f t="shared" si="5"/>
        <v>342000</v>
      </c>
      <c r="D37" s="82">
        <f t="shared" si="5"/>
        <v>3244000</v>
      </c>
      <c r="E37" s="83">
        <f t="shared" si="5"/>
        <v>199176</v>
      </c>
      <c r="F37" s="84">
        <f t="shared" si="5"/>
        <v>15742</v>
      </c>
      <c r="G37" s="84">
        <f t="shared" si="5"/>
        <v>9895</v>
      </c>
      <c r="H37" s="132">
        <f t="shared" si="5"/>
        <v>224813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42350</v>
      </c>
      <c r="T38" s="544">
        <f>T36*0.3</f>
        <v>0</v>
      </c>
      <c r="U38" s="532">
        <f>U36*0.4</f>
        <v>412800</v>
      </c>
      <c r="V38" s="532">
        <f>V36*0.3</f>
        <v>0</v>
      </c>
      <c r="W38" s="534">
        <f>W36*0.4</f>
        <v>470800</v>
      </c>
      <c r="X38" s="534">
        <f>X36*0.3</f>
        <v>6000</v>
      </c>
      <c r="Y38" s="538">
        <f>Y36</f>
        <v>67000</v>
      </c>
      <c r="Z38" s="536">
        <f>Z36*0.35</f>
        <v>112700</v>
      </c>
      <c r="AA38" s="530">
        <f>AA36*0.3</f>
        <v>0</v>
      </c>
      <c r="AB38" s="530">
        <f>AB36*0.35</f>
        <v>95900</v>
      </c>
      <c r="AC38" s="530">
        <f>AC36*0.3</f>
        <v>0</v>
      </c>
      <c r="AD38" s="530">
        <f>AD36*0.35</f>
        <v>3150</v>
      </c>
      <c r="AE38" s="530">
        <f>AE36*0.3</f>
        <v>0</v>
      </c>
      <c r="AF38" s="530">
        <f>AF36*0.35</f>
        <v>2800</v>
      </c>
      <c r="AG38" s="530">
        <f>AG36*0.3</f>
        <v>0</v>
      </c>
      <c r="AH38" s="530">
        <f>AH36*0.35</f>
        <v>37800</v>
      </c>
      <c r="AI38" s="530">
        <f>AI36*0.3</f>
        <v>0</v>
      </c>
      <c r="AJ38" s="530">
        <f>AJ36*0.35</f>
        <v>20650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7000</v>
      </c>
      <c r="AO38" s="530">
        <f t="shared" si="6"/>
        <v>3500</v>
      </c>
      <c r="AP38" s="530">
        <f t="shared" si="6"/>
        <v>5950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1"/>
      <c r="B40" s="552">
        <f>B1</f>
        <v>1</v>
      </c>
      <c r="C40" s="547"/>
      <c r="D40" s="548">
        <f>F37+G37</f>
        <v>25637</v>
      </c>
      <c r="E40" s="549"/>
      <c r="F40" s="1"/>
      <c r="G40" s="181" t="s">
        <v>340</v>
      </c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1"/>
      <c r="B41" s="182"/>
      <c r="C41" s="1"/>
      <c r="D41" s="1"/>
      <c r="E41" s="372"/>
      <c r="F41" s="1"/>
      <c r="G41" s="181" t="s">
        <v>341</v>
      </c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1"/>
      <c r="B42" s="496" t="s">
        <v>307</v>
      </c>
      <c r="C42" s="496"/>
      <c r="D42" s="496" t="s">
        <v>308</v>
      </c>
      <c r="E42" s="496"/>
      <c r="F42" s="1"/>
      <c r="G42" s="641">
        <v>10000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546">
        <f>B37-D40-D43</f>
        <v>2876000</v>
      </c>
      <c r="C43" s="547"/>
      <c r="D43" s="548">
        <v>363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9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</sheetData>
  <mergeCells count="86">
    <mergeCell ref="B43:C43"/>
    <mergeCell ref="D43:E43"/>
    <mergeCell ref="B39:C39"/>
    <mergeCell ref="D39:E39"/>
    <mergeCell ref="B40:C40"/>
    <mergeCell ref="D40:E40"/>
    <mergeCell ref="B42:C42"/>
    <mergeCell ref="D42:E42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M10:N10"/>
    <mergeCell ref="N11:N12"/>
    <mergeCell ref="P38:P39"/>
    <mergeCell ref="Q38:Q39"/>
    <mergeCell ref="R38:R39"/>
    <mergeCell ref="S38:S39"/>
    <mergeCell ref="AS3:AS4"/>
    <mergeCell ref="AT3:AT4"/>
    <mergeCell ref="AU3:AU4"/>
    <mergeCell ref="AV3:AV4"/>
    <mergeCell ref="AW3:AW4"/>
    <mergeCell ref="AX3:AX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J3:J4"/>
    <mergeCell ref="P3:P4"/>
    <mergeCell ref="Q3:Q4"/>
    <mergeCell ref="R3:R4"/>
    <mergeCell ref="S3:S4"/>
    <mergeCell ref="T3:T4"/>
    <mergeCell ref="A1:A2"/>
    <mergeCell ref="B1:B2"/>
    <mergeCell ref="A3:A4"/>
    <mergeCell ref="B3:D3"/>
    <mergeCell ref="E3:H3"/>
    <mergeCell ref="I3:I4"/>
  </mergeCells>
  <phoneticPr fontId="7"/>
  <dataValidations count="2">
    <dataValidation type="list" allowBlank="1" showErrorMessage="1" sqref="Q3:Q4 AD3:AD4 S3:S4 U3:U4 AL3:AL4 AH3:AH4 Z3:Z4 AF3:AF4 AJ3:AJ4 W3:W4 AB3:AB4 AV3:AV4 AN3:AN4 AO3:AU3" xr:uid="{A5A43896-5100-5148-8B46-AB49E9F56663}">
      <formula1>名前</formula1>
    </dataValidation>
    <dataValidation allowBlank="1" showErrorMessage="1" sqref="R3:R4 AI3:AI4 T3:T4 AC3:AC4 AA3:AA4 AE3:AE4 AG3:AG4 AK3:AK4 AW3:AW4 V3:V4 AM3:AM4 X3:X4 Y3" xr:uid="{9431C16D-7206-C44E-95C1-381C993E099D}"/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A064-75F9-7744-882E-F13E0D0DEE12}">
  <dimension ref="A1:AX47"/>
  <sheetViews>
    <sheetView topLeftCell="I1" zoomScale="84" workbookViewId="0">
      <selection activeCell="E5" sqref="E5"/>
    </sheetView>
  </sheetViews>
  <sheetFormatPr baseColWidth="10" defaultRowHeight="20"/>
  <cols>
    <col min="1" max="1" width="14.42578125" bestFit="1" customWidth="1"/>
  </cols>
  <sheetData>
    <row r="1" spans="1:50">
      <c r="A1" s="498">
        <v>2021</v>
      </c>
      <c r="B1" s="500">
        <v>2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297</v>
      </c>
      <c r="AC3" s="494">
        <v>0.3</v>
      </c>
      <c r="AD3" s="496" t="s">
        <v>329</v>
      </c>
      <c r="AE3" s="494">
        <v>0.3</v>
      </c>
      <c r="AF3" s="527" t="s">
        <v>120</v>
      </c>
      <c r="AG3" s="494">
        <v>0.3</v>
      </c>
      <c r="AH3" s="492" t="s">
        <v>262</v>
      </c>
      <c r="AI3" s="494">
        <v>0.3</v>
      </c>
      <c r="AJ3" s="496" t="s">
        <v>334</v>
      </c>
      <c r="AK3" s="494">
        <v>0.3</v>
      </c>
      <c r="AL3" s="496" t="s">
        <v>248</v>
      </c>
      <c r="AM3" s="523">
        <v>0.3</v>
      </c>
      <c r="AN3" s="496" t="s">
        <v>248</v>
      </c>
      <c r="AO3" s="520" t="s">
        <v>248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</row>
    <row r="5" spans="1:50">
      <c r="A5" s="21">
        <f t="shared" ref="A5:A35" si="0">IF(DAY(DATE($A$1,$B$1,ROW()-4))=ROW()-4,DATE($A$1,$B$1,ROW()-4),"")</f>
        <v>44228</v>
      </c>
      <c r="B5" s="23">
        <v>71000</v>
      </c>
      <c r="C5" s="23"/>
      <c r="D5" s="24">
        <f t="shared" ref="D5:D35" si="1">SUM(B5:C5)</f>
        <v>71000</v>
      </c>
      <c r="E5" s="421">
        <f>4762+15540+30190</f>
        <v>50492</v>
      </c>
      <c r="F5" s="26"/>
      <c r="G5" s="27"/>
      <c r="H5" s="216">
        <f t="shared" ref="H5:H35" si="2">SUM(E5:G5)</f>
        <v>50492</v>
      </c>
      <c r="I5" s="27"/>
      <c r="J5" s="28"/>
      <c r="K5" s="29"/>
      <c r="L5" s="1"/>
      <c r="M5" s="1"/>
      <c r="N5" s="1"/>
      <c r="O5" s="1"/>
      <c r="P5" s="55">
        <v>44197</v>
      </c>
      <c r="Q5" s="35"/>
      <c r="R5" s="138"/>
      <c r="S5" s="139"/>
      <c r="T5" s="138"/>
      <c r="U5" s="190">
        <v>4000</v>
      </c>
      <c r="V5" s="138"/>
      <c r="W5" s="141">
        <v>4000</v>
      </c>
      <c r="X5" s="138"/>
      <c r="Y5" s="166"/>
      <c r="Z5" s="142">
        <v>40000</v>
      </c>
      <c r="AA5" s="138"/>
      <c r="AB5" s="143">
        <v>23000</v>
      </c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71000</v>
      </c>
    </row>
    <row r="6" spans="1:50">
      <c r="A6" s="21">
        <f t="shared" si="0"/>
        <v>44229</v>
      </c>
      <c r="B6" s="38">
        <v>197000</v>
      </c>
      <c r="C6" s="23">
        <v>19000</v>
      </c>
      <c r="D6" s="24">
        <f t="shared" si="1"/>
        <v>216000</v>
      </c>
      <c r="E6" s="40"/>
      <c r="F6" s="35"/>
      <c r="G6" s="27"/>
      <c r="H6" s="216">
        <f t="shared" si="2"/>
        <v>0</v>
      </c>
      <c r="I6" s="35"/>
      <c r="J6" s="41"/>
      <c r="K6" s="29"/>
      <c r="L6" s="1"/>
      <c r="M6" s="1"/>
      <c r="N6" s="1"/>
      <c r="O6" s="1"/>
      <c r="P6" s="55">
        <v>44198</v>
      </c>
      <c r="Q6" s="35"/>
      <c r="R6" s="138"/>
      <c r="S6" s="139"/>
      <c r="T6" s="138"/>
      <c r="U6" s="143">
        <v>11000</v>
      </c>
      <c r="V6" s="138"/>
      <c r="W6" s="147">
        <v>132000</v>
      </c>
      <c r="X6" s="138"/>
      <c r="Y6" s="166"/>
      <c r="Z6" s="142">
        <v>50000</v>
      </c>
      <c r="AA6" s="138"/>
      <c r="AB6" s="143">
        <v>23000</v>
      </c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216000</v>
      </c>
    </row>
    <row r="7" spans="1:50">
      <c r="A7" s="21">
        <f t="shared" si="0"/>
        <v>44230</v>
      </c>
      <c r="B7" s="38">
        <v>37000</v>
      </c>
      <c r="C7" s="23">
        <v>5000</v>
      </c>
      <c r="D7" s="24">
        <f t="shared" si="1"/>
        <v>42000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44199</v>
      </c>
      <c r="Q7" s="35"/>
      <c r="R7" s="138"/>
      <c r="S7" s="139"/>
      <c r="T7" s="138"/>
      <c r="U7" s="143">
        <v>29000</v>
      </c>
      <c r="V7" s="138"/>
      <c r="W7" s="147">
        <v>5000</v>
      </c>
      <c r="X7" s="138"/>
      <c r="Y7" s="166"/>
      <c r="Z7" s="142"/>
      <c r="AA7" s="138"/>
      <c r="AB7" s="139">
        <v>8000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42000</v>
      </c>
    </row>
    <row r="8" spans="1:50">
      <c r="A8" s="21">
        <f t="shared" si="0"/>
        <v>44231</v>
      </c>
      <c r="B8" s="38">
        <v>44000</v>
      </c>
      <c r="C8" s="23"/>
      <c r="D8" s="24">
        <f t="shared" si="1"/>
        <v>44000</v>
      </c>
      <c r="E8" s="40">
        <v>22804</v>
      </c>
      <c r="F8" s="35"/>
      <c r="G8" s="27"/>
      <c r="H8" s="216">
        <f t="shared" si="2"/>
        <v>22804</v>
      </c>
      <c r="I8" s="35"/>
      <c r="J8" s="41"/>
      <c r="K8" s="29"/>
      <c r="L8" s="1"/>
      <c r="M8" s="1"/>
      <c r="N8" s="1"/>
      <c r="O8" s="1"/>
      <c r="P8" s="55">
        <v>44200</v>
      </c>
      <c r="Q8" s="35"/>
      <c r="R8" s="138"/>
      <c r="S8" s="139"/>
      <c r="T8" s="138"/>
      <c r="U8" s="143"/>
      <c r="V8" s="138"/>
      <c r="W8" s="147"/>
      <c r="X8" s="138"/>
      <c r="Y8" s="166">
        <v>14000</v>
      </c>
      <c r="Z8" s="142">
        <v>30000</v>
      </c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44000</v>
      </c>
    </row>
    <row r="9" spans="1:50">
      <c r="A9" s="21">
        <f t="shared" si="0"/>
        <v>44232</v>
      </c>
      <c r="B9" s="38">
        <v>46000</v>
      </c>
      <c r="C9" s="23">
        <v>24000</v>
      </c>
      <c r="D9" s="24">
        <f t="shared" si="1"/>
        <v>70000</v>
      </c>
      <c r="E9" s="40"/>
      <c r="F9" s="35">
        <f>12111+11875</f>
        <v>23986</v>
      </c>
      <c r="G9" s="27">
        <v>586</v>
      </c>
      <c r="H9" s="216">
        <f t="shared" si="2"/>
        <v>24572</v>
      </c>
      <c r="I9" s="35"/>
      <c r="J9" s="41"/>
      <c r="K9" s="29"/>
      <c r="L9" s="1"/>
      <c r="M9" s="1"/>
      <c r="N9" s="1"/>
      <c r="O9" s="1"/>
      <c r="P9" s="55">
        <v>44201</v>
      </c>
      <c r="Q9" s="35"/>
      <c r="R9" s="138"/>
      <c r="S9" s="139"/>
      <c r="T9" s="138"/>
      <c r="U9" s="139">
        <v>24000</v>
      </c>
      <c r="V9" s="138"/>
      <c r="W9" s="152">
        <v>42000</v>
      </c>
      <c r="X9" s="138"/>
      <c r="Y9" s="138"/>
      <c r="Z9" s="139"/>
      <c r="AA9" s="138"/>
      <c r="AB9" s="139"/>
      <c r="AC9" s="138"/>
      <c r="AD9" s="151"/>
      <c r="AE9" s="138"/>
      <c r="AF9" s="149">
        <v>4000</v>
      </c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70000</v>
      </c>
    </row>
    <row r="10" spans="1:50">
      <c r="A10" s="21">
        <f t="shared" si="0"/>
        <v>44233</v>
      </c>
      <c r="B10" s="38">
        <v>71000</v>
      </c>
      <c r="C10" s="23"/>
      <c r="D10" s="24">
        <f t="shared" si="1"/>
        <v>71000</v>
      </c>
      <c r="E10" s="40"/>
      <c r="F10" s="35"/>
      <c r="G10" s="27"/>
      <c r="H10" s="216">
        <f t="shared" si="2"/>
        <v>0</v>
      </c>
      <c r="I10" s="35"/>
      <c r="J10" s="41"/>
      <c r="K10" s="29"/>
      <c r="L10" s="1"/>
      <c r="M10" s="516" t="s">
        <v>26</v>
      </c>
      <c r="N10" s="517"/>
      <c r="O10" s="1"/>
      <c r="P10" s="55">
        <v>44202</v>
      </c>
      <c r="Q10" s="35"/>
      <c r="R10" s="138"/>
      <c r="S10" s="139"/>
      <c r="T10" s="138"/>
      <c r="U10" s="139">
        <v>32000</v>
      </c>
      <c r="V10" s="138"/>
      <c r="W10" s="139"/>
      <c r="X10" s="138"/>
      <c r="Y10" s="138"/>
      <c r="Z10" s="139">
        <v>15000</v>
      </c>
      <c r="AA10" s="138"/>
      <c r="AB10" s="139">
        <v>8000</v>
      </c>
      <c r="AC10" s="138"/>
      <c r="AD10" s="151"/>
      <c r="AE10" s="138"/>
      <c r="AF10" s="149"/>
      <c r="AG10" s="138"/>
      <c r="AH10" s="149">
        <v>16000</v>
      </c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71000</v>
      </c>
    </row>
    <row r="11" spans="1:50">
      <c r="A11" s="21">
        <f t="shared" si="0"/>
        <v>44234</v>
      </c>
      <c r="B11" s="38">
        <v>20000</v>
      </c>
      <c r="C11" s="23">
        <v>14000</v>
      </c>
      <c r="D11" s="24">
        <f t="shared" si="1"/>
        <v>34000</v>
      </c>
      <c r="E11" s="40">
        <v>5847</v>
      </c>
      <c r="F11" s="35"/>
      <c r="G11" s="27">
        <v>654</v>
      </c>
      <c r="H11" s="216">
        <f t="shared" si="2"/>
        <v>6501</v>
      </c>
      <c r="I11" s="35"/>
      <c r="J11" s="41"/>
      <c r="K11" s="29"/>
      <c r="L11" s="1"/>
      <c r="M11" s="47" t="s">
        <v>27</v>
      </c>
      <c r="N11" s="518"/>
      <c r="O11" s="1"/>
      <c r="P11" s="55">
        <v>44203</v>
      </c>
      <c r="Q11" s="35"/>
      <c r="R11" s="138"/>
      <c r="S11" s="139"/>
      <c r="T11" s="138"/>
      <c r="U11" s="139">
        <v>14000</v>
      </c>
      <c r="V11" s="138"/>
      <c r="W11" s="139">
        <v>20000</v>
      </c>
      <c r="X11" s="138"/>
      <c r="Y11" s="138"/>
      <c r="Z11" s="139"/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34000</v>
      </c>
    </row>
    <row r="12" spans="1:50">
      <c r="A12" s="21">
        <f t="shared" si="0"/>
        <v>44235</v>
      </c>
      <c r="B12" s="38">
        <v>60000</v>
      </c>
      <c r="C12" s="23"/>
      <c r="D12" s="24">
        <f t="shared" si="1"/>
        <v>60000</v>
      </c>
      <c r="E12" s="40">
        <f>17472+4800</f>
        <v>22272</v>
      </c>
      <c r="F12" s="35"/>
      <c r="G12" s="27"/>
      <c r="H12" s="216">
        <f t="shared" si="2"/>
        <v>22272</v>
      </c>
      <c r="I12" s="35"/>
      <c r="J12" s="41"/>
      <c r="K12" s="29"/>
      <c r="L12" s="1"/>
      <c r="M12" s="47" t="s">
        <v>28</v>
      </c>
      <c r="N12" s="519"/>
      <c r="O12" s="1"/>
      <c r="P12" s="55">
        <v>44204</v>
      </c>
      <c r="Q12" s="35"/>
      <c r="R12" s="138"/>
      <c r="S12" s="139"/>
      <c r="T12" s="138"/>
      <c r="U12" s="139"/>
      <c r="V12" s="138"/>
      <c r="W12" s="139">
        <v>45000</v>
      </c>
      <c r="X12" s="138"/>
      <c r="Y12" s="138"/>
      <c r="Z12" s="139">
        <v>15000</v>
      </c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60000</v>
      </c>
    </row>
    <row r="13" spans="1:50">
      <c r="A13" s="21">
        <f t="shared" si="0"/>
        <v>44236</v>
      </c>
      <c r="B13" s="38">
        <v>57000</v>
      </c>
      <c r="C13" s="23">
        <v>52000</v>
      </c>
      <c r="D13" s="24">
        <f t="shared" si="1"/>
        <v>109000</v>
      </c>
      <c r="E13" s="40"/>
      <c r="F13" s="35">
        <v>7007</v>
      </c>
      <c r="G13" s="27"/>
      <c r="H13" s="216">
        <f t="shared" si="2"/>
        <v>7007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44205</v>
      </c>
      <c r="Q13" s="35"/>
      <c r="R13" s="138"/>
      <c r="S13" s="139">
        <v>45000</v>
      </c>
      <c r="T13" s="138"/>
      <c r="U13" s="139">
        <v>47000</v>
      </c>
      <c r="V13" s="138"/>
      <c r="W13" s="139"/>
      <c r="X13" s="138"/>
      <c r="Y13" s="138"/>
      <c r="Z13" s="139"/>
      <c r="AA13" s="138"/>
      <c r="AB13" s="139"/>
      <c r="AC13" s="138"/>
      <c r="AD13" s="151"/>
      <c r="AE13" s="138"/>
      <c r="AF13" s="149"/>
      <c r="AG13" s="138"/>
      <c r="AH13" s="149">
        <v>17000</v>
      </c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109000</v>
      </c>
    </row>
    <row r="14" spans="1:50">
      <c r="A14" s="21">
        <f t="shared" si="0"/>
        <v>44237</v>
      </c>
      <c r="B14" s="38">
        <v>50000</v>
      </c>
      <c r="C14" s="23"/>
      <c r="D14" s="24">
        <f t="shared" si="1"/>
        <v>50000</v>
      </c>
      <c r="E14" s="40"/>
      <c r="F14" s="44"/>
      <c r="G14" s="27">
        <v>748</v>
      </c>
      <c r="H14" s="216">
        <f t="shared" si="2"/>
        <v>748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44206</v>
      </c>
      <c r="Q14" s="35"/>
      <c r="R14" s="138"/>
      <c r="S14" s="139">
        <v>19000</v>
      </c>
      <c r="T14" s="138"/>
      <c r="U14" s="139">
        <v>12000</v>
      </c>
      <c r="V14" s="138"/>
      <c r="W14" s="139">
        <v>4000</v>
      </c>
      <c r="X14" s="138"/>
      <c r="Y14" s="138"/>
      <c r="Z14" s="139">
        <v>15000</v>
      </c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50000</v>
      </c>
    </row>
    <row r="15" spans="1:50">
      <c r="A15" s="21">
        <f t="shared" si="0"/>
        <v>44238</v>
      </c>
      <c r="B15" s="38">
        <v>56000</v>
      </c>
      <c r="C15" s="23">
        <v>55000</v>
      </c>
      <c r="D15" s="24">
        <f t="shared" si="1"/>
        <v>111000</v>
      </c>
      <c r="E15" s="40"/>
      <c r="F15" s="35"/>
      <c r="G15" s="27"/>
      <c r="H15" s="216">
        <f t="shared" si="2"/>
        <v>0</v>
      </c>
      <c r="I15" s="35"/>
      <c r="J15" s="41"/>
      <c r="K15" s="29"/>
      <c r="L15" s="1"/>
      <c r="M15" s="47" t="s">
        <v>31</v>
      </c>
      <c r="N15" s="35"/>
      <c r="O15" s="1"/>
      <c r="P15" s="55">
        <v>44207</v>
      </c>
      <c r="Q15" s="35"/>
      <c r="R15" s="138"/>
      <c r="S15" s="139"/>
      <c r="T15" s="138"/>
      <c r="U15" s="139">
        <v>56000</v>
      </c>
      <c r="V15" s="138"/>
      <c r="W15" s="139">
        <v>55000</v>
      </c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111000</v>
      </c>
    </row>
    <row r="16" spans="1:50">
      <c r="A16" s="21">
        <f t="shared" si="0"/>
        <v>44239</v>
      </c>
      <c r="B16" s="38">
        <v>23000</v>
      </c>
      <c r="C16" s="23"/>
      <c r="D16" s="24">
        <f t="shared" si="1"/>
        <v>23000</v>
      </c>
      <c r="E16" s="40"/>
      <c r="F16" s="35">
        <v>2490</v>
      </c>
      <c r="G16" s="27"/>
      <c r="H16" s="216">
        <f t="shared" si="2"/>
        <v>2490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44208</v>
      </c>
      <c r="Q16" s="35"/>
      <c r="R16" s="138"/>
      <c r="S16" s="139"/>
      <c r="T16" s="138"/>
      <c r="U16" s="139">
        <v>17000</v>
      </c>
      <c r="V16" s="138"/>
      <c r="W16" s="139">
        <v>6000</v>
      </c>
      <c r="X16" s="138"/>
      <c r="Y16" s="138"/>
      <c r="Z16" s="139"/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23000</v>
      </c>
    </row>
    <row r="17" spans="1:50">
      <c r="A17" s="21">
        <f t="shared" si="0"/>
        <v>44240</v>
      </c>
      <c r="B17" s="38">
        <v>85000</v>
      </c>
      <c r="C17" s="23">
        <v>4000</v>
      </c>
      <c r="D17" s="24">
        <f t="shared" si="1"/>
        <v>89000</v>
      </c>
      <c r="E17" s="40">
        <v>14240</v>
      </c>
      <c r="F17" s="35"/>
      <c r="G17" s="27">
        <v>537</v>
      </c>
      <c r="H17" s="216">
        <f t="shared" si="2"/>
        <v>14777</v>
      </c>
      <c r="I17" s="35"/>
      <c r="J17" s="41"/>
      <c r="K17" s="29"/>
      <c r="L17" s="1"/>
      <c r="M17" s="47"/>
      <c r="N17" s="35"/>
      <c r="O17" s="1"/>
      <c r="P17" s="55">
        <v>44209</v>
      </c>
      <c r="Q17" s="35"/>
      <c r="R17" s="138"/>
      <c r="S17" s="139">
        <v>4000</v>
      </c>
      <c r="T17" s="138"/>
      <c r="U17" s="139">
        <v>62000</v>
      </c>
      <c r="V17" s="138"/>
      <c r="W17" s="139"/>
      <c r="X17" s="138"/>
      <c r="Y17" s="138"/>
      <c r="Z17" s="139">
        <v>23000</v>
      </c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89000</v>
      </c>
    </row>
    <row r="18" spans="1:50">
      <c r="A18" s="21">
        <f t="shared" si="0"/>
        <v>44241</v>
      </c>
      <c r="B18" s="38">
        <v>68000</v>
      </c>
      <c r="C18" s="23"/>
      <c r="D18" s="24">
        <f t="shared" si="1"/>
        <v>68000</v>
      </c>
      <c r="E18" s="40"/>
      <c r="F18" s="35"/>
      <c r="G18" s="27">
        <v>440</v>
      </c>
      <c r="H18" s="216">
        <f t="shared" si="2"/>
        <v>440</v>
      </c>
      <c r="I18" s="35"/>
      <c r="J18" s="41"/>
      <c r="K18" s="29"/>
      <c r="L18" s="1"/>
      <c r="M18" s="47"/>
      <c r="N18" s="35"/>
      <c r="O18" s="1"/>
      <c r="P18" s="55">
        <v>44210</v>
      </c>
      <c r="Q18" s="35"/>
      <c r="R18" s="138"/>
      <c r="S18" s="139"/>
      <c r="T18" s="138"/>
      <c r="U18" s="139">
        <v>13000</v>
      </c>
      <c r="V18" s="138"/>
      <c r="W18" s="139">
        <v>55000</v>
      </c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68000</v>
      </c>
    </row>
    <row r="19" spans="1:50">
      <c r="A19" s="21">
        <f t="shared" si="0"/>
        <v>44242</v>
      </c>
      <c r="B19" s="38">
        <v>74000</v>
      </c>
      <c r="C19" s="23">
        <v>22000</v>
      </c>
      <c r="D19" s="24">
        <f t="shared" si="1"/>
        <v>96000</v>
      </c>
      <c r="E19" s="40">
        <v>9564</v>
      </c>
      <c r="F19" s="35"/>
      <c r="G19" s="27"/>
      <c r="H19" s="216">
        <f t="shared" si="2"/>
        <v>9564</v>
      </c>
      <c r="I19" s="35"/>
      <c r="J19" s="41"/>
      <c r="K19" s="29"/>
      <c r="L19" s="1"/>
      <c r="M19" s="49" t="s">
        <v>33</v>
      </c>
      <c r="N19" s="50">
        <f>SUM(N11:N18)</f>
        <v>56000</v>
      </c>
      <c r="O19" s="1"/>
      <c r="P19" s="55">
        <v>44211</v>
      </c>
      <c r="Q19" s="35"/>
      <c r="R19" s="138"/>
      <c r="S19" s="139"/>
      <c r="T19" s="138"/>
      <c r="U19" s="139">
        <v>15000</v>
      </c>
      <c r="V19" s="138"/>
      <c r="W19" s="139">
        <v>22000</v>
      </c>
      <c r="X19" s="138"/>
      <c r="Y19" s="138">
        <v>10000</v>
      </c>
      <c r="Z19" s="139">
        <v>49000</v>
      </c>
      <c r="AA19" s="138"/>
      <c r="AB19" s="139"/>
      <c r="AC19" s="138"/>
      <c r="AD19" s="151"/>
      <c r="AE19" s="138"/>
      <c r="AF19" s="149"/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96000</v>
      </c>
    </row>
    <row r="20" spans="1:50">
      <c r="A20" s="21">
        <f t="shared" si="0"/>
        <v>44243</v>
      </c>
      <c r="B20" s="38">
        <v>199000</v>
      </c>
      <c r="C20" s="38">
        <v>15000</v>
      </c>
      <c r="D20" s="24">
        <f t="shared" si="1"/>
        <v>214000</v>
      </c>
      <c r="E20" s="40">
        <v>17392</v>
      </c>
      <c r="F20" s="35">
        <v>23980</v>
      </c>
      <c r="G20" s="27"/>
      <c r="H20" s="216">
        <f t="shared" si="2"/>
        <v>41372</v>
      </c>
      <c r="I20" s="35"/>
      <c r="J20" s="41"/>
      <c r="K20" s="29"/>
      <c r="L20" s="1"/>
      <c r="M20" s="51"/>
      <c r="N20" s="7"/>
      <c r="O20" s="1"/>
      <c r="P20" s="55">
        <v>44212</v>
      </c>
      <c r="Q20" s="35"/>
      <c r="R20" s="138"/>
      <c r="S20" s="139"/>
      <c r="T20" s="138"/>
      <c r="U20" s="139">
        <v>27000</v>
      </c>
      <c r="V20" s="138"/>
      <c r="W20" s="139">
        <v>32000</v>
      </c>
      <c r="X20" s="138">
        <v>45000</v>
      </c>
      <c r="Y20" s="138"/>
      <c r="Z20" s="139">
        <v>56000</v>
      </c>
      <c r="AA20" s="138"/>
      <c r="AB20" s="139">
        <v>47000</v>
      </c>
      <c r="AC20" s="138"/>
      <c r="AD20" s="151"/>
      <c r="AE20" s="138"/>
      <c r="AF20" s="149"/>
      <c r="AG20" s="138"/>
      <c r="AH20" s="149">
        <v>7000</v>
      </c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214000</v>
      </c>
    </row>
    <row r="21" spans="1:50">
      <c r="A21" s="21">
        <f t="shared" si="0"/>
        <v>44244</v>
      </c>
      <c r="B21" s="38">
        <v>99000</v>
      </c>
      <c r="C21" s="38"/>
      <c r="D21" s="24">
        <f t="shared" si="1"/>
        <v>99000</v>
      </c>
      <c r="E21" s="40">
        <v>8934</v>
      </c>
      <c r="F21" s="35"/>
      <c r="G21" s="27">
        <v>1327</v>
      </c>
      <c r="H21" s="216">
        <f t="shared" si="2"/>
        <v>10261</v>
      </c>
      <c r="I21" s="35"/>
      <c r="J21" s="41"/>
      <c r="K21" s="29"/>
      <c r="L21" s="1"/>
      <c r="M21" s="1"/>
      <c r="N21" s="1"/>
      <c r="O21" s="1"/>
      <c r="P21" s="55">
        <v>44213</v>
      </c>
      <c r="Q21" s="35"/>
      <c r="R21" s="138"/>
      <c r="S21" s="139"/>
      <c r="T21" s="138"/>
      <c r="U21" s="139">
        <v>3000</v>
      </c>
      <c r="V21" s="138"/>
      <c r="W21" s="139">
        <v>60000</v>
      </c>
      <c r="X21" s="138"/>
      <c r="Y21" s="138">
        <v>1000</v>
      </c>
      <c r="Z21" s="139">
        <v>35000</v>
      </c>
      <c r="AA21" s="138"/>
      <c r="AB21" s="139"/>
      <c r="AC21" s="138"/>
      <c r="AD21" s="151"/>
      <c r="AE21" s="138"/>
      <c r="AF21" s="149"/>
      <c r="AG21" s="138"/>
      <c r="AH21" s="149"/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99000</v>
      </c>
    </row>
    <row r="22" spans="1:50">
      <c r="A22" s="21">
        <f t="shared" si="0"/>
        <v>44245</v>
      </c>
      <c r="B22" s="38">
        <v>91000</v>
      </c>
      <c r="C22" s="38"/>
      <c r="D22" s="24">
        <f t="shared" si="1"/>
        <v>91000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55">
        <v>44214</v>
      </c>
      <c r="Q22" s="35"/>
      <c r="R22" s="138"/>
      <c r="S22" s="139"/>
      <c r="T22" s="138"/>
      <c r="U22" s="139">
        <v>61000</v>
      </c>
      <c r="V22" s="138"/>
      <c r="W22" s="139">
        <v>29000</v>
      </c>
      <c r="X22" s="138"/>
      <c r="Y22" s="375"/>
      <c r="Z22" s="153">
        <v>1000</v>
      </c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91000</v>
      </c>
    </row>
    <row r="23" spans="1:50">
      <c r="A23" s="21">
        <f t="shared" si="0"/>
        <v>44246</v>
      </c>
      <c r="B23" s="38">
        <v>69000</v>
      </c>
      <c r="C23" s="38">
        <v>100000</v>
      </c>
      <c r="D23" s="24">
        <f t="shared" si="1"/>
        <v>169000</v>
      </c>
      <c r="E23" s="40">
        <v>16124</v>
      </c>
      <c r="F23" s="35"/>
      <c r="G23" s="27"/>
      <c r="H23" s="216">
        <f t="shared" si="2"/>
        <v>16124</v>
      </c>
      <c r="I23" s="35"/>
      <c r="J23" s="41"/>
      <c r="K23" s="29"/>
      <c r="L23" s="1"/>
      <c r="M23" s="1"/>
      <c r="N23" s="1"/>
      <c r="O23" s="1"/>
      <c r="P23" s="55">
        <v>44215</v>
      </c>
      <c r="Q23" s="35"/>
      <c r="R23" s="138"/>
      <c r="S23" s="139"/>
      <c r="T23" s="138"/>
      <c r="U23" s="139">
        <v>64000</v>
      </c>
      <c r="V23" s="138"/>
      <c r="W23" s="139">
        <v>80000</v>
      </c>
      <c r="X23" s="138"/>
      <c r="Y23" s="138">
        <v>4000</v>
      </c>
      <c r="Z23" s="139">
        <v>39000</v>
      </c>
      <c r="AA23" s="138"/>
      <c r="AB23" s="139"/>
      <c r="AC23" s="138"/>
      <c r="AD23" s="151">
        <v>9000</v>
      </c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196000</v>
      </c>
    </row>
    <row r="24" spans="1:50">
      <c r="A24" s="21">
        <f t="shared" si="0"/>
        <v>44247</v>
      </c>
      <c r="B24" s="38">
        <f>119000+16000</f>
        <v>135000</v>
      </c>
      <c r="C24" s="38">
        <v>27000</v>
      </c>
      <c r="D24" s="24">
        <f t="shared" si="1"/>
        <v>162000</v>
      </c>
      <c r="E24" s="40">
        <v>9984</v>
      </c>
      <c r="F24" s="35"/>
      <c r="G24" s="27">
        <v>712</v>
      </c>
      <c r="H24" s="216">
        <f t="shared" si="2"/>
        <v>10696</v>
      </c>
      <c r="I24" s="35"/>
      <c r="J24" s="41"/>
      <c r="K24" s="29"/>
      <c r="L24" s="1"/>
      <c r="M24" s="53" t="s">
        <v>34</v>
      </c>
      <c r="N24" s="38">
        <f>D37</f>
        <v>2532000</v>
      </c>
      <c r="O24" s="1"/>
      <c r="P24" s="55">
        <v>44216</v>
      </c>
      <c r="Q24" s="35"/>
      <c r="R24" s="138"/>
      <c r="S24" s="139">
        <v>12000</v>
      </c>
      <c r="T24" s="138"/>
      <c r="U24" s="139">
        <v>32000</v>
      </c>
      <c r="V24" s="138"/>
      <c r="W24" s="139">
        <v>29000</v>
      </c>
      <c r="X24" s="138"/>
      <c r="Y24" s="138">
        <v>6000</v>
      </c>
      <c r="Z24" s="139">
        <v>56000</v>
      </c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135000</v>
      </c>
    </row>
    <row r="25" spans="1:50">
      <c r="A25" s="21">
        <f t="shared" si="0"/>
        <v>44248</v>
      </c>
      <c r="B25" s="38">
        <v>101000</v>
      </c>
      <c r="C25" s="38"/>
      <c r="D25" s="24">
        <f t="shared" si="1"/>
        <v>101000</v>
      </c>
      <c r="E25" s="40">
        <f>582+11180</f>
        <v>11762</v>
      </c>
      <c r="F25" s="35"/>
      <c r="G25" s="27"/>
      <c r="H25" s="216">
        <f t="shared" si="2"/>
        <v>11762</v>
      </c>
      <c r="I25" s="35"/>
      <c r="J25" s="41"/>
      <c r="K25" s="29"/>
      <c r="L25" s="1"/>
      <c r="M25" s="53" t="s">
        <v>35</v>
      </c>
      <c r="N25" s="38">
        <f>H37</f>
        <v>267537</v>
      </c>
      <c r="O25" s="1"/>
      <c r="P25" s="55">
        <v>44217</v>
      </c>
      <c r="Q25" s="35"/>
      <c r="R25" s="138"/>
      <c r="S25" s="139"/>
      <c r="T25" s="138"/>
      <c r="U25" s="139">
        <v>10000</v>
      </c>
      <c r="V25" s="138"/>
      <c r="W25" s="139">
        <v>85000</v>
      </c>
      <c r="X25" s="138"/>
      <c r="Y25" s="138"/>
      <c r="Z25" s="139">
        <v>6000</v>
      </c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101000</v>
      </c>
    </row>
    <row r="26" spans="1:50">
      <c r="A26" s="21">
        <f t="shared" si="0"/>
        <v>44249</v>
      </c>
      <c r="B26" s="38">
        <v>66000</v>
      </c>
      <c r="C26" s="38"/>
      <c r="D26" s="24">
        <f t="shared" si="1"/>
        <v>66000</v>
      </c>
      <c r="E26" s="40"/>
      <c r="F26" s="35"/>
      <c r="G26" s="27"/>
      <c r="H26" s="216">
        <f t="shared" si="2"/>
        <v>0</v>
      </c>
      <c r="I26" s="35"/>
      <c r="J26" s="41"/>
      <c r="K26" s="29"/>
      <c r="L26" s="1"/>
      <c r="M26" s="53" t="s">
        <v>36</v>
      </c>
      <c r="N26" s="38">
        <f>N19</f>
        <v>56000</v>
      </c>
      <c r="O26" s="1"/>
      <c r="P26" s="55">
        <v>44218</v>
      </c>
      <c r="Q26" s="35"/>
      <c r="R26" s="138"/>
      <c r="S26" s="139"/>
      <c r="T26" s="138"/>
      <c r="U26" s="139">
        <v>11000</v>
      </c>
      <c r="V26" s="138"/>
      <c r="W26" s="139">
        <v>8000</v>
      </c>
      <c r="X26" s="138"/>
      <c r="Y26" s="138"/>
      <c r="Z26" s="139"/>
      <c r="AA26" s="138"/>
      <c r="AB26" s="139">
        <v>2000</v>
      </c>
      <c r="AC26" s="138"/>
      <c r="AD26" s="151"/>
      <c r="AE26" s="138"/>
      <c r="AF26" s="149"/>
      <c r="AG26" s="138"/>
      <c r="AH26" s="149">
        <v>45000</v>
      </c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66000</v>
      </c>
    </row>
    <row r="27" spans="1:50">
      <c r="A27" s="21">
        <f t="shared" si="0"/>
        <v>44250</v>
      </c>
      <c r="B27" s="38">
        <v>96000</v>
      </c>
      <c r="C27" s="38">
        <v>65000</v>
      </c>
      <c r="D27" s="24">
        <f t="shared" si="1"/>
        <v>161000</v>
      </c>
      <c r="E27" s="40">
        <v>9564</v>
      </c>
      <c r="F27" s="35"/>
      <c r="G27" s="408">
        <f>1104+1635</f>
        <v>2739</v>
      </c>
      <c r="H27" s="216">
        <f t="shared" si="2"/>
        <v>12303</v>
      </c>
      <c r="I27" s="35"/>
      <c r="J27" s="41"/>
      <c r="K27" s="29"/>
      <c r="L27" s="1"/>
      <c r="M27" s="60" t="s">
        <v>37</v>
      </c>
      <c r="N27" s="61">
        <f>IFERROR(N24-N25-N26, "")</f>
        <v>2208463</v>
      </c>
      <c r="O27" s="1"/>
      <c r="P27" s="55">
        <v>44219</v>
      </c>
      <c r="Q27" s="35"/>
      <c r="R27" s="138"/>
      <c r="S27" s="139"/>
      <c r="T27" s="138"/>
      <c r="U27" s="139">
        <v>64000</v>
      </c>
      <c r="V27" s="138"/>
      <c r="W27" s="139">
        <v>51000</v>
      </c>
      <c r="X27" s="138"/>
      <c r="Y27" s="138"/>
      <c r="Z27" s="139">
        <v>4000</v>
      </c>
      <c r="AA27" s="138"/>
      <c r="AB27" s="139">
        <v>14000</v>
      </c>
      <c r="AC27" s="138"/>
      <c r="AD27" s="151"/>
      <c r="AE27" s="138"/>
      <c r="AF27" s="149"/>
      <c r="AG27" s="138"/>
      <c r="AH27" s="149">
        <v>28000</v>
      </c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161000</v>
      </c>
    </row>
    <row r="28" spans="1:50">
      <c r="A28" s="21">
        <f t="shared" si="0"/>
        <v>44251</v>
      </c>
      <c r="B28" s="38">
        <v>21000</v>
      </c>
      <c r="C28" s="38"/>
      <c r="D28" s="24">
        <f t="shared" si="1"/>
        <v>21000</v>
      </c>
      <c r="E28" s="299">
        <f>400+1552</f>
        <v>1952</v>
      </c>
      <c r="F28" s="35"/>
      <c r="G28" s="27"/>
      <c r="H28" s="216">
        <f t="shared" si="2"/>
        <v>1952</v>
      </c>
      <c r="I28" s="35"/>
      <c r="J28" s="41"/>
      <c r="K28" s="29"/>
      <c r="L28" s="1"/>
      <c r="M28" s="1"/>
      <c r="N28" s="1"/>
      <c r="O28" s="1"/>
      <c r="P28" s="55">
        <v>44220</v>
      </c>
      <c r="Q28" s="35"/>
      <c r="R28" s="138"/>
      <c r="S28" s="139"/>
      <c r="T28" s="138"/>
      <c r="U28" s="139">
        <v>5000</v>
      </c>
      <c r="V28" s="138"/>
      <c r="W28" s="139"/>
      <c r="X28" s="138"/>
      <c r="Y28" s="138"/>
      <c r="Z28" s="139">
        <v>12000</v>
      </c>
      <c r="AA28" s="138"/>
      <c r="AB28" s="139"/>
      <c r="AC28" s="138"/>
      <c r="AD28" s="151"/>
      <c r="AE28" s="138"/>
      <c r="AF28" s="149"/>
      <c r="AG28" s="138"/>
      <c r="AH28" s="149"/>
      <c r="AI28" s="138"/>
      <c r="AJ28" s="149">
        <v>4000</v>
      </c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21000</v>
      </c>
    </row>
    <row r="29" spans="1:50">
      <c r="A29" s="21">
        <f t="shared" si="0"/>
        <v>44252</v>
      </c>
      <c r="B29" s="38"/>
      <c r="C29" s="38"/>
      <c r="D29" s="24">
        <f t="shared" si="1"/>
        <v>0</v>
      </c>
      <c r="E29" s="40"/>
      <c r="F29" s="35"/>
      <c r="G29" s="27"/>
      <c r="H29" s="216">
        <f t="shared" si="2"/>
        <v>0</v>
      </c>
      <c r="I29" s="35"/>
      <c r="J29" s="41"/>
      <c r="K29" s="29"/>
      <c r="L29" s="1"/>
      <c r="M29" s="1"/>
      <c r="N29" s="1"/>
      <c r="O29" s="1"/>
      <c r="P29" s="55">
        <v>44221</v>
      </c>
      <c r="Q29" s="35"/>
      <c r="R29" s="138"/>
      <c r="S29" s="139"/>
      <c r="T29" s="138"/>
      <c r="U29" s="139"/>
      <c r="V29" s="138"/>
      <c r="W29" s="139"/>
      <c r="X29" s="138"/>
      <c r="Y29" s="138"/>
      <c r="Z29" s="139"/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0</v>
      </c>
    </row>
    <row r="30" spans="1:50">
      <c r="A30" s="21">
        <f t="shared" si="0"/>
        <v>44253</v>
      </c>
      <c r="B30" s="38">
        <v>84000</v>
      </c>
      <c r="C30" s="38"/>
      <c r="D30" s="24">
        <f t="shared" si="1"/>
        <v>84000</v>
      </c>
      <c r="E30" s="40"/>
      <c r="F30" s="35"/>
      <c r="G30" s="27"/>
      <c r="H30" s="216">
        <f t="shared" si="2"/>
        <v>0</v>
      </c>
      <c r="I30" s="35"/>
      <c r="J30" s="41"/>
      <c r="K30" s="29"/>
      <c r="L30" s="1"/>
      <c r="M30" s="1"/>
      <c r="N30" s="1"/>
      <c r="O30" s="1"/>
      <c r="P30" s="55">
        <v>44222</v>
      </c>
      <c r="Q30" s="35"/>
      <c r="R30" s="138"/>
      <c r="S30" s="139"/>
      <c r="T30" s="138"/>
      <c r="U30" s="139"/>
      <c r="V30" s="138"/>
      <c r="W30" s="139"/>
      <c r="X30" s="138"/>
      <c r="Y30" s="138">
        <v>84000</v>
      </c>
      <c r="Z30" s="139"/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84000</v>
      </c>
    </row>
    <row r="31" spans="1:50">
      <c r="A31" s="21">
        <f t="shared" si="0"/>
        <v>44254</v>
      </c>
      <c r="B31" s="38">
        <v>25000</v>
      </c>
      <c r="C31" s="38"/>
      <c r="D31" s="24">
        <f t="shared" si="1"/>
        <v>25000</v>
      </c>
      <c r="E31" s="40"/>
      <c r="F31" s="35"/>
      <c r="G31" s="27"/>
      <c r="H31" s="216">
        <f t="shared" si="2"/>
        <v>0</v>
      </c>
      <c r="I31" s="35"/>
      <c r="J31" s="41"/>
      <c r="K31" s="29"/>
      <c r="L31" s="1"/>
      <c r="M31" s="1"/>
      <c r="N31" s="1"/>
      <c r="O31" s="1"/>
      <c r="P31" s="55">
        <v>44223</v>
      </c>
      <c r="Q31" s="35"/>
      <c r="R31" s="138"/>
      <c r="S31" s="139">
        <v>25000</v>
      </c>
      <c r="T31" s="138"/>
      <c r="U31" s="139"/>
      <c r="V31" s="138"/>
      <c r="W31" s="139"/>
      <c r="X31" s="138"/>
      <c r="Y31" s="138"/>
      <c r="Z31" s="139"/>
      <c r="AA31" s="138"/>
      <c r="AB31" s="139"/>
      <c r="AC31" s="138"/>
      <c r="AD31" s="151"/>
      <c r="AE31" s="138"/>
      <c r="AF31" s="149"/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25000</v>
      </c>
    </row>
    <row r="32" spans="1:50">
      <c r="A32" s="21">
        <f t="shared" si="0"/>
        <v>44255</v>
      </c>
      <c r="B32" s="38">
        <v>185000</v>
      </c>
      <c r="C32" s="38"/>
      <c r="D32" s="24">
        <f t="shared" si="1"/>
        <v>185000</v>
      </c>
      <c r="E32" s="40">
        <v>1400</v>
      </c>
      <c r="F32" s="35"/>
      <c r="G32" s="27"/>
      <c r="H32" s="216">
        <f t="shared" si="2"/>
        <v>1400</v>
      </c>
      <c r="I32" s="35"/>
      <c r="J32" s="41"/>
      <c r="K32" s="29"/>
      <c r="L32" s="1"/>
      <c r="M32" s="1"/>
      <c r="N32" s="1"/>
      <c r="O32" s="1"/>
      <c r="P32" s="55">
        <v>44224</v>
      </c>
      <c r="Q32" s="35"/>
      <c r="R32" s="138"/>
      <c r="S32" s="139"/>
      <c r="T32" s="138"/>
      <c r="U32" s="139">
        <v>93000</v>
      </c>
      <c r="V32" s="138"/>
      <c r="W32" s="139">
        <v>92000</v>
      </c>
      <c r="X32" s="138"/>
      <c r="Y32" s="138"/>
      <c r="Z32" s="139"/>
      <c r="AA32" s="138"/>
      <c r="AB32" s="139"/>
      <c r="AC32" s="138"/>
      <c r="AD32" s="151"/>
      <c r="AE32" s="138"/>
      <c r="AF32" s="149"/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185000</v>
      </c>
    </row>
    <row r="33" spans="1:50">
      <c r="A33" s="21" t="str">
        <f t="shared" si="0"/>
        <v/>
      </c>
      <c r="B33" s="38"/>
      <c r="C33" s="38"/>
      <c r="D33" s="24">
        <f t="shared" si="1"/>
        <v>0</v>
      </c>
      <c r="E33" s="40"/>
      <c r="F33" s="35"/>
      <c r="G33" s="27"/>
      <c r="H33" s="216">
        <f t="shared" si="2"/>
        <v>0</v>
      </c>
      <c r="I33" s="35"/>
      <c r="J33" s="41"/>
      <c r="K33" s="29"/>
      <c r="L33" s="1"/>
      <c r="M33" s="1"/>
      <c r="N33" s="1"/>
      <c r="O33" s="1"/>
      <c r="P33" s="55">
        <v>44225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/>
      <c r="AA33" s="138"/>
      <c r="AB33" s="139"/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0</v>
      </c>
    </row>
    <row r="34" spans="1:50">
      <c r="A34" s="21" t="str">
        <f t="shared" si="0"/>
        <v/>
      </c>
      <c r="B34" s="38"/>
      <c r="C34" s="38"/>
      <c r="D34" s="24">
        <f t="shared" si="1"/>
        <v>0</v>
      </c>
      <c r="E34" s="40"/>
      <c r="F34" s="35"/>
      <c r="G34" s="27"/>
      <c r="H34" s="216">
        <f t="shared" si="2"/>
        <v>0</v>
      </c>
      <c r="I34" s="35"/>
      <c r="J34" s="41"/>
      <c r="K34" s="29"/>
      <c r="L34" s="1"/>
      <c r="M34" s="1"/>
      <c r="N34" s="1"/>
      <c r="O34" s="1"/>
      <c r="P34" s="55">
        <v>44226</v>
      </c>
      <c r="Q34" s="137"/>
      <c r="R34" s="154"/>
      <c r="S34" s="155"/>
      <c r="T34" s="154"/>
      <c r="U34" s="155"/>
      <c r="V34" s="154"/>
      <c r="W34" s="155"/>
      <c r="X34" s="154"/>
      <c r="Y34" s="154"/>
      <c r="Z34" s="155"/>
      <c r="AA34" s="154"/>
      <c r="AB34" s="155"/>
      <c r="AC34" s="154"/>
      <c r="AD34" s="156"/>
      <c r="AE34" s="154"/>
      <c r="AF34" s="157"/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0</v>
      </c>
    </row>
    <row r="35" spans="1:50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>
        <v>44227</v>
      </c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105000</v>
      </c>
      <c r="T36" s="115">
        <f t="shared" si="4"/>
        <v>0</v>
      </c>
      <c r="U36" s="115">
        <f t="shared" si="4"/>
        <v>706000</v>
      </c>
      <c r="V36" s="115">
        <f t="shared" si="4"/>
        <v>0</v>
      </c>
      <c r="W36" s="115">
        <f t="shared" si="4"/>
        <v>856000</v>
      </c>
      <c r="X36" s="115">
        <f t="shared" si="4"/>
        <v>45000</v>
      </c>
      <c r="Y36" s="115">
        <f t="shared" si="4"/>
        <v>119000</v>
      </c>
      <c r="Z36" s="115">
        <f t="shared" si="4"/>
        <v>446000</v>
      </c>
      <c r="AA36" s="115">
        <f t="shared" si="4"/>
        <v>0</v>
      </c>
      <c r="AB36" s="115">
        <f t="shared" si="4"/>
        <v>125000</v>
      </c>
      <c r="AC36" s="115">
        <f t="shared" si="4"/>
        <v>0</v>
      </c>
      <c r="AD36" s="115">
        <f t="shared" si="4"/>
        <v>9000</v>
      </c>
      <c r="AE36" s="115">
        <f t="shared" si="4"/>
        <v>0</v>
      </c>
      <c r="AF36" s="115">
        <f t="shared" si="4"/>
        <v>4000</v>
      </c>
      <c r="AG36" s="115">
        <f t="shared" si="4"/>
        <v>0</v>
      </c>
      <c r="AH36" s="115">
        <f t="shared" si="4"/>
        <v>113000</v>
      </c>
      <c r="AI36" s="115">
        <f t="shared" si="4"/>
        <v>0</v>
      </c>
      <c r="AJ36" s="115">
        <f t="shared" si="4"/>
        <v>4000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0</v>
      </c>
      <c r="AO36" s="115">
        <f t="shared" si="4"/>
        <v>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2532000</v>
      </c>
    </row>
    <row r="37" spans="1:50" ht="22" thickTop="1" thickBot="1">
      <c r="A37" s="81" t="s">
        <v>33</v>
      </c>
      <c r="B37" s="82">
        <f t="shared" ref="B37:I37" si="5">SUM(B5:B35)</f>
        <v>2130000</v>
      </c>
      <c r="C37" s="82">
        <f t="shared" si="5"/>
        <v>402000</v>
      </c>
      <c r="D37" s="82">
        <f t="shared" si="5"/>
        <v>2532000</v>
      </c>
      <c r="E37" s="83">
        <f t="shared" si="5"/>
        <v>202331</v>
      </c>
      <c r="F37" s="84">
        <f t="shared" si="5"/>
        <v>57463</v>
      </c>
      <c r="G37" s="84">
        <f t="shared" si="5"/>
        <v>7743</v>
      </c>
      <c r="H37" s="132">
        <f t="shared" si="5"/>
        <v>267537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36750</v>
      </c>
      <c r="T38" s="544">
        <f>T36*0.3</f>
        <v>0</v>
      </c>
      <c r="U38" s="532">
        <f>U36*0.35</f>
        <v>247099.99999999997</v>
      </c>
      <c r="V38" s="532">
        <f>V36*0.3</f>
        <v>0</v>
      </c>
      <c r="W38" s="534">
        <f>W36*0.4</f>
        <v>342400</v>
      </c>
      <c r="X38" s="534">
        <f>X36*0.3</f>
        <v>13500</v>
      </c>
      <c r="Y38" s="538">
        <f>Y36</f>
        <v>119000</v>
      </c>
      <c r="Z38" s="536">
        <f>Z36*0.35</f>
        <v>156100</v>
      </c>
      <c r="AA38" s="530">
        <f>AA36*0.3</f>
        <v>0</v>
      </c>
      <c r="AB38" s="530">
        <f>AB36*0.35</f>
        <v>43750</v>
      </c>
      <c r="AC38" s="530">
        <f>AC36*0.3</f>
        <v>0</v>
      </c>
      <c r="AD38" s="530">
        <f>AD36*0.35</f>
        <v>3150</v>
      </c>
      <c r="AE38" s="530">
        <f>AE36*0.3</f>
        <v>0</v>
      </c>
      <c r="AF38" s="530">
        <f>AF36*0.35</f>
        <v>1400</v>
      </c>
      <c r="AG38" s="530">
        <f>AG36*0.3</f>
        <v>0</v>
      </c>
      <c r="AH38" s="530">
        <f>AH36*0.35</f>
        <v>39550</v>
      </c>
      <c r="AI38" s="530">
        <f>AI36*0.3</f>
        <v>0</v>
      </c>
      <c r="AJ38" s="530">
        <f>AJ36*0.35</f>
        <v>1400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0</v>
      </c>
      <c r="AO38" s="530">
        <f t="shared" si="6"/>
        <v>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1"/>
      <c r="B40" s="552">
        <f>B1</f>
        <v>2</v>
      </c>
      <c r="C40" s="547"/>
      <c r="D40" s="548">
        <f>F37+G37</f>
        <v>65206</v>
      </c>
      <c r="E40" s="549"/>
      <c r="F40" s="1"/>
      <c r="G40" s="1"/>
      <c r="H40" s="181" t="s">
        <v>342</v>
      </c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1"/>
      <c r="B41" s="182"/>
      <c r="C41" s="1"/>
      <c r="D41" s="1"/>
      <c r="E41" s="372"/>
      <c r="F41" s="1"/>
      <c r="G41" s="1"/>
      <c r="H41" s="1">
        <v>11875</v>
      </c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1"/>
      <c r="B42" s="496" t="s">
        <v>307</v>
      </c>
      <c r="C42" s="496"/>
      <c r="D42" s="496" t="s">
        <v>308</v>
      </c>
      <c r="E42" s="4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546">
        <f>B37-D40-D43</f>
        <v>2064000</v>
      </c>
      <c r="C43" s="547"/>
      <c r="D43" s="548">
        <v>794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</sheetData>
  <mergeCells count="86">
    <mergeCell ref="B43:C43"/>
    <mergeCell ref="D43:E43"/>
    <mergeCell ref="B39:C39"/>
    <mergeCell ref="D39:E39"/>
    <mergeCell ref="B40:C40"/>
    <mergeCell ref="D40:E40"/>
    <mergeCell ref="B42:C42"/>
    <mergeCell ref="D42:E42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M10:N10"/>
    <mergeCell ref="N11:N12"/>
    <mergeCell ref="P38:P39"/>
    <mergeCell ref="Q38:Q39"/>
    <mergeCell ref="R38:R39"/>
    <mergeCell ref="S38:S39"/>
    <mergeCell ref="AS3:AS4"/>
    <mergeCell ref="AT3:AT4"/>
    <mergeCell ref="AU3:AU4"/>
    <mergeCell ref="AV3:AV4"/>
    <mergeCell ref="AW3:AW4"/>
    <mergeCell ref="AX3:AX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J3:J4"/>
    <mergeCell ref="P3:P4"/>
    <mergeCell ref="Q3:Q4"/>
    <mergeCell ref="R3:R4"/>
    <mergeCell ref="S3:S4"/>
    <mergeCell ref="T3:T4"/>
    <mergeCell ref="A1:A2"/>
    <mergeCell ref="B1:B2"/>
    <mergeCell ref="A3:A4"/>
    <mergeCell ref="B3:D3"/>
    <mergeCell ref="E3:H3"/>
    <mergeCell ref="I3:I4"/>
  </mergeCells>
  <phoneticPr fontId="16"/>
  <dataValidations count="2">
    <dataValidation type="list" allowBlank="1" showErrorMessage="1" sqref="Q3:Q4 AD3:AD4 S3:S4 U3:U4 AL3:AL4 AH3:AH4 Z3:Z4 AF3:AF4 AJ3:AJ4 W3:W4 AB3:AB4 AV3:AV4 AN3:AN4 AO3:AU3" xr:uid="{3C5BF21C-EED3-EC42-BDF3-12D8FEA9E43D}">
      <formula1>名前</formula1>
    </dataValidation>
    <dataValidation allowBlank="1" showErrorMessage="1" sqref="R3:R4 AI3:AI4 T3:T4 AC3:AC4 AA3:AA4 AE3:AE4 AG3:AG4 AK3:AK4 AW3:AW4 V3:V4 AM3:AM4 X3:X4 Y3" xr:uid="{8E0D6954-F7D9-F44E-A7D2-9ACCAA811C1D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5D2E-8A58-094E-B6F9-F46B7DE5BD11}">
  <dimension ref="A1:CP39"/>
  <sheetViews>
    <sheetView topLeftCell="AE1" zoomScale="87" zoomScaleNormal="70" workbookViewId="0">
      <selection activeCell="B31" sqref="B31"/>
    </sheetView>
  </sheetViews>
  <sheetFormatPr baseColWidth="10" defaultColWidth="11.140625" defaultRowHeight="20"/>
  <cols>
    <col min="1" max="1" width="14.42578125" customWidth="1"/>
    <col min="38" max="38" width="11.140625" style="1"/>
    <col min="40" max="40" width="11.140625" style="1"/>
    <col min="42" max="42" width="11.140625" style="1"/>
    <col min="44" max="44" width="11.140625" style="1"/>
    <col min="46" max="46" width="11.140625" style="1"/>
    <col min="48" max="48" width="11.140625" style="1"/>
    <col min="50" max="50" width="11.140625" style="1"/>
    <col min="52" max="52" width="11.140625" style="1"/>
    <col min="54" max="54" width="11.140625" style="1"/>
    <col min="57" max="57" width="11.140625" style="1"/>
    <col min="59" max="67" width="11.140625" style="1"/>
    <col min="69" max="80" width="11.140625" style="1"/>
  </cols>
  <sheetData>
    <row r="1" spans="1:94">
      <c r="A1" s="498">
        <v>2020</v>
      </c>
      <c r="B1" s="500">
        <v>2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M1" s="1"/>
      <c r="AO1" s="1"/>
      <c r="AQ1" s="1"/>
      <c r="AS1" s="1"/>
      <c r="AU1" s="1"/>
      <c r="AW1" s="1"/>
      <c r="AY1" s="1"/>
      <c r="BA1" s="1"/>
      <c r="BC1" s="1"/>
      <c r="BD1" s="1"/>
      <c r="BF1" s="1"/>
      <c r="BP1" s="1"/>
    </row>
    <row r="2" spans="1:94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M2" s="1"/>
      <c r="AO2" s="1"/>
      <c r="AQ2" s="1"/>
      <c r="AS2" s="1"/>
      <c r="AU2" s="1"/>
      <c r="AW2" s="1"/>
      <c r="AY2" s="1"/>
      <c r="BA2" s="1"/>
      <c r="BC2" s="1"/>
      <c r="BD2" s="1"/>
      <c r="BF2" s="1"/>
      <c r="BP2" s="1"/>
    </row>
    <row r="3" spans="1:94" ht="21" thickBot="1">
      <c r="A3" s="501" t="s">
        <v>0</v>
      </c>
      <c r="B3" s="503" t="s">
        <v>1</v>
      </c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85</v>
      </c>
      <c r="AV3" s="494">
        <v>0.3</v>
      </c>
      <c r="AW3" s="496" t="s">
        <v>65</v>
      </c>
      <c r="AX3" s="494">
        <v>0.3</v>
      </c>
      <c r="AY3" s="527" t="s">
        <v>74</v>
      </c>
      <c r="AZ3" s="494">
        <v>0.3</v>
      </c>
      <c r="BA3" s="492" t="s">
        <v>87</v>
      </c>
      <c r="BB3" s="494">
        <v>0.3</v>
      </c>
      <c r="BC3" s="496" t="s">
        <v>56</v>
      </c>
      <c r="BD3" s="494">
        <v>0.3</v>
      </c>
      <c r="BE3" s="496" t="s">
        <v>53</v>
      </c>
      <c r="BF3" s="523">
        <v>0.3</v>
      </c>
      <c r="BG3" s="496" t="s">
        <v>89</v>
      </c>
      <c r="BH3" s="520" t="s">
        <v>94</v>
      </c>
      <c r="BI3" s="520" t="s">
        <v>92</v>
      </c>
      <c r="BJ3" s="496" t="s">
        <v>71</v>
      </c>
      <c r="BK3" s="520" t="s">
        <v>57</v>
      </c>
      <c r="BL3" s="496" t="s">
        <v>88</v>
      </c>
      <c r="BM3" s="520" t="s">
        <v>98</v>
      </c>
      <c r="BN3" s="520" t="s">
        <v>96</v>
      </c>
      <c r="BO3" s="520" t="s">
        <v>95</v>
      </c>
      <c r="BP3" s="566" t="s">
        <v>52</v>
      </c>
      <c r="BQ3" s="520" t="s">
        <v>100</v>
      </c>
      <c r="BR3" s="520" t="s">
        <v>102</v>
      </c>
      <c r="BS3" s="520" t="s">
        <v>11</v>
      </c>
      <c r="BT3" s="520" t="s">
        <v>90</v>
      </c>
      <c r="BU3" s="520" t="s">
        <v>55</v>
      </c>
      <c r="BV3" s="520" t="s">
        <v>104</v>
      </c>
      <c r="BW3" s="520" t="s">
        <v>9</v>
      </c>
      <c r="BX3" s="520" t="s">
        <v>106</v>
      </c>
      <c r="BY3" s="520" t="s">
        <v>109</v>
      </c>
      <c r="BZ3" s="520" t="s">
        <v>107</v>
      </c>
      <c r="CA3" s="496" t="s">
        <v>70</v>
      </c>
      <c r="CB3" s="564">
        <v>0.3</v>
      </c>
    </row>
    <row r="4" spans="1:94" ht="21" thickBot="1">
      <c r="A4" s="502"/>
      <c r="B4" s="9" t="s">
        <v>12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497"/>
      <c r="BF4" s="524"/>
      <c r="BG4" s="497"/>
      <c r="BH4" s="521"/>
      <c r="BI4" s="521"/>
      <c r="BJ4" s="497"/>
      <c r="BK4" s="521"/>
      <c r="BL4" s="497"/>
      <c r="BM4" s="521"/>
      <c r="BN4" s="521"/>
      <c r="BO4" s="521"/>
      <c r="BP4" s="567"/>
      <c r="BQ4" s="521"/>
      <c r="BR4" s="521"/>
      <c r="BS4" s="521"/>
      <c r="BT4" s="521"/>
      <c r="BU4" s="521"/>
      <c r="BV4" s="521"/>
      <c r="BW4" s="521"/>
      <c r="BX4" s="521"/>
      <c r="BY4" s="521"/>
      <c r="BZ4" s="521"/>
      <c r="CA4" s="496"/>
      <c r="CB4" s="565"/>
    </row>
    <row r="5" spans="1:94" ht="21" thickTop="1">
      <c r="A5" s="21">
        <f t="shared" ref="A5:A35" si="0">IF(DAY(DATE($A$1,$B$1,ROW()-4))=ROW()-4,DATE($A$1,$B$1,ROW()-4),"")</f>
        <v>43862</v>
      </c>
      <c r="B5" s="23">
        <v>94000</v>
      </c>
      <c r="C5" s="23"/>
      <c r="D5" s="24">
        <f t="shared" ref="D5:D35" si="1">B5+C5</f>
        <v>94000</v>
      </c>
      <c r="E5" s="25">
        <v>14388</v>
      </c>
      <c r="F5" s="26"/>
      <c r="G5" s="27"/>
      <c r="H5" s="28">
        <f t="shared" ref="H5:H24" si="2">E5+F5+G5</f>
        <v>14388</v>
      </c>
      <c r="I5" s="27">
        <v>13</v>
      </c>
      <c r="J5" s="28">
        <f t="shared" ref="J5:J35" si="3">IFERROR(B5/I5, "")</f>
        <v>7230.7692307692305</v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43862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43862</v>
      </c>
      <c r="AK5" s="35"/>
      <c r="AL5" s="138"/>
      <c r="AM5" s="139"/>
      <c r="AN5" s="138"/>
      <c r="AO5" s="140">
        <v>15000</v>
      </c>
      <c r="AP5" s="138"/>
      <c r="AQ5" s="141">
        <v>45000</v>
      </c>
      <c r="AR5" s="138"/>
      <c r="AS5" s="142">
        <v>25000</v>
      </c>
      <c r="AT5" s="138"/>
      <c r="AU5" s="143">
        <v>9000</v>
      </c>
      <c r="AV5" s="138"/>
      <c r="AW5" s="144"/>
      <c r="AX5" s="138"/>
      <c r="AY5" s="145"/>
      <c r="AZ5" s="138"/>
      <c r="BA5" s="146"/>
      <c r="BB5" s="138"/>
      <c r="BC5" s="144"/>
      <c r="BD5" s="138"/>
      <c r="BE5" s="144"/>
      <c r="BF5" s="160"/>
      <c r="BG5" s="158"/>
      <c r="BH5" s="158"/>
      <c r="BI5" s="158"/>
      <c r="BJ5" s="158"/>
      <c r="BK5" s="158"/>
      <c r="BL5" s="168"/>
      <c r="BM5" s="158"/>
      <c r="BN5" s="167"/>
      <c r="BO5" s="158"/>
      <c r="BP5" s="164"/>
      <c r="BQ5" s="144"/>
      <c r="BR5" s="144"/>
      <c r="BS5" s="161"/>
      <c r="BT5" s="161"/>
      <c r="BU5" s="161"/>
      <c r="BV5" s="161"/>
      <c r="BW5" s="161"/>
      <c r="BX5" s="161"/>
      <c r="BY5" s="161"/>
      <c r="BZ5" s="144"/>
      <c r="CA5" s="161"/>
      <c r="CB5" s="166"/>
      <c r="CP5" t="str">
        <f>""</f>
        <v/>
      </c>
    </row>
    <row r="6" spans="1:94">
      <c r="A6" s="21">
        <f t="shared" si="0"/>
        <v>43863</v>
      </c>
      <c r="B6" s="38">
        <v>112500</v>
      </c>
      <c r="C6" s="23"/>
      <c r="D6" s="39">
        <f t="shared" si="1"/>
        <v>112500</v>
      </c>
      <c r="E6" s="40"/>
      <c r="F6" s="35">
        <v>7982</v>
      </c>
      <c r="G6" s="27"/>
      <c r="H6" s="28">
        <f t="shared" si="2"/>
        <v>7982</v>
      </c>
      <c r="I6" s="35">
        <v>36</v>
      </c>
      <c r="J6" s="41">
        <f t="shared" si="3"/>
        <v>3125</v>
      </c>
      <c r="K6" s="29"/>
      <c r="L6" s="5"/>
      <c r="M6" s="30" t="s">
        <v>24</v>
      </c>
      <c r="N6" s="31" t="s">
        <v>25</v>
      </c>
      <c r="O6" s="7"/>
      <c r="P6" s="32">
        <f t="shared" si="4"/>
        <v>43863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43863</v>
      </c>
      <c r="AK6" s="35">
        <v>8500</v>
      </c>
      <c r="AL6" s="138"/>
      <c r="AM6" s="139"/>
      <c r="AN6" s="138"/>
      <c r="AO6" s="143">
        <v>27000</v>
      </c>
      <c r="AP6" s="138"/>
      <c r="AQ6" s="147">
        <v>24500</v>
      </c>
      <c r="AR6" s="138"/>
      <c r="AS6" s="142"/>
      <c r="AT6" s="138"/>
      <c r="AU6" s="143"/>
      <c r="AV6" s="138"/>
      <c r="AW6" s="147">
        <v>30000</v>
      </c>
      <c r="AX6" s="138"/>
      <c r="AY6" s="145">
        <v>13500</v>
      </c>
      <c r="AZ6" s="138"/>
      <c r="BA6" s="146">
        <v>9000</v>
      </c>
      <c r="BB6" s="138"/>
      <c r="BC6" s="144"/>
      <c r="BD6" s="138"/>
      <c r="BE6" s="144"/>
      <c r="BF6" s="160"/>
      <c r="BG6" s="158"/>
      <c r="BH6" s="158"/>
      <c r="BI6" s="158"/>
      <c r="BJ6" s="158"/>
      <c r="BK6" s="158"/>
      <c r="BL6" s="168"/>
      <c r="BM6" s="158"/>
      <c r="BN6" s="167"/>
      <c r="BO6" s="158"/>
      <c r="BP6" s="164"/>
      <c r="BQ6" s="144"/>
      <c r="BR6" s="144"/>
      <c r="BS6" s="161"/>
      <c r="BT6" s="161"/>
      <c r="BU6" s="161"/>
      <c r="BV6" s="144"/>
      <c r="BW6" s="161"/>
      <c r="BX6" s="161"/>
      <c r="BY6" s="161"/>
      <c r="BZ6" s="144"/>
      <c r="CA6" s="161"/>
      <c r="CB6" s="166"/>
    </row>
    <row r="7" spans="1:94">
      <c r="A7" s="21">
        <f t="shared" si="0"/>
        <v>43864</v>
      </c>
      <c r="B7" s="38">
        <v>95500</v>
      </c>
      <c r="C7" s="23"/>
      <c r="D7" s="39">
        <f t="shared" si="1"/>
        <v>95500</v>
      </c>
      <c r="E7" s="40">
        <v>3464</v>
      </c>
      <c r="F7" s="35">
        <v>4211</v>
      </c>
      <c r="G7" s="27"/>
      <c r="H7" s="28">
        <f t="shared" si="2"/>
        <v>7675</v>
      </c>
      <c r="I7" s="35">
        <v>20</v>
      </c>
      <c r="J7" s="41">
        <f t="shared" si="3"/>
        <v>4775</v>
      </c>
      <c r="K7" s="29"/>
      <c r="L7" s="5"/>
      <c r="M7" s="6"/>
      <c r="N7" s="7"/>
      <c r="O7" s="7"/>
      <c r="P7" s="32">
        <f t="shared" si="4"/>
        <v>43864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43864</v>
      </c>
      <c r="AK7" s="35"/>
      <c r="AL7" s="138"/>
      <c r="AM7" s="139"/>
      <c r="AN7" s="138"/>
      <c r="AO7" s="143">
        <v>53000</v>
      </c>
      <c r="AP7" s="138"/>
      <c r="AQ7" s="147">
        <v>9500</v>
      </c>
      <c r="AR7" s="138"/>
      <c r="AS7" s="142">
        <v>33000</v>
      </c>
      <c r="AT7" s="138"/>
      <c r="AU7" s="139"/>
      <c r="AV7" s="138"/>
      <c r="AW7" s="148"/>
      <c r="AX7" s="138"/>
      <c r="AY7" s="149"/>
      <c r="AZ7" s="138"/>
      <c r="BA7" s="149"/>
      <c r="BB7" s="138"/>
      <c r="BC7" s="150"/>
      <c r="BD7" s="138"/>
      <c r="BE7" s="150"/>
      <c r="BF7" s="160"/>
      <c r="BG7" s="158"/>
      <c r="BH7" s="158"/>
      <c r="BI7" s="158"/>
      <c r="BJ7" s="158"/>
      <c r="BK7" s="158"/>
      <c r="BL7" s="168"/>
      <c r="BM7" s="158"/>
      <c r="BN7" s="172"/>
      <c r="BO7" s="172"/>
      <c r="BP7" s="165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61"/>
      <c r="CB7" s="166"/>
    </row>
    <row r="8" spans="1:94">
      <c r="A8" s="21">
        <f t="shared" si="0"/>
        <v>43865</v>
      </c>
      <c r="B8" s="38">
        <v>21500</v>
      </c>
      <c r="C8" s="23"/>
      <c r="D8" s="39">
        <f t="shared" si="1"/>
        <v>21500</v>
      </c>
      <c r="E8" s="40"/>
      <c r="F8" s="35"/>
      <c r="G8" s="27"/>
      <c r="H8" s="28">
        <f t="shared" si="2"/>
        <v>0</v>
      </c>
      <c r="I8" s="35">
        <v>4</v>
      </c>
      <c r="J8" s="41">
        <f t="shared" si="3"/>
        <v>5375</v>
      </c>
      <c r="K8" s="29"/>
      <c r="L8" s="5"/>
      <c r="M8" s="6"/>
      <c r="N8" s="7"/>
      <c r="O8" s="7"/>
      <c r="P8" s="32">
        <f t="shared" si="4"/>
        <v>43865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43865</v>
      </c>
      <c r="AK8" s="35"/>
      <c r="AL8" s="138"/>
      <c r="AM8" s="139"/>
      <c r="AN8" s="138"/>
      <c r="AO8" s="143"/>
      <c r="AP8" s="138"/>
      <c r="AQ8" s="147"/>
      <c r="AR8" s="138"/>
      <c r="AS8" s="142">
        <v>18000</v>
      </c>
      <c r="AT8" s="138"/>
      <c r="AU8" s="139"/>
      <c r="AV8" s="138"/>
      <c r="AW8" s="151"/>
      <c r="AX8" s="138"/>
      <c r="AY8" s="149"/>
      <c r="AZ8" s="138"/>
      <c r="BA8" s="149"/>
      <c r="BB8" s="138"/>
      <c r="BC8" s="149">
        <v>3500</v>
      </c>
      <c r="BD8" s="138"/>
      <c r="BE8" s="149"/>
      <c r="BF8" s="138"/>
      <c r="BG8" s="159"/>
      <c r="BH8" s="159"/>
      <c r="BI8" s="159"/>
      <c r="BJ8" s="159"/>
      <c r="BK8" s="159"/>
      <c r="BL8" s="169"/>
      <c r="BM8" s="158"/>
      <c r="BN8" s="172"/>
      <c r="BO8" s="172"/>
      <c r="BP8" s="17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62"/>
      <c r="CB8" s="138"/>
    </row>
    <row r="9" spans="1:94">
      <c r="A9" s="21">
        <f t="shared" si="0"/>
        <v>43866</v>
      </c>
      <c r="B9" s="38">
        <v>188000</v>
      </c>
      <c r="C9" s="23"/>
      <c r="D9" s="39">
        <f t="shared" si="1"/>
        <v>188000</v>
      </c>
      <c r="E9" s="40">
        <v>24266</v>
      </c>
      <c r="F9" s="35">
        <v>4346</v>
      </c>
      <c r="G9" s="27"/>
      <c r="H9" s="28">
        <f t="shared" si="2"/>
        <v>28612</v>
      </c>
      <c r="I9" s="35">
        <v>16</v>
      </c>
      <c r="J9" s="41">
        <f t="shared" si="3"/>
        <v>11750</v>
      </c>
      <c r="K9" s="29"/>
      <c r="L9" s="5"/>
      <c r="M9" s="6"/>
      <c r="N9" s="7"/>
      <c r="O9" s="7"/>
      <c r="P9" s="32">
        <f t="shared" si="4"/>
        <v>43866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43866</v>
      </c>
      <c r="AK9" s="35">
        <v>5000</v>
      </c>
      <c r="AL9" s="138">
        <v>20000</v>
      </c>
      <c r="AM9" s="139"/>
      <c r="AN9" s="138"/>
      <c r="AO9" s="139">
        <v>5000</v>
      </c>
      <c r="AP9" s="138"/>
      <c r="AQ9" s="152">
        <v>13500</v>
      </c>
      <c r="AR9" s="138"/>
      <c r="AS9" s="139">
        <v>51000</v>
      </c>
      <c r="AT9" s="138"/>
      <c r="AU9" s="139"/>
      <c r="AV9" s="138"/>
      <c r="AW9" s="151"/>
      <c r="AX9" s="138"/>
      <c r="AY9" s="149"/>
      <c r="AZ9" s="138"/>
      <c r="BA9" s="149"/>
      <c r="BB9" s="138"/>
      <c r="BC9" s="149"/>
      <c r="BD9" s="138"/>
      <c r="BE9" s="149">
        <v>70000</v>
      </c>
      <c r="BF9" s="138"/>
      <c r="BG9" s="138"/>
      <c r="BH9" s="138"/>
      <c r="BI9" s="138"/>
      <c r="BJ9" s="138"/>
      <c r="BK9" s="138"/>
      <c r="BL9" s="160">
        <v>1000</v>
      </c>
      <c r="BM9" s="158"/>
      <c r="BN9" s="172"/>
      <c r="BO9" s="172"/>
      <c r="BP9" s="174">
        <v>22500</v>
      </c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5"/>
      <c r="CB9" s="138"/>
    </row>
    <row r="10" spans="1:94">
      <c r="A10" s="21">
        <f t="shared" si="0"/>
        <v>43867</v>
      </c>
      <c r="B10" s="38">
        <v>99000</v>
      </c>
      <c r="C10" s="23"/>
      <c r="D10" s="39">
        <f t="shared" si="1"/>
        <v>99000</v>
      </c>
      <c r="E10" s="40">
        <v>6048</v>
      </c>
      <c r="F10" s="35">
        <v>838</v>
      </c>
      <c r="G10" s="27"/>
      <c r="H10" s="28">
        <f t="shared" si="2"/>
        <v>6886</v>
      </c>
      <c r="I10" s="35">
        <v>12</v>
      </c>
      <c r="J10" s="41">
        <f t="shared" si="3"/>
        <v>8250</v>
      </c>
      <c r="K10" s="29"/>
      <c r="L10" s="5"/>
      <c r="M10" s="6"/>
      <c r="N10" s="7"/>
      <c r="O10" s="7"/>
      <c r="P10" s="32">
        <f t="shared" si="4"/>
        <v>43867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43867</v>
      </c>
      <c r="AK10" s="35"/>
      <c r="AL10" s="138"/>
      <c r="AM10" s="139"/>
      <c r="AN10" s="138"/>
      <c r="AO10" s="139">
        <v>5500</v>
      </c>
      <c r="AP10" s="138"/>
      <c r="AQ10" s="139">
        <v>8500</v>
      </c>
      <c r="AR10" s="138"/>
      <c r="AS10" s="139">
        <v>82000</v>
      </c>
      <c r="AT10" s="138"/>
      <c r="AU10" s="139"/>
      <c r="AV10" s="138"/>
      <c r="AW10" s="151"/>
      <c r="AX10" s="138"/>
      <c r="AY10" s="149"/>
      <c r="AZ10" s="138"/>
      <c r="BA10" s="149"/>
      <c r="BB10" s="138"/>
      <c r="BC10" s="149"/>
      <c r="BD10" s="138"/>
      <c r="BE10" s="149"/>
      <c r="BF10" s="138"/>
      <c r="BG10" s="138">
        <v>3000</v>
      </c>
      <c r="BH10" s="138"/>
      <c r="BI10" s="138"/>
      <c r="BJ10" s="138"/>
      <c r="BK10" s="138"/>
      <c r="BL10" s="160"/>
      <c r="BM10" s="158"/>
      <c r="BN10" s="172"/>
      <c r="BO10" s="173"/>
      <c r="BP10" s="146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5"/>
      <c r="CB10" s="138"/>
    </row>
    <row r="11" spans="1:94">
      <c r="A11" s="21">
        <f t="shared" si="0"/>
        <v>43868</v>
      </c>
      <c r="B11" s="38">
        <v>96000</v>
      </c>
      <c r="C11" s="23"/>
      <c r="D11" s="39">
        <f t="shared" si="1"/>
        <v>96000</v>
      </c>
      <c r="E11" s="40"/>
      <c r="F11" s="35">
        <v>1081</v>
      </c>
      <c r="G11" s="27"/>
      <c r="H11" s="28">
        <f t="shared" si="2"/>
        <v>1081</v>
      </c>
      <c r="I11" s="35">
        <v>9</v>
      </c>
      <c r="J11" s="41">
        <f t="shared" si="3"/>
        <v>10666.666666666666</v>
      </c>
      <c r="K11" s="29"/>
      <c r="L11" s="5"/>
      <c r="M11" s="6"/>
      <c r="N11" s="7"/>
      <c r="O11" s="7"/>
      <c r="P11" s="32">
        <f t="shared" si="4"/>
        <v>43868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43868</v>
      </c>
      <c r="AK11" s="35"/>
      <c r="AL11" s="138"/>
      <c r="AM11" s="139"/>
      <c r="AN11" s="138"/>
      <c r="AO11" s="139">
        <v>2000</v>
      </c>
      <c r="AP11" s="138"/>
      <c r="AQ11" s="139">
        <v>1000</v>
      </c>
      <c r="AR11" s="138"/>
      <c r="AS11" s="139">
        <v>91000</v>
      </c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>
        <v>2000</v>
      </c>
      <c r="BF11" s="138"/>
      <c r="BG11" s="138"/>
      <c r="BH11" s="138"/>
      <c r="BI11" s="138"/>
      <c r="BJ11" s="138"/>
      <c r="BK11" s="138"/>
      <c r="BL11" s="160"/>
      <c r="BM11" s="158"/>
      <c r="BN11" s="172"/>
      <c r="BO11" s="166"/>
      <c r="BP11" s="146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5"/>
      <c r="CB11" s="138"/>
    </row>
    <row r="12" spans="1:94">
      <c r="A12" s="21">
        <f t="shared" si="0"/>
        <v>43869</v>
      </c>
      <c r="B12" s="38">
        <v>87000</v>
      </c>
      <c r="C12" s="23"/>
      <c r="D12" s="39">
        <f t="shared" si="1"/>
        <v>87000</v>
      </c>
      <c r="E12" s="40">
        <v>18106</v>
      </c>
      <c r="F12" s="35">
        <v>1934</v>
      </c>
      <c r="G12" s="27"/>
      <c r="H12" s="28">
        <f t="shared" si="2"/>
        <v>20040</v>
      </c>
      <c r="I12" s="35">
        <v>19</v>
      </c>
      <c r="J12" s="41">
        <f t="shared" si="3"/>
        <v>4578.9473684210525</v>
      </c>
      <c r="K12" s="29"/>
      <c r="L12" s="5"/>
      <c r="M12" s="6"/>
      <c r="N12" s="7"/>
      <c r="O12" s="7"/>
      <c r="P12" s="32">
        <f t="shared" si="4"/>
        <v>43869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43869</v>
      </c>
      <c r="AK12" s="35">
        <v>24000</v>
      </c>
      <c r="AL12" s="138"/>
      <c r="AM12" s="139"/>
      <c r="AN12" s="138"/>
      <c r="AO12" s="139">
        <v>13000</v>
      </c>
      <c r="AP12" s="138"/>
      <c r="AQ12" s="139">
        <v>4000</v>
      </c>
      <c r="AR12" s="138"/>
      <c r="AS12" s="139">
        <v>24000</v>
      </c>
      <c r="AT12" s="138"/>
      <c r="AU12" s="139"/>
      <c r="AV12" s="138"/>
      <c r="AW12" s="151"/>
      <c r="AX12" s="138"/>
      <c r="AY12" s="149"/>
      <c r="AZ12" s="138"/>
      <c r="BA12" s="149"/>
      <c r="BB12" s="138"/>
      <c r="BC12" s="149"/>
      <c r="BD12" s="138"/>
      <c r="BE12" s="149"/>
      <c r="BF12" s="138"/>
      <c r="BG12" s="138"/>
      <c r="BH12" s="138"/>
      <c r="BI12" s="138"/>
      <c r="BJ12" s="138">
        <v>2000</v>
      </c>
      <c r="BK12" s="138"/>
      <c r="BL12" s="160"/>
      <c r="BM12" s="158"/>
      <c r="BN12" s="173"/>
      <c r="BO12" s="138"/>
      <c r="BP12" s="146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5"/>
      <c r="CB12" s="138"/>
    </row>
    <row r="13" spans="1:94">
      <c r="A13" s="21">
        <f t="shared" si="0"/>
        <v>43870</v>
      </c>
      <c r="B13" s="38">
        <v>134500</v>
      </c>
      <c r="C13" s="23"/>
      <c r="D13" s="39">
        <f t="shared" si="1"/>
        <v>134500</v>
      </c>
      <c r="E13" s="35">
        <v>2189</v>
      </c>
      <c r="F13" s="35">
        <f>461+7700</f>
        <v>8161</v>
      </c>
      <c r="G13" s="27"/>
      <c r="H13" s="28">
        <f t="shared" si="2"/>
        <v>10350</v>
      </c>
      <c r="I13" s="35">
        <v>31</v>
      </c>
      <c r="J13" s="41">
        <f t="shared" si="3"/>
        <v>4338.7096774193551</v>
      </c>
      <c r="K13" s="29"/>
      <c r="L13" s="5"/>
      <c r="M13" s="6"/>
      <c r="N13" s="7"/>
      <c r="O13" s="7"/>
      <c r="P13" s="32">
        <f t="shared" si="4"/>
        <v>43870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43870</v>
      </c>
      <c r="AK13" s="35"/>
      <c r="AL13" s="138"/>
      <c r="AM13" s="139"/>
      <c r="AN13" s="138"/>
      <c r="AO13" s="139">
        <v>9000</v>
      </c>
      <c r="AP13" s="138"/>
      <c r="AQ13" s="139">
        <v>24500</v>
      </c>
      <c r="AR13" s="138"/>
      <c r="AS13" s="139">
        <v>37000</v>
      </c>
      <c r="AT13" s="138"/>
      <c r="AU13" s="139"/>
      <c r="AV13" s="138"/>
      <c r="AW13" s="151"/>
      <c r="AX13" s="138"/>
      <c r="AY13" s="149"/>
      <c r="AZ13" s="138"/>
      <c r="BA13" s="149"/>
      <c r="BB13" s="138"/>
      <c r="BC13" s="149"/>
      <c r="BD13" s="138"/>
      <c r="BE13" s="149">
        <v>35000</v>
      </c>
      <c r="BF13" s="138"/>
      <c r="BG13" s="138"/>
      <c r="BH13" s="138">
        <v>28000</v>
      </c>
      <c r="BI13" s="138">
        <v>1000</v>
      </c>
      <c r="BJ13" s="138"/>
      <c r="BK13" s="138"/>
      <c r="BL13" s="160"/>
      <c r="BM13" s="158"/>
      <c r="BN13" s="166"/>
      <c r="BO13" s="138"/>
      <c r="BP13" s="146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5"/>
      <c r="CB13" s="138"/>
    </row>
    <row r="14" spans="1:94">
      <c r="A14" s="21">
        <f t="shared" si="0"/>
        <v>43871</v>
      </c>
      <c r="B14" s="38">
        <v>11500</v>
      </c>
      <c r="C14" s="23"/>
      <c r="D14" s="39">
        <f t="shared" si="1"/>
        <v>11500</v>
      </c>
      <c r="E14" s="40">
        <v>16975</v>
      </c>
      <c r="F14" s="44"/>
      <c r="G14" s="27"/>
      <c r="H14" s="28">
        <f t="shared" si="2"/>
        <v>16975</v>
      </c>
      <c r="I14" s="35">
        <v>3</v>
      </c>
      <c r="J14" s="41">
        <f t="shared" si="3"/>
        <v>3833.3333333333335</v>
      </c>
      <c r="K14" s="29"/>
      <c r="L14" s="5"/>
      <c r="M14" s="6"/>
      <c r="N14" s="7"/>
      <c r="O14" s="7"/>
      <c r="P14" s="32">
        <f t="shared" si="4"/>
        <v>43871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43871</v>
      </c>
      <c r="AK14" s="35"/>
      <c r="AL14" s="138"/>
      <c r="AM14" s="139"/>
      <c r="AN14" s="138"/>
      <c r="AO14" s="139">
        <v>5500</v>
      </c>
      <c r="AP14" s="138"/>
      <c r="AQ14" s="139"/>
      <c r="AR14" s="138"/>
      <c r="AS14" s="139">
        <v>6000</v>
      </c>
      <c r="AT14" s="138"/>
      <c r="AU14" s="139"/>
      <c r="AV14" s="138"/>
      <c r="AW14" s="151"/>
      <c r="AX14" s="138"/>
      <c r="AY14" s="149"/>
      <c r="AZ14" s="138"/>
      <c r="BA14" s="149"/>
      <c r="BB14" s="138"/>
      <c r="BC14" s="149"/>
      <c r="BD14" s="138"/>
      <c r="BE14" s="149"/>
      <c r="BF14" s="138"/>
      <c r="BG14" s="138"/>
      <c r="BH14" s="138"/>
      <c r="BI14" s="138"/>
      <c r="BJ14" s="138"/>
      <c r="BK14" s="138"/>
      <c r="BL14" s="138"/>
      <c r="BM14" s="159"/>
      <c r="BN14" s="138"/>
      <c r="BO14" s="138"/>
      <c r="BP14" s="146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5"/>
      <c r="CB14" s="138"/>
    </row>
    <row r="15" spans="1:94">
      <c r="A15" s="21">
        <f t="shared" si="0"/>
        <v>43872</v>
      </c>
      <c r="B15" s="38">
        <v>6000</v>
      </c>
      <c r="C15" s="23"/>
      <c r="D15" s="39">
        <f t="shared" si="1"/>
        <v>6000</v>
      </c>
      <c r="E15" s="40"/>
      <c r="F15" s="35"/>
      <c r="G15" s="27"/>
      <c r="H15" s="28">
        <f t="shared" si="2"/>
        <v>0</v>
      </c>
      <c r="I15" s="35">
        <v>6</v>
      </c>
      <c r="J15" s="41">
        <f t="shared" si="3"/>
        <v>1000</v>
      </c>
      <c r="K15" s="29"/>
      <c r="L15" s="5"/>
      <c r="M15" s="6"/>
      <c r="N15" s="7"/>
      <c r="O15" s="7"/>
      <c r="P15" s="32">
        <f t="shared" si="4"/>
        <v>43872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43872</v>
      </c>
      <c r="AK15" s="35"/>
      <c r="AL15" s="138"/>
      <c r="AM15" s="139"/>
      <c r="AN15" s="138"/>
      <c r="AO15" s="139">
        <v>15000</v>
      </c>
      <c r="AP15" s="138"/>
      <c r="AQ15" s="139">
        <v>3000</v>
      </c>
      <c r="AR15" s="138"/>
      <c r="AS15" s="139">
        <v>60000</v>
      </c>
      <c r="AT15" s="138"/>
      <c r="AU15" s="139"/>
      <c r="AV15" s="138"/>
      <c r="AW15" s="151"/>
      <c r="AX15" s="138"/>
      <c r="AY15" s="149">
        <v>6000</v>
      </c>
      <c r="AZ15" s="138"/>
      <c r="BA15" s="149"/>
      <c r="BB15" s="138"/>
      <c r="BC15" s="149"/>
      <c r="BD15" s="138"/>
      <c r="BE15" s="149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46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5"/>
      <c r="CB15" s="138"/>
    </row>
    <row r="16" spans="1:94">
      <c r="A16" s="21">
        <f t="shared" si="0"/>
        <v>43873</v>
      </c>
      <c r="B16" s="38">
        <v>78000</v>
      </c>
      <c r="C16" s="23"/>
      <c r="D16" s="39">
        <f t="shared" si="1"/>
        <v>78000</v>
      </c>
      <c r="E16" s="40"/>
      <c r="F16" s="35">
        <v>1186</v>
      </c>
      <c r="G16" s="27"/>
      <c r="H16" s="28">
        <f t="shared" si="2"/>
        <v>1186</v>
      </c>
      <c r="I16" s="35">
        <v>5</v>
      </c>
      <c r="J16" s="41">
        <f t="shared" si="3"/>
        <v>15600</v>
      </c>
      <c r="K16" s="29"/>
      <c r="L16" s="5"/>
      <c r="M16" s="6"/>
      <c r="N16" s="7"/>
      <c r="O16" s="7"/>
      <c r="P16" s="32">
        <f t="shared" si="4"/>
        <v>43873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43873</v>
      </c>
      <c r="AK16" s="35"/>
      <c r="AL16" s="138"/>
      <c r="AM16" s="139"/>
      <c r="AN16" s="138"/>
      <c r="AO16" s="139"/>
      <c r="AP16" s="138"/>
      <c r="AQ16" s="139"/>
      <c r="AR16" s="138"/>
      <c r="AS16" s="139"/>
      <c r="AT16" s="138"/>
      <c r="AU16" s="139"/>
      <c r="AV16" s="138"/>
      <c r="AW16" s="151"/>
      <c r="AX16" s="138"/>
      <c r="AY16" s="149"/>
      <c r="AZ16" s="138"/>
      <c r="BA16" s="149"/>
      <c r="BB16" s="138"/>
      <c r="BC16" s="149"/>
      <c r="BD16" s="138"/>
      <c r="BE16" s="149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46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5"/>
      <c r="CB16" s="138"/>
    </row>
    <row r="17" spans="1:80">
      <c r="A17" s="21">
        <f t="shared" si="0"/>
        <v>43874</v>
      </c>
      <c r="B17" s="38">
        <v>193500</v>
      </c>
      <c r="C17" s="23"/>
      <c r="D17" s="39">
        <f t="shared" si="1"/>
        <v>193500</v>
      </c>
      <c r="E17" s="40">
        <v>18942</v>
      </c>
      <c r="F17" s="35">
        <f>715+419</f>
        <v>1134</v>
      </c>
      <c r="G17" s="27"/>
      <c r="H17" s="28">
        <f t="shared" si="2"/>
        <v>20076</v>
      </c>
      <c r="I17" s="35">
        <v>23</v>
      </c>
      <c r="J17" s="41">
        <f t="shared" si="3"/>
        <v>8413.04347826087</v>
      </c>
      <c r="K17" s="29"/>
      <c r="L17" s="5"/>
      <c r="M17" s="6"/>
      <c r="N17" s="7"/>
      <c r="O17" s="7"/>
      <c r="P17" s="32">
        <f t="shared" si="4"/>
        <v>43874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43874</v>
      </c>
      <c r="AK17" s="35"/>
      <c r="AL17" s="138"/>
      <c r="AM17" s="139">
        <v>12500</v>
      </c>
      <c r="AN17" s="138"/>
      <c r="AO17" s="139">
        <v>15000</v>
      </c>
      <c r="AP17" s="138"/>
      <c r="AQ17" s="139">
        <v>81000</v>
      </c>
      <c r="AR17" s="138">
        <v>15000</v>
      </c>
      <c r="AS17" s="139">
        <v>70000</v>
      </c>
      <c r="AT17" s="138"/>
      <c r="AU17" s="139"/>
      <c r="AV17" s="138"/>
      <c r="AW17" s="151"/>
      <c r="AX17" s="138"/>
      <c r="AY17" s="149"/>
      <c r="AZ17" s="138"/>
      <c r="BA17" s="149"/>
      <c r="BB17" s="138"/>
      <c r="BC17" s="149"/>
      <c r="BD17" s="138"/>
      <c r="BE17" s="149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46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5"/>
      <c r="CB17" s="138"/>
    </row>
    <row r="18" spans="1:80">
      <c r="A18" s="21">
        <f t="shared" si="0"/>
        <v>43875</v>
      </c>
      <c r="B18" s="38">
        <v>141900</v>
      </c>
      <c r="C18" s="23"/>
      <c r="D18" s="39">
        <f t="shared" si="1"/>
        <v>141900</v>
      </c>
      <c r="E18" s="40"/>
      <c r="F18" s="35">
        <v>15826</v>
      </c>
      <c r="G18" s="27"/>
      <c r="H18" s="28">
        <f t="shared" si="2"/>
        <v>15826</v>
      </c>
      <c r="I18" s="35">
        <v>21</v>
      </c>
      <c r="J18" s="41">
        <f t="shared" si="3"/>
        <v>6757.1428571428569</v>
      </c>
      <c r="K18" s="29"/>
      <c r="L18" s="5"/>
      <c r="M18" s="45"/>
      <c r="N18" s="46"/>
      <c r="O18" s="7"/>
      <c r="P18" s="32">
        <f t="shared" si="4"/>
        <v>43875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43875</v>
      </c>
      <c r="AK18" s="35"/>
      <c r="AL18" s="138"/>
      <c r="AM18" s="139"/>
      <c r="AN18" s="138"/>
      <c r="AO18" s="139">
        <v>32000</v>
      </c>
      <c r="AP18" s="138"/>
      <c r="AQ18" s="139">
        <v>16400</v>
      </c>
      <c r="AR18" s="138"/>
      <c r="AS18" s="139">
        <v>25000</v>
      </c>
      <c r="AT18" s="138">
        <v>50000</v>
      </c>
      <c r="AU18" s="139"/>
      <c r="AV18" s="138"/>
      <c r="AW18" s="151"/>
      <c r="AX18" s="138"/>
      <c r="AY18" s="149">
        <v>12500</v>
      </c>
      <c r="AZ18" s="138"/>
      <c r="BA18" s="149"/>
      <c r="BB18" s="138"/>
      <c r="BC18" s="149"/>
      <c r="BD18" s="138"/>
      <c r="BE18" s="149"/>
      <c r="BF18" s="138"/>
      <c r="BG18" s="138"/>
      <c r="BH18" s="138"/>
      <c r="BI18" s="138"/>
      <c r="BJ18" s="138"/>
      <c r="BK18" s="138">
        <v>6000</v>
      </c>
      <c r="BL18" s="138"/>
      <c r="BM18" s="138"/>
      <c r="BN18" s="138"/>
      <c r="BO18" s="138"/>
      <c r="BP18" s="146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5"/>
      <c r="CB18" s="138"/>
    </row>
    <row r="19" spans="1:80">
      <c r="A19" s="21">
        <f t="shared" si="0"/>
        <v>43876</v>
      </c>
      <c r="B19" s="38">
        <v>306000</v>
      </c>
      <c r="C19" s="23"/>
      <c r="D19" s="39">
        <f t="shared" si="1"/>
        <v>306000</v>
      </c>
      <c r="E19" s="40">
        <v>36727</v>
      </c>
      <c r="F19" s="35">
        <v>2275</v>
      </c>
      <c r="G19" s="27"/>
      <c r="H19" s="28">
        <f t="shared" si="2"/>
        <v>39002</v>
      </c>
      <c r="I19" s="35">
        <v>27</v>
      </c>
      <c r="J19" s="41">
        <f t="shared" si="3"/>
        <v>11333.333333333334</v>
      </c>
      <c r="K19" s="29"/>
      <c r="L19" s="5"/>
      <c r="M19" s="516" t="s">
        <v>26</v>
      </c>
      <c r="N19" s="517"/>
      <c r="O19" s="6"/>
      <c r="P19" s="32">
        <f t="shared" si="4"/>
        <v>43876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43876</v>
      </c>
      <c r="AK19" s="35"/>
      <c r="AL19" s="138"/>
      <c r="AM19" s="139"/>
      <c r="AN19" s="138"/>
      <c r="AO19" s="139">
        <v>6000</v>
      </c>
      <c r="AP19" s="138"/>
      <c r="AQ19" s="139">
        <v>16000</v>
      </c>
      <c r="AR19" s="138"/>
      <c r="AS19" s="139">
        <v>78000</v>
      </c>
      <c r="AT19" s="138">
        <v>125000</v>
      </c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/>
      <c r="BK19" s="138"/>
      <c r="BL19" s="138"/>
      <c r="BM19" s="138">
        <v>6000</v>
      </c>
      <c r="BN19" s="138">
        <v>5000</v>
      </c>
      <c r="BO19" s="138">
        <v>56000</v>
      </c>
      <c r="BP19" s="146"/>
      <c r="BQ19" s="144"/>
      <c r="BR19" s="144"/>
      <c r="BS19" s="144"/>
      <c r="BT19" s="144"/>
      <c r="BU19" s="144"/>
      <c r="BV19" s="144"/>
      <c r="BW19" s="144"/>
      <c r="BX19" s="144">
        <v>14000</v>
      </c>
      <c r="BY19" s="144"/>
      <c r="BZ19" s="144"/>
      <c r="CA19" s="145"/>
      <c r="CB19" s="138"/>
    </row>
    <row r="20" spans="1:80">
      <c r="A20" s="21">
        <f t="shared" si="0"/>
        <v>43877</v>
      </c>
      <c r="B20" s="38">
        <v>179000</v>
      </c>
      <c r="C20" s="38"/>
      <c r="D20" s="39">
        <f t="shared" si="1"/>
        <v>179000</v>
      </c>
      <c r="E20" s="40">
        <v>13266</v>
      </c>
      <c r="F20" s="35">
        <v>674</v>
      </c>
      <c r="G20" s="27"/>
      <c r="H20" s="28">
        <f t="shared" si="2"/>
        <v>13940</v>
      </c>
      <c r="I20" s="35">
        <v>17</v>
      </c>
      <c r="J20" s="41">
        <f t="shared" si="3"/>
        <v>10529.411764705883</v>
      </c>
      <c r="K20" s="29"/>
      <c r="L20" s="5"/>
      <c r="M20" s="47" t="s">
        <v>27</v>
      </c>
      <c r="N20" s="568">
        <v>310030</v>
      </c>
      <c r="O20" s="6"/>
      <c r="P20" s="32">
        <f t="shared" si="4"/>
        <v>43877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43877</v>
      </c>
      <c r="AK20" s="35"/>
      <c r="AL20" s="138"/>
      <c r="AM20" s="139"/>
      <c r="AN20" s="138"/>
      <c r="AO20" s="139">
        <v>40000</v>
      </c>
      <c r="AP20" s="138">
        <v>15000</v>
      </c>
      <c r="AQ20" s="139">
        <v>15000</v>
      </c>
      <c r="AR20" s="138"/>
      <c r="AS20" s="139">
        <v>30000</v>
      </c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>
        <v>35000</v>
      </c>
      <c r="BF20" s="138"/>
      <c r="BG20" s="138"/>
      <c r="BH20" s="138"/>
      <c r="BI20" s="138"/>
      <c r="BJ20" s="138"/>
      <c r="BK20" s="138"/>
      <c r="BL20" s="138"/>
      <c r="BM20" s="138">
        <v>10000</v>
      </c>
      <c r="BN20" s="138"/>
      <c r="BO20" s="138"/>
      <c r="BP20" s="146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5">
        <v>34000</v>
      </c>
      <c r="CB20" s="138"/>
    </row>
    <row r="21" spans="1:80">
      <c r="A21" s="21">
        <f t="shared" si="0"/>
        <v>43878</v>
      </c>
      <c r="B21" s="38">
        <v>172500</v>
      </c>
      <c r="C21" s="38"/>
      <c r="D21" s="39">
        <f t="shared" si="1"/>
        <v>172500</v>
      </c>
      <c r="E21" s="40">
        <v>35857</v>
      </c>
      <c r="F21" s="35">
        <v>1850</v>
      </c>
      <c r="G21" s="27"/>
      <c r="H21" s="28">
        <f t="shared" si="2"/>
        <v>37707</v>
      </c>
      <c r="I21" s="35">
        <v>26</v>
      </c>
      <c r="J21" s="41">
        <f t="shared" si="3"/>
        <v>6634.6153846153848</v>
      </c>
      <c r="K21" s="29"/>
      <c r="L21" s="5"/>
      <c r="M21" s="47" t="s">
        <v>28</v>
      </c>
      <c r="N21" s="569"/>
      <c r="O21" s="6"/>
      <c r="P21" s="32">
        <f t="shared" si="4"/>
        <v>43878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43878</v>
      </c>
      <c r="AK21" s="35"/>
      <c r="AL21" s="138"/>
      <c r="AM21" s="139"/>
      <c r="AN21" s="138"/>
      <c r="AO21" s="139">
        <v>34000</v>
      </c>
      <c r="AP21" s="138"/>
      <c r="AQ21" s="139">
        <v>22500</v>
      </c>
      <c r="AR21" s="138"/>
      <c r="AS21" s="139">
        <v>30000</v>
      </c>
      <c r="AT21" s="138">
        <v>70000</v>
      </c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/>
      <c r="BF21" s="138"/>
      <c r="BG21" s="138"/>
      <c r="BH21" s="138"/>
      <c r="BI21" s="138"/>
      <c r="BJ21" s="138"/>
      <c r="BK21" s="138"/>
      <c r="BL21" s="138">
        <v>1000</v>
      </c>
      <c r="BM21" s="138"/>
      <c r="BN21" s="138"/>
      <c r="BO21" s="138"/>
      <c r="BP21" s="146"/>
      <c r="BQ21" s="144">
        <v>15000</v>
      </c>
      <c r="BR21" s="144"/>
      <c r="BS21" s="144"/>
      <c r="BT21" s="144"/>
      <c r="BU21" s="144"/>
      <c r="BV21" s="144"/>
      <c r="BW21" s="144"/>
      <c r="BX21" s="144"/>
      <c r="BY21" s="144"/>
      <c r="BZ21" s="144"/>
      <c r="CA21" s="145"/>
      <c r="CB21" s="138"/>
    </row>
    <row r="22" spans="1:80">
      <c r="A22" s="21">
        <f t="shared" si="0"/>
        <v>43879</v>
      </c>
      <c r="B22" s="38">
        <v>40000</v>
      </c>
      <c r="C22" s="38"/>
      <c r="D22" s="39">
        <f t="shared" si="1"/>
        <v>40000</v>
      </c>
      <c r="E22" s="40"/>
      <c r="F22" s="35"/>
      <c r="G22" s="27"/>
      <c r="H22" s="28">
        <f t="shared" si="2"/>
        <v>0</v>
      </c>
      <c r="I22" s="35">
        <v>2</v>
      </c>
      <c r="J22" s="41">
        <f t="shared" si="3"/>
        <v>20000</v>
      </c>
      <c r="K22" s="29"/>
      <c r="L22" s="5"/>
      <c r="M22" s="47" t="s">
        <v>29</v>
      </c>
      <c r="N22" s="35">
        <v>7000</v>
      </c>
      <c r="O22" s="6"/>
      <c r="P22" s="32">
        <f t="shared" si="4"/>
        <v>43879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43879</v>
      </c>
      <c r="AK22" s="35"/>
      <c r="AL22" s="138"/>
      <c r="AM22" s="139">
        <v>15000</v>
      </c>
      <c r="AN22" s="138">
        <v>25000</v>
      </c>
      <c r="AO22" s="139"/>
      <c r="AP22" s="138"/>
      <c r="AQ22" s="139"/>
      <c r="AR22" s="138"/>
      <c r="AS22" s="153"/>
      <c r="AT22" s="138"/>
      <c r="AU22" s="139"/>
      <c r="AV22" s="138"/>
      <c r="AW22" s="151"/>
      <c r="AX22" s="138"/>
      <c r="AY22" s="139"/>
      <c r="AZ22" s="138"/>
      <c r="BA22" s="139"/>
      <c r="BB22" s="138"/>
      <c r="BC22" s="149"/>
      <c r="BD22" s="138"/>
      <c r="BE22" s="149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46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5"/>
      <c r="CB22" s="138"/>
    </row>
    <row r="23" spans="1:80">
      <c r="A23" s="21">
        <f t="shared" si="0"/>
        <v>43880</v>
      </c>
      <c r="B23" s="38">
        <v>143000</v>
      </c>
      <c r="C23" s="38"/>
      <c r="D23" s="39">
        <f t="shared" si="1"/>
        <v>143000</v>
      </c>
      <c r="E23" s="40">
        <v>14793</v>
      </c>
      <c r="F23" s="35">
        <v>1388</v>
      </c>
      <c r="G23" s="27"/>
      <c r="H23" s="28">
        <f t="shared" si="2"/>
        <v>16181</v>
      </c>
      <c r="I23" s="35">
        <v>8</v>
      </c>
      <c r="J23" s="41">
        <f t="shared" si="3"/>
        <v>17875</v>
      </c>
      <c r="K23" s="29"/>
      <c r="L23" s="5"/>
      <c r="M23" s="47" t="s">
        <v>30</v>
      </c>
      <c r="N23" s="35">
        <v>0</v>
      </c>
      <c r="O23" s="6"/>
      <c r="P23" s="32">
        <f t="shared" si="4"/>
        <v>43880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43880</v>
      </c>
      <c r="AK23" s="35"/>
      <c r="AL23" s="138"/>
      <c r="AM23" s="139"/>
      <c r="AN23" s="138"/>
      <c r="AO23" s="139">
        <v>6000</v>
      </c>
      <c r="AP23" s="138"/>
      <c r="AQ23" s="139">
        <v>32000</v>
      </c>
      <c r="AR23" s="138">
        <v>60000</v>
      </c>
      <c r="AS23" s="139">
        <v>45000</v>
      </c>
      <c r="AT23" s="138"/>
      <c r="AU23" s="139"/>
      <c r="AV23" s="138"/>
      <c r="AW23" s="151"/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46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5"/>
      <c r="CB23" s="138"/>
    </row>
    <row r="24" spans="1:80">
      <c r="A24" s="21">
        <f t="shared" si="0"/>
        <v>43881</v>
      </c>
      <c r="B24" s="38">
        <v>48000</v>
      </c>
      <c r="C24" s="38"/>
      <c r="D24" s="39">
        <f t="shared" si="1"/>
        <v>48000</v>
      </c>
      <c r="E24" s="40">
        <v>13156</v>
      </c>
      <c r="F24" s="35"/>
      <c r="G24" s="27"/>
      <c r="H24" s="28">
        <f t="shared" si="2"/>
        <v>13156</v>
      </c>
      <c r="I24" s="35">
        <v>5</v>
      </c>
      <c r="J24" s="41">
        <f t="shared" si="3"/>
        <v>9600</v>
      </c>
      <c r="K24" s="29"/>
      <c r="L24" s="5"/>
      <c r="M24" s="47" t="s">
        <v>31</v>
      </c>
      <c r="N24" s="35">
        <v>200000</v>
      </c>
      <c r="O24" s="6"/>
      <c r="P24" s="32">
        <f t="shared" si="4"/>
        <v>43881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43881</v>
      </c>
      <c r="AK24" s="35"/>
      <c r="AL24" s="138"/>
      <c r="AM24" s="139"/>
      <c r="AN24" s="138"/>
      <c r="AO24" s="139"/>
      <c r="AP24" s="138"/>
      <c r="AQ24" s="139">
        <v>15000</v>
      </c>
      <c r="AR24" s="138"/>
      <c r="AS24" s="139">
        <v>33000</v>
      </c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46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5"/>
      <c r="CB24" s="138"/>
    </row>
    <row r="25" spans="1:80">
      <c r="A25" s="21">
        <f t="shared" si="0"/>
        <v>43882</v>
      </c>
      <c r="B25" s="38">
        <v>128500</v>
      </c>
      <c r="C25" s="38"/>
      <c r="D25" s="39">
        <f t="shared" si="1"/>
        <v>128500</v>
      </c>
      <c r="E25" s="40"/>
      <c r="F25" s="35">
        <v>3623</v>
      </c>
      <c r="G25" s="27"/>
      <c r="H25" s="28">
        <f t="shared" ref="H25:H35" si="6">E25+F25+G25</f>
        <v>3623</v>
      </c>
      <c r="I25" s="35">
        <v>24</v>
      </c>
      <c r="J25" s="41">
        <f t="shared" si="3"/>
        <v>5354.166666666667</v>
      </c>
      <c r="K25" s="29"/>
      <c r="L25" s="5"/>
      <c r="M25" s="47" t="s">
        <v>32</v>
      </c>
      <c r="N25" s="35">
        <v>35000</v>
      </c>
      <c r="O25" s="6"/>
      <c r="P25" s="32">
        <f t="shared" si="4"/>
        <v>43882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43882</v>
      </c>
      <c r="AK25" s="35"/>
      <c r="AL25" s="138"/>
      <c r="AM25" s="139"/>
      <c r="AN25" s="138"/>
      <c r="AO25" s="139">
        <v>33500</v>
      </c>
      <c r="AP25" s="138"/>
      <c r="AQ25" s="139">
        <v>26000</v>
      </c>
      <c r="AR25" s="138"/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>
        <v>2000</v>
      </c>
      <c r="BK25" s="138"/>
      <c r="BL25" s="138"/>
      <c r="BM25" s="138"/>
      <c r="BN25" s="138"/>
      <c r="BO25" s="138"/>
      <c r="BP25" s="146">
        <v>3000</v>
      </c>
      <c r="BQ25" s="144"/>
      <c r="BR25" s="144">
        <v>28000</v>
      </c>
      <c r="BS25" s="144"/>
      <c r="BT25" s="144"/>
      <c r="BU25" s="144"/>
      <c r="BV25" s="144"/>
      <c r="BW25" s="144"/>
      <c r="BX25" s="144"/>
      <c r="BY25" s="144"/>
      <c r="BZ25" s="144"/>
      <c r="CA25" s="145"/>
      <c r="CB25" s="138"/>
    </row>
    <row r="26" spans="1:80">
      <c r="A26" s="21">
        <f t="shared" si="0"/>
        <v>43883</v>
      </c>
      <c r="B26" s="38">
        <v>252800</v>
      </c>
      <c r="C26" s="38"/>
      <c r="D26" s="39">
        <f t="shared" si="1"/>
        <v>252800</v>
      </c>
      <c r="E26" s="40">
        <v>15984</v>
      </c>
      <c r="F26" s="35">
        <v>15140</v>
      </c>
      <c r="G26" s="27"/>
      <c r="H26" s="28">
        <f t="shared" si="6"/>
        <v>31124</v>
      </c>
      <c r="I26" s="35">
        <v>60</v>
      </c>
      <c r="J26" s="41">
        <f t="shared" si="3"/>
        <v>4213.333333333333</v>
      </c>
      <c r="K26" s="29"/>
      <c r="L26" s="5"/>
      <c r="M26" s="47" t="s">
        <v>80</v>
      </c>
      <c r="N26" s="35">
        <v>22700</v>
      </c>
      <c r="O26" s="6"/>
      <c r="P26" s="32">
        <f t="shared" si="4"/>
        <v>43883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43883</v>
      </c>
      <c r="AK26" s="35"/>
      <c r="AL26" s="138"/>
      <c r="AM26" s="139"/>
      <c r="AN26" s="138"/>
      <c r="AO26" s="139">
        <v>14000</v>
      </c>
      <c r="AP26" s="138"/>
      <c r="AQ26" s="139">
        <v>4000</v>
      </c>
      <c r="AR26" s="138"/>
      <c r="AS26" s="139">
        <v>36000</v>
      </c>
      <c r="AT26" s="138"/>
      <c r="AU26" s="139"/>
      <c r="AV26" s="138"/>
      <c r="AW26" s="151"/>
      <c r="AX26" s="138"/>
      <c r="AY26" s="149">
        <v>90000</v>
      </c>
      <c r="AZ26" s="138"/>
      <c r="BA26" s="149"/>
      <c r="BB26" s="138"/>
      <c r="BC26" s="149"/>
      <c r="BD26" s="138"/>
      <c r="BE26" s="149">
        <v>30000</v>
      </c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46">
        <v>6300</v>
      </c>
      <c r="BQ26" s="144"/>
      <c r="BR26" s="144"/>
      <c r="BS26" s="144">
        <v>32000</v>
      </c>
      <c r="BT26" s="144">
        <v>80500</v>
      </c>
      <c r="BU26" s="144"/>
      <c r="BV26" s="144"/>
      <c r="BW26" s="144"/>
      <c r="BX26" s="144"/>
      <c r="BY26" s="144"/>
      <c r="BZ26" s="144"/>
      <c r="CA26" s="175"/>
      <c r="CB26" s="138"/>
    </row>
    <row r="27" spans="1:80">
      <c r="A27" s="21">
        <f t="shared" si="0"/>
        <v>43884</v>
      </c>
      <c r="B27" s="38">
        <v>114000</v>
      </c>
      <c r="C27" s="38"/>
      <c r="D27" s="39">
        <f t="shared" si="1"/>
        <v>114000</v>
      </c>
      <c r="E27" s="40">
        <v>28325</v>
      </c>
      <c r="F27" s="35">
        <v>1252</v>
      </c>
      <c r="G27" s="27"/>
      <c r="H27" s="28">
        <f t="shared" si="6"/>
        <v>29577</v>
      </c>
      <c r="I27" s="35">
        <v>33</v>
      </c>
      <c r="J27" s="41">
        <f t="shared" si="3"/>
        <v>3454.5454545454545</v>
      </c>
      <c r="K27" s="29"/>
      <c r="L27" s="5"/>
      <c r="M27" s="47"/>
      <c r="N27" s="35"/>
      <c r="O27" s="7"/>
      <c r="P27" s="32">
        <f t="shared" si="4"/>
        <v>43884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43884</v>
      </c>
      <c r="AK27" s="35"/>
      <c r="AL27" s="138"/>
      <c r="AM27" s="139"/>
      <c r="AN27" s="138"/>
      <c r="AO27" s="139">
        <v>20000</v>
      </c>
      <c r="AP27" s="138"/>
      <c r="AQ27" s="139"/>
      <c r="AR27" s="138"/>
      <c r="AS27" s="139">
        <v>25000</v>
      </c>
      <c r="AT27" s="138"/>
      <c r="AU27" s="139"/>
      <c r="AV27" s="138"/>
      <c r="AW27" s="151"/>
      <c r="AX27" s="138"/>
      <c r="AY27" s="149">
        <v>4000</v>
      </c>
      <c r="AZ27" s="138"/>
      <c r="BA27" s="149"/>
      <c r="BB27" s="138"/>
      <c r="BC27" s="149"/>
      <c r="BD27" s="138"/>
      <c r="BE27" s="149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46"/>
      <c r="BQ27" s="144"/>
      <c r="BR27" s="144"/>
      <c r="BS27" s="144"/>
      <c r="BT27" s="144"/>
      <c r="BU27" s="144">
        <v>63000</v>
      </c>
      <c r="BV27" s="144">
        <v>2000</v>
      </c>
      <c r="BW27" s="144"/>
      <c r="BX27" s="144"/>
      <c r="BY27" s="144"/>
      <c r="BZ27" s="144"/>
      <c r="CA27" s="161"/>
      <c r="CB27" s="158"/>
    </row>
    <row r="28" spans="1:80">
      <c r="A28" s="21">
        <f t="shared" si="0"/>
        <v>43885</v>
      </c>
      <c r="B28" s="38">
        <v>41000</v>
      </c>
      <c r="C28" s="38"/>
      <c r="D28" s="39">
        <f t="shared" si="1"/>
        <v>41000</v>
      </c>
      <c r="E28" s="40"/>
      <c r="F28" s="35">
        <v>23010</v>
      </c>
      <c r="G28" s="27"/>
      <c r="H28" s="28">
        <f t="shared" si="6"/>
        <v>23010</v>
      </c>
      <c r="I28" s="35">
        <v>11</v>
      </c>
      <c r="J28" s="41">
        <f t="shared" si="3"/>
        <v>3727.2727272727275</v>
      </c>
      <c r="K28" s="29"/>
      <c r="L28" s="5"/>
      <c r="M28" s="49" t="s">
        <v>33</v>
      </c>
      <c r="N28" s="50">
        <f>SUM(N20:N27)</f>
        <v>574730</v>
      </c>
      <c r="O28" s="7"/>
      <c r="P28" s="32">
        <f t="shared" si="4"/>
        <v>43885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43885</v>
      </c>
      <c r="AK28" s="35"/>
      <c r="AL28" s="138"/>
      <c r="AM28" s="139"/>
      <c r="AN28" s="138"/>
      <c r="AO28" s="139">
        <v>17000</v>
      </c>
      <c r="AP28" s="138"/>
      <c r="AQ28" s="139">
        <v>3000</v>
      </c>
      <c r="AR28" s="138"/>
      <c r="AS28" s="139">
        <v>21000</v>
      </c>
      <c r="AT28" s="138"/>
      <c r="AU28" s="139"/>
      <c r="AV28" s="138"/>
      <c r="AW28" s="151"/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46"/>
      <c r="BQ28" s="144"/>
      <c r="BR28" s="144"/>
      <c r="BS28" s="161"/>
      <c r="BT28" s="161"/>
      <c r="BU28" s="161"/>
      <c r="BV28" s="161"/>
      <c r="BW28" s="161"/>
      <c r="BX28" s="144"/>
      <c r="BY28" s="144"/>
      <c r="BZ28" s="144"/>
      <c r="CA28" s="161"/>
      <c r="CB28" s="158"/>
    </row>
    <row r="29" spans="1:80">
      <c r="A29" s="21">
        <f t="shared" si="0"/>
        <v>43886</v>
      </c>
      <c r="B29" s="38">
        <v>0</v>
      </c>
      <c r="C29" s="38"/>
      <c r="D29" s="39">
        <f t="shared" si="1"/>
        <v>0</v>
      </c>
      <c r="E29" s="40"/>
      <c r="F29" s="35"/>
      <c r="G29" s="27"/>
      <c r="H29" s="28">
        <f t="shared" si="6"/>
        <v>0</v>
      </c>
      <c r="I29" s="35">
        <v>0</v>
      </c>
      <c r="J29" s="41" t="str">
        <f t="shared" si="3"/>
        <v/>
      </c>
      <c r="K29" s="29"/>
      <c r="L29" s="5"/>
      <c r="M29" s="51"/>
      <c r="N29" s="7"/>
      <c r="O29" s="7"/>
      <c r="P29" s="32">
        <f t="shared" si="4"/>
        <v>43886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43886</v>
      </c>
      <c r="AK29" s="35"/>
      <c r="AL29" s="138"/>
      <c r="AM29" s="139"/>
      <c r="AN29" s="138"/>
      <c r="AO29" s="139"/>
      <c r="AP29" s="138"/>
      <c r="AQ29" s="139"/>
      <c r="AR29" s="138"/>
      <c r="AS29" s="139"/>
      <c r="AT29" s="138"/>
      <c r="AU29" s="139"/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46"/>
      <c r="BQ29" s="144"/>
      <c r="BR29" s="161"/>
      <c r="BS29" s="161"/>
      <c r="BT29" s="161"/>
      <c r="BU29" s="161"/>
      <c r="BV29" s="161"/>
      <c r="BW29" s="161"/>
      <c r="BX29" s="144"/>
      <c r="BY29" s="144"/>
      <c r="BZ29" s="144"/>
      <c r="CA29" s="161"/>
      <c r="CB29" s="158"/>
    </row>
    <row r="30" spans="1:80">
      <c r="A30" s="21">
        <f t="shared" si="0"/>
        <v>43887</v>
      </c>
      <c r="B30" s="38">
        <v>171000</v>
      </c>
      <c r="C30" s="38"/>
      <c r="D30" s="39">
        <f t="shared" si="1"/>
        <v>171000</v>
      </c>
      <c r="E30" s="40">
        <f>23000+6378</f>
        <v>29378</v>
      </c>
      <c r="F30" s="35"/>
      <c r="G30" s="27"/>
      <c r="H30" s="28">
        <f t="shared" si="6"/>
        <v>29378</v>
      </c>
      <c r="I30" s="35">
        <v>19</v>
      </c>
      <c r="J30" s="41">
        <f t="shared" si="3"/>
        <v>9000</v>
      </c>
      <c r="K30" s="29"/>
      <c r="L30" s="5"/>
      <c r="M30" s="45"/>
      <c r="N30" s="7"/>
      <c r="O30" s="7"/>
      <c r="P30" s="32">
        <f t="shared" si="4"/>
        <v>43887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43887</v>
      </c>
      <c r="AK30" s="35">
        <v>4000</v>
      </c>
      <c r="AL30" s="138"/>
      <c r="AM30" s="139"/>
      <c r="AN30" s="138"/>
      <c r="AO30" s="139">
        <v>19000</v>
      </c>
      <c r="AP30" s="138"/>
      <c r="AQ30" s="139">
        <v>104000</v>
      </c>
      <c r="AR30" s="138"/>
      <c r="AS30" s="139">
        <v>32000</v>
      </c>
      <c r="AT30" s="138"/>
      <c r="AU30" s="139"/>
      <c r="AV30" s="138"/>
      <c r="AW30" s="151"/>
      <c r="AX30" s="138"/>
      <c r="AY30" s="149"/>
      <c r="AZ30" s="138"/>
      <c r="BA30" s="149"/>
      <c r="BB30" s="138"/>
      <c r="BC30" s="149"/>
      <c r="BD30" s="138"/>
      <c r="BE30" s="149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46"/>
      <c r="BQ30" s="144"/>
      <c r="BR30" s="161"/>
      <c r="BS30" s="161"/>
      <c r="BT30" s="161"/>
      <c r="BU30" s="161"/>
      <c r="BV30" s="161"/>
      <c r="BW30" s="161">
        <v>12000</v>
      </c>
      <c r="BX30" s="144"/>
      <c r="BY30" s="144"/>
      <c r="BZ30" s="144"/>
      <c r="CA30" s="161"/>
      <c r="CB30" s="158"/>
    </row>
    <row r="31" spans="1:80">
      <c r="A31" s="21">
        <f t="shared" si="0"/>
        <v>43888</v>
      </c>
      <c r="B31" s="38">
        <v>26000</v>
      </c>
      <c r="C31" s="38"/>
      <c r="D31" s="39">
        <f t="shared" si="1"/>
        <v>26000</v>
      </c>
      <c r="E31" s="40">
        <v>3256</v>
      </c>
      <c r="F31" s="35">
        <v>3104</v>
      </c>
      <c r="G31" s="27"/>
      <c r="H31" s="28">
        <f t="shared" si="6"/>
        <v>6360</v>
      </c>
      <c r="I31" s="35">
        <v>3</v>
      </c>
      <c r="J31" s="41">
        <f t="shared" si="3"/>
        <v>8666.6666666666661</v>
      </c>
      <c r="K31" s="29"/>
      <c r="L31" s="5"/>
      <c r="M31" s="45"/>
      <c r="N31" s="52"/>
      <c r="O31" s="7"/>
      <c r="P31" s="32">
        <f t="shared" si="4"/>
        <v>43888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43888</v>
      </c>
      <c r="AK31" s="35"/>
      <c r="AL31" s="138"/>
      <c r="AM31" s="139"/>
      <c r="AN31" s="138"/>
      <c r="AO31" s="139"/>
      <c r="AP31" s="138"/>
      <c r="AQ31" s="139">
        <v>2000</v>
      </c>
      <c r="AR31" s="138"/>
      <c r="AS31" s="139">
        <v>24000</v>
      </c>
      <c r="AT31" s="138"/>
      <c r="AU31" s="139"/>
      <c r="AV31" s="138"/>
      <c r="AW31" s="151"/>
      <c r="AX31" s="138"/>
      <c r="AY31" s="149"/>
      <c r="AZ31" s="138"/>
      <c r="BA31" s="149"/>
      <c r="BB31" s="138"/>
      <c r="BC31" s="149"/>
      <c r="BD31" s="138"/>
      <c r="BE31" s="149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46"/>
      <c r="BQ31" s="144"/>
      <c r="BR31" s="161"/>
      <c r="BS31" s="161"/>
      <c r="BT31" s="161"/>
      <c r="BU31" s="161"/>
      <c r="BV31" s="161"/>
      <c r="BW31" s="161"/>
      <c r="BX31" s="161"/>
      <c r="BY31" s="161"/>
      <c r="BZ31" s="144"/>
      <c r="CA31" s="161"/>
      <c r="CB31" s="158"/>
    </row>
    <row r="32" spans="1:80">
      <c r="A32" s="21">
        <f t="shared" si="0"/>
        <v>43889</v>
      </c>
      <c r="B32" s="38">
        <v>166000</v>
      </c>
      <c r="C32" s="38"/>
      <c r="D32" s="39">
        <f t="shared" si="1"/>
        <v>166000</v>
      </c>
      <c r="E32" s="40"/>
      <c r="F32" s="35">
        <v>2705</v>
      </c>
      <c r="G32" s="27"/>
      <c r="H32" s="28">
        <f t="shared" si="6"/>
        <v>2705</v>
      </c>
      <c r="I32" s="35">
        <v>25</v>
      </c>
      <c r="J32" s="41">
        <f t="shared" si="3"/>
        <v>6640</v>
      </c>
      <c r="K32" s="29"/>
      <c r="L32" s="5"/>
      <c r="M32" s="53" t="s">
        <v>34</v>
      </c>
      <c r="N32" s="38">
        <f>D37</f>
        <v>3283700</v>
      </c>
      <c r="O32" s="6"/>
      <c r="P32" s="32">
        <f t="shared" si="4"/>
        <v>43889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43889</v>
      </c>
      <c r="AK32" s="35"/>
      <c r="AL32" s="138"/>
      <c r="AM32" s="139"/>
      <c r="AN32" s="138"/>
      <c r="AO32" s="139">
        <v>4000</v>
      </c>
      <c r="AP32" s="138"/>
      <c r="AQ32" s="139"/>
      <c r="AR32" s="138"/>
      <c r="AS32" s="139">
        <v>64000</v>
      </c>
      <c r="AT32" s="138"/>
      <c r="AU32" s="139"/>
      <c r="AV32" s="138"/>
      <c r="AW32" s="151"/>
      <c r="AX32" s="138"/>
      <c r="AY32" s="149"/>
      <c r="AZ32" s="138"/>
      <c r="BA32" s="149"/>
      <c r="BB32" s="138"/>
      <c r="BC32" s="149"/>
      <c r="BD32" s="138"/>
      <c r="BE32" s="149">
        <v>46000</v>
      </c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46"/>
      <c r="BQ32" s="144"/>
      <c r="BR32" s="161"/>
      <c r="BS32" s="161"/>
      <c r="BT32" s="161"/>
      <c r="BU32" s="161"/>
      <c r="BV32" s="161"/>
      <c r="BW32" s="161"/>
      <c r="BX32" s="161"/>
      <c r="BY32" s="161">
        <v>3000</v>
      </c>
      <c r="BZ32" s="144">
        <v>38000</v>
      </c>
      <c r="CA32" s="161">
        <v>11000</v>
      </c>
      <c r="CB32" s="158"/>
    </row>
    <row r="33" spans="1:82">
      <c r="A33" s="21">
        <f t="shared" si="0"/>
        <v>43890</v>
      </c>
      <c r="B33" s="38">
        <v>137000</v>
      </c>
      <c r="C33" s="38"/>
      <c r="D33" s="39">
        <f t="shared" si="1"/>
        <v>137000</v>
      </c>
      <c r="E33" s="40">
        <v>12749</v>
      </c>
      <c r="F33" s="35">
        <v>2948</v>
      </c>
      <c r="G33" s="27"/>
      <c r="H33" s="28">
        <f t="shared" si="6"/>
        <v>15697</v>
      </c>
      <c r="I33" s="35">
        <v>38</v>
      </c>
      <c r="J33" s="41">
        <f t="shared" si="3"/>
        <v>3605.2631578947367</v>
      </c>
      <c r="K33" s="29"/>
      <c r="L33" s="5"/>
      <c r="M33" s="53" t="s">
        <v>35</v>
      </c>
      <c r="N33" s="38">
        <f>H37</f>
        <v>412537</v>
      </c>
      <c r="O33" s="6"/>
      <c r="P33" s="32">
        <f>IF($A$33="","",$A$33)</f>
        <v>43890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43890</v>
      </c>
      <c r="AK33" s="56">
        <v>33000</v>
      </c>
      <c r="AL33" s="138"/>
      <c r="AM33" s="139"/>
      <c r="AN33" s="138"/>
      <c r="AO33" s="139">
        <v>23000</v>
      </c>
      <c r="AP33" s="138"/>
      <c r="AQ33" s="139">
        <v>1000</v>
      </c>
      <c r="AR33" s="138"/>
      <c r="AS33" s="139"/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>
        <v>20000</v>
      </c>
      <c r="BF33" s="138"/>
      <c r="BG33" s="138"/>
      <c r="BH33" s="138"/>
      <c r="BI33" s="138"/>
      <c r="BJ33" s="138"/>
      <c r="BK33" s="138"/>
      <c r="BL33" s="138">
        <v>6000</v>
      </c>
      <c r="BM33" s="138"/>
      <c r="BN33" s="138"/>
      <c r="BO33" s="138"/>
      <c r="BP33" s="146"/>
      <c r="BQ33" s="144"/>
      <c r="BR33" s="161">
        <v>22000</v>
      </c>
      <c r="BS33" s="161">
        <v>32000</v>
      </c>
      <c r="BT33" s="161"/>
      <c r="BU33" s="161"/>
      <c r="BV33" s="161"/>
      <c r="BW33" s="161"/>
      <c r="BX33" s="161"/>
      <c r="BY33" s="161"/>
      <c r="BZ33" s="144"/>
      <c r="CA33" s="161"/>
      <c r="CB33" s="158"/>
    </row>
    <row r="34" spans="1:82">
      <c r="A34" s="21" t="str">
        <f t="shared" si="0"/>
        <v/>
      </c>
      <c r="B34" s="38"/>
      <c r="C34" s="38"/>
      <c r="D34" s="39">
        <f t="shared" si="1"/>
        <v>0</v>
      </c>
      <c r="E34" s="40"/>
      <c r="F34" s="35"/>
      <c r="G34" s="27"/>
      <c r="H34" s="28">
        <f t="shared" si="6"/>
        <v>0</v>
      </c>
      <c r="I34" s="35"/>
      <c r="J34" s="41" t="str">
        <f t="shared" si="3"/>
        <v/>
      </c>
      <c r="K34" s="29"/>
      <c r="L34" s="5"/>
      <c r="M34" s="53" t="s">
        <v>36</v>
      </c>
      <c r="N34" s="38">
        <f>N28</f>
        <v>574730</v>
      </c>
      <c r="O34" s="6"/>
      <c r="P34" s="32" t="str">
        <f>IF($A$34="","",$A$34)</f>
        <v/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 t="str">
        <f>IF($A$34="","",$A$34)</f>
        <v/>
      </c>
      <c r="AK34" s="137"/>
      <c r="AL34" s="154"/>
      <c r="AM34" s="155"/>
      <c r="AN34" s="154"/>
      <c r="AO34" s="155"/>
      <c r="AP34" s="154"/>
      <c r="AQ34" s="155"/>
      <c r="AR34" s="154"/>
      <c r="AS34" s="155"/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70"/>
      <c r="BQ34" s="144"/>
      <c r="BR34" s="161"/>
      <c r="BS34" s="161"/>
      <c r="BT34" s="161"/>
      <c r="BU34" s="161"/>
      <c r="BV34" s="161"/>
      <c r="BW34" s="161"/>
      <c r="BX34" s="161"/>
      <c r="BY34" s="161"/>
      <c r="BZ34" s="144"/>
      <c r="CA34" s="161"/>
      <c r="CB34" s="158"/>
    </row>
    <row r="35" spans="1:82" ht="21" thickBot="1">
      <c r="A35" s="21" t="str">
        <f t="shared" si="0"/>
        <v/>
      </c>
      <c r="B35" s="38"/>
      <c r="C35" s="38"/>
      <c r="D35" s="39">
        <f t="shared" si="1"/>
        <v>0</v>
      </c>
      <c r="E35" s="40"/>
      <c r="F35" s="35"/>
      <c r="G35" s="27"/>
      <c r="H35" s="28">
        <f t="shared" si="6"/>
        <v>0</v>
      </c>
      <c r="I35" s="57"/>
      <c r="J35" s="58" t="str">
        <f t="shared" si="3"/>
        <v/>
      </c>
      <c r="K35" s="59"/>
      <c r="L35" s="5"/>
      <c r="M35" s="60" t="s">
        <v>37</v>
      </c>
      <c r="N35" s="61">
        <f>IFERROR(N32-N33-N34, "")</f>
        <v>2296433</v>
      </c>
      <c r="O35" s="6"/>
      <c r="P35" s="32" t="str">
        <f>IF($A$35="","",$A$35)</f>
        <v/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 t="str">
        <f>IF($A$35="","",$A$35)</f>
        <v/>
      </c>
      <c r="AK35" s="115"/>
      <c r="AL35" s="158"/>
      <c r="AM35" s="147"/>
      <c r="AN35" s="158"/>
      <c r="AO35" s="147"/>
      <c r="AP35" s="158"/>
      <c r="AQ35" s="147"/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71"/>
      <c r="BQ35" s="171"/>
      <c r="BR35" s="171"/>
      <c r="BS35" s="171"/>
      <c r="BT35" s="171"/>
      <c r="BU35" s="171"/>
      <c r="BV35" s="171"/>
      <c r="BW35" s="171"/>
      <c r="BX35" s="171"/>
      <c r="BY35" s="171"/>
      <c r="BZ35" s="147"/>
      <c r="CA35" s="178"/>
      <c r="CB35" s="158"/>
    </row>
    <row r="36" spans="1:82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>SUM(AK5:AK35)</f>
        <v>74500</v>
      </c>
      <c r="AL36" s="115">
        <f>SUM(AL5:AL35)</f>
        <v>20000</v>
      </c>
      <c r="AM36" s="115">
        <f t="shared" ref="AM36:CB36" si="7">SUM(AM5:AM35)</f>
        <v>27500</v>
      </c>
      <c r="AN36" s="115">
        <f t="shared" si="7"/>
        <v>25000</v>
      </c>
      <c r="AO36" s="115">
        <f t="shared" si="7"/>
        <v>413500</v>
      </c>
      <c r="AP36" s="115">
        <f t="shared" si="7"/>
        <v>15000</v>
      </c>
      <c r="AQ36" s="115">
        <f t="shared" si="7"/>
        <v>471400</v>
      </c>
      <c r="AR36" s="115">
        <f t="shared" si="7"/>
        <v>75000</v>
      </c>
      <c r="AS36" s="115">
        <f t="shared" si="7"/>
        <v>940000</v>
      </c>
      <c r="AT36" s="115">
        <f t="shared" si="7"/>
        <v>245000</v>
      </c>
      <c r="AU36" s="115">
        <f t="shared" si="7"/>
        <v>9000</v>
      </c>
      <c r="AV36" s="115">
        <f t="shared" si="7"/>
        <v>0</v>
      </c>
      <c r="AW36" s="115">
        <f t="shared" si="7"/>
        <v>30000</v>
      </c>
      <c r="AX36" s="115">
        <f t="shared" si="7"/>
        <v>0</v>
      </c>
      <c r="AY36" s="115">
        <f t="shared" si="7"/>
        <v>126000</v>
      </c>
      <c r="AZ36" s="115">
        <f t="shared" si="7"/>
        <v>0</v>
      </c>
      <c r="BA36" s="115">
        <f t="shared" si="7"/>
        <v>9000</v>
      </c>
      <c r="BB36" s="115">
        <f t="shared" si="7"/>
        <v>0</v>
      </c>
      <c r="BC36" s="115">
        <f t="shared" si="7"/>
        <v>3500</v>
      </c>
      <c r="BD36" s="115">
        <f t="shared" si="7"/>
        <v>0</v>
      </c>
      <c r="BE36" s="115">
        <f t="shared" si="7"/>
        <v>238000</v>
      </c>
      <c r="BF36" s="115">
        <f t="shared" si="7"/>
        <v>0</v>
      </c>
      <c r="BG36" s="115">
        <f t="shared" si="7"/>
        <v>3000</v>
      </c>
      <c r="BH36" s="115">
        <f t="shared" si="7"/>
        <v>28000</v>
      </c>
      <c r="BI36" s="115">
        <f t="shared" si="7"/>
        <v>1000</v>
      </c>
      <c r="BJ36" s="115">
        <f t="shared" si="7"/>
        <v>4000</v>
      </c>
      <c r="BK36" s="115">
        <f t="shared" si="7"/>
        <v>6000</v>
      </c>
      <c r="BL36" s="115">
        <f t="shared" si="7"/>
        <v>8000</v>
      </c>
      <c r="BM36" s="115">
        <f t="shared" si="7"/>
        <v>16000</v>
      </c>
      <c r="BN36" s="115">
        <f t="shared" si="7"/>
        <v>5000</v>
      </c>
      <c r="BO36" s="115">
        <f t="shared" si="7"/>
        <v>56000</v>
      </c>
      <c r="BP36" s="115">
        <f t="shared" si="7"/>
        <v>31800</v>
      </c>
      <c r="BQ36" s="115">
        <f t="shared" si="7"/>
        <v>15000</v>
      </c>
      <c r="BR36" s="115">
        <f t="shared" si="7"/>
        <v>50000</v>
      </c>
      <c r="BS36" s="115">
        <f t="shared" si="7"/>
        <v>64000</v>
      </c>
      <c r="BT36" s="115">
        <f t="shared" si="7"/>
        <v>80500</v>
      </c>
      <c r="BU36" s="115">
        <f t="shared" si="7"/>
        <v>63000</v>
      </c>
      <c r="BV36" s="115">
        <f t="shared" si="7"/>
        <v>2000</v>
      </c>
      <c r="BW36" s="115">
        <f t="shared" si="7"/>
        <v>12000</v>
      </c>
      <c r="BX36" s="115">
        <f t="shared" si="7"/>
        <v>14000</v>
      </c>
      <c r="BY36" s="115">
        <f t="shared" si="7"/>
        <v>3000</v>
      </c>
      <c r="BZ36" s="115">
        <f t="shared" si="7"/>
        <v>38000</v>
      </c>
      <c r="CA36" s="115">
        <f t="shared" si="7"/>
        <v>45000</v>
      </c>
      <c r="CB36" s="115">
        <f t="shared" si="7"/>
        <v>0</v>
      </c>
      <c r="CC36" s="115"/>
      <c r="CD36" s="115"/>
    </row>
    <row r="37" spans="1:82" ht="22" thickTop="1" thickBot="1">
      <c r="A37" s="81" t="s">
        <v>33</v>
      </c>
      <c r="B37" s="82">
        <f>SUM(B5:B35)</f>
        <v>3283700</v>
      </c>
      <c r="C37" s="82">
        <f>SUM(C5:C33)</f>
        <v>0</v>
      </c>
      <c r="D37" s="82">
        <f>SUM(D5:D33)</f>
        <v>3283700</v>
      </c>
      <c r="E37" s="83">
        <f>SUM(E5:E33)</f>
        <v>307869</v>
      </c>
      <c r="F37" s="84">
        <f>SUM(F5:F35)</f>
        <v>104668</v>
      </c>
      <c r="G37" s="84">
        <f>SUM(G5:G35)</f>
        <v>0</v>
      </c>
      <c r="H37" s="85">
        <f>SUM(H5:H33)</f>
        <v>412537</v>
      </c>
      <c r="I37" s="86">
        <f>SUM(I5:I35)</f>
        <v>516</v>
      </c>
      <c r="J37" s="86">
        <f>IFERROR(32/I37, "")</f>
        <v>6.2015503875968991E-2</v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M37" s="1"/>
      <c r="AO37" s="1"/>
      <c r="AQ37" s="1"/>
      <c r="AS37" s="1"/>
      <c r="AU37" s="1"/>
      <c r="AW37" s="1"/>
      <c r="AY37" s="1"/>
      <c r="BA37" s="1"/>
      <c r="BC37" s="1"/>
      <c r="BD37" s="1"/>
      <c r="BF37" s="1"/>
      <c r="BP37" s="1"/>
    </row>
    <row r="38" spans="1:82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92" t="s">
        <v>46</v>
      </c>
      <c r="Q38" s="93"/>
      <c r="R38" s="94"/>
      <c r="S38" s="95"/>
      <c r="T38" s="96"/>
      <c r="U38" s="97"/>
      <c r="V38" s="98"/>
      <c r="W38" s="99"/>
      <c r="X38" s="100"/>
      <c r="Y38" s="98"/>
      <c r="Z38" s="96"/>
      <c r="AA38" s="100"/>
      <c r="AB38" s="98"/>
      <c r="AC38" s="96"/>
      <c r="AD38" s="100"/>
      <c r="AE38" s="98"/>
      <c r="AF38" s="96"/>
      <c r="AG38" s="100"/>
      <c r="AH38" s="98"/>
      <c r="AI38" s="80"/>
      <c r="AJ38" s="80"/>
      <c r="AK38" s="1"/>
      <c r="AM38" s="1"/>
      <c r="AO38" s="1"/>
      <c r="AQ38" s="1"/>
      <c r="AS38" s="1"/>
      <c r="AU38" s="1"/>
      <c r="AW38" s="1"/>
      <c r="AY38" s="1"/>
      <c r="BA38" s="1"/>
      <c r="BC38" s="1"/>
      <c r="BD38" s="1"/>
      <c r="BF38" s="1"/>
      <c r="BP38" s="1"/>
    </row>
    <row r="39" spans="1:82" ht="21" thickBot="1">
      <c r="A39" s="1"/>
      <c r="B39" s="1"/>
      <c r="C39" s="1"/>
      <c r="D39" s="1"/>
      <c r="E39" s="2"/>
      <c r="F39" s="176" t="s">
        <v>111</v>
      </c>
      <c r="G39" s="2"/>
      <c r="H39" s="2"/>
      <c r="I39" s="2"/>
      <c r="J39" s="2"/>
      <c r="K39" s="1"/>
      <c r="L39" s="1"/>
      <c r="M39" s="1"/>
      <c r="N39" s="1"/>
      <c r="O39" s="1"/>
      <c r="P39" s="101" t="s">
        <v>47</v>
      </c>
      <c r="Q39" s="558"/>
      <c r="R39" s="559"/>
      <c r="S39" s="102"/>
      <c r="T39" s="560"/>
      <c r="U39" s="559"/>
      <c r="V39" s="103"/>
      <c r="W39" s="561"/>
      <c r="X39" s="562"/>
      <c r="Y39" s="103"/>
      <c r="Z39" s="560"/>
      <c r="AA39" s="563"/>
      <c r="AB39" s="103"/>
      <c r="AC39" s="560"/>
      <c r="AD39" s="563"/>
      <c r="AE39" s="103"/>
      <c r="AF39" s="560"/>
      <c r="AG39" s="563"/>
      <c r="AH39" s="103"/>
      <c r="AI39" s="80"/>
      <c r="AJ39" s="80"/>
      <c r="AK39" s="1"/>
      <c r="AM39" s="1"/>
      <c r="AO39" s="1"/>
      <c r="AQ39" s="1"/>
      <c r="AS39" s="1"/>
      <c r="AU39" s="1"/>
      <c r="AW39" s="1"/>
      <c r="AY39" s="1"/>
      <c r="BA39" s="1"/>
      <c r="BC39" s="1"/>
      <c r="BD39" s="1"/>
      <c r="BF39" s="1"/>
      <c r="BP39" s="1"/>
    </row>
  </sheetData>
  <mergeCells count="68">
    <mergeCell ref="BK3:BK4"/>
    <mergeCell ref="CA3:CA4"/>
    <mergeCell ref="BO3:BO4"/>
    <mergeCell ref="BN3:BN4"/>
    <mergeCell ref="BM3:BM4"/>
    <mergeCell ref="BQ3:BQ4"/>
    <mergeCell ref="BR3:BR4"/>
    <mergeCell ref="BS3:BS4"/>
    <mergeCell ref="BT3:BT4"/>
    <mergeCell ref="BU3:BU4"/>
    <mergeCell ref="BV3:BV4"/>
    <mergeCell ref="BW3:BW4"/>
    <mergeCell ref="BL3:BL4"/>
    <mergeCell ref="BX3:BX4"/>
    <mergeCell ref="BZ3:BZ4"/>
    <mergeCell ref="BY3:BY4"/>
    <mergeCell ref="BG3:BG4"/>
    <mergeCell ref="BJ3:BJ4"/>
    <mergeCell ref="BI3:BI4"/>
    <mergeCell ref="BH3:BH4"/>
    <mergeCell ref="AC39:AD39"/>
    <mergeCell ref="AF39:AG39"/>
    <mergeCell ref="AT3:AT4"/>
    <mergeCell ref="AQ3:AQ4"/>
    <mergeCell ref="AS3:AS4"/>
    <mergeCell ref="M19:N19"/>
    <mergeCell ref="P36:P37"/>
    <mergeCell ref="Q39:R39"/>
    <mergeCell ref="T39:U39"/>
    <mergeCell ref="W39:X39"/>
    <mergeCell ref="N20:N21"/>
    <mergeCell ref="Z39:AA39"/>
    <mergeCell ref="AO3:AO4"/>
    <mergeCell ref="AL3:AL4"/>
    <mergeCell ref="AN3:AN4"/>
    <mergeCell ref="AP3:AP4"/>
    <mergeCell ref="AC3:AE3"/>
    <mergeCell ref="AF3:AH3"/>
    <mergeCell ref="AJ3:AJ4"/>
    <mergeCell ref="AK3:AK4"/>
    <mergeCell ref="AM3:AM4"/>
    <mergeCell ref="Z3:AB3"/>
    <mergeCell ref="A1:A2"/>
    <mergeCell ref="B1:B2"/>
    <mergeCell ref="A3:A4"/>
    <mergeCell ref="B3:D3"/>
    <mergeCell ref="E3:H3"/>
    <mergeCell ref="I3:I4"/>
    <mergeCell ref="J3:J4"/>
    <mergeCell ref="P3:P4"/>
    <mergeCell ref="Q3:S3"/>
    <mergeCell ref="T3:V3"/>
    <mergeCell ref="W3:Y3"/>
    <mergeCell ref="BB3:BB4"/>
    <mergeCell ref="AZ3:AZ4"/>
    <mergeCell ref="CB3:CB4"/>
    <mergeCell ref="AR3:AR4"/>
    <mergeCell ref="AV3:AV4"/>
    <mergeCell ref="BA3:BA4"/>
    <mergeCell ref="AX3:AX4"/>
    <mergeCell ref="AU3:AU4"/>
    <mergeCell ref="AW3:AW4"/>
    <mergeCell ref="AY3:AY4"/>
    <mergeCell ref="BC3:BC4"/>
    <mergeCell ref="BD3:BD4"/>
    <mergeCell ref="BF3:BF4"/>
    <mergeCell ref="BP3:BP4"/>
    <mergeCell ref="BE3:BE4"/>
  </mergeCells>
  <phoneticPr fontId="7"/>
  <dataValidations count="6">
    <dataValidation type="list" allowBlank="1" showErrorMessage="1" sqref="Q5:Q6 T5:T35 W5:W35 Z5:Z35 AC5:AC35 AF5:AF35" xr:uid="{5653DB74-00B4-9742-9678-C9C51A26D08C}">
      <formula1>入時間</formula1>
    </dataValidation>
    <dataValidation type="list" allowBlank="1" showErrorMessage="1" sqref="R5:R35 U5:U35 X5:X35 AA5:AA35 AD5:AD35 AG5:AG35" xr:uid="{E697A1C4-B6B3-614C-A478-AFAD5C0B9DE7}">
      <formula1>出時間</formula1>
    </dataValidation>
    <dataValidation type="list" allowBlank="1" showErrorMessage="1" sqref="Q3:AH3 AK3:AK4 AW3:AW4 AM3:AM4 AO3:AO4 BE3:BE4 BA3:BA4 AS3:AS4 AY3:AY4 BC3:BC4 AQ3:AQ4 AU3:AU4 BG3:BG4 BH3:BI3 BJ3:BJ4 BK3 BM3:BO3 BL3:BL4 BP3:BP4 BQ3:CA3" xr:uid="{B6D72917-31F7-A84D-98FA-B10B610E4883}">
      <formula1>名前</formula1>
    </dataValidation>
    <dataValidation type="list" allowBlank="1" showErrorMessage="1" sqref="Q7:Q35" xr:uid="{48DB644E-3F55-2841-AD12-6D6BA4C1FDEA}">
      <formula1>#REF!</formula1>
    </dataValidation>
    <dataValidation type="list" allowBlank="1" showErrorMessage="1" sqref="S5:S35 V5:V35 Y5:Y35 AB5:AB35 AE5:AE35 AH5:AH35" xr:uid="{79414605-42F5-9B48-84A2-F4AABCA68EB9}">
      <formula1>"　,済"</formula1>
    </dataValidation>
    <dataValidation allowBlank="1" showErrorMessage="1" sqref="AL3:AL4 BB3:BB4 AN3:AN4 AV3:AV4 AT3:AT4 AX3:AX4 AZ3:AZ4 BD3:BD4 CB3:CB4 AP3:AP4 AR3:AR4 BF3:BF4" xr:uid="{B9E0F5F1-CB43-4D98-BF44-8AEB1AD1084A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5D9A-257F-E447-ABF2-560721841CD4}">
  <dimension ref="A1:AX49"/>
  <sheetViews>
    <sheetView topLeftCell="J1" zoomScale="75" workbookViewId="0">
      <selection activeCell="P12" sqref="P12"/>
    </sheetView>
  </sheetViews>
  <sheetFormatPr baseColWidth="10" defaultRowHeight="20"/>
  <cols>
    <col min="1" max="1" width="13.85546875" bestFit="1" customWidth="1"/>
  </cols>
  <sheetData>
    <row r="1" spans="1:50">
      <c r="A1" s="498">
        <v>2021</v>
      </c>
      <c r="B1" s="500">
        <v>3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343</v>
      </c>
      <c r="AC3" s="494">
        <v>0.3</v>
      </c>
      <c r="AD3" s="496" t="s">
        <v>262</v>
      </c>
      <c r="AE3" s="494">
        <v>0.3</v>
      </c>
      <c r="AF3" s="527" t="s">
        <v>297</v>
      </c>
      <c r="AG3" s="494">
        <v>0.3</v>
      </c>
      <c r="AH3" s="492" t="s">
        <v>329</v>
      </c>
      <c r="AI3" s="494">
        <v>0.3</v>
      </c>
      <c r="AJ3" s="496" t="s">
        <v>334</v>
      </c>
      <c r="AK3" s="494">
        <v>0.3</v>
      </c>
      <c r="AL3" s="496" t="s">
        <v>248</v>
      </c>
      <c r="AM3" s="523">
        <v>0.3</v>
      </c>
      <c r="AN3" s="496" t="s">
        <v>248</v>
      </c>
      <c r="AO3" s="520" t="s">
        <v>248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</row>
    <row r="5" spans="1:50">
      <c r="A5" s="21">
        <f t="shared" ref="A5:A35" si="0">IF(DAY(DATE($A$1,$B$1,ROW()-4))=ROW()-4,DATE($A$1,$B$1,ROW()-4),"")</f>
        <v>44256</v>
      </c>
      <c r="B5" s="23">
        <v>88000</v>
      </c>
      <c r="C5" s="23"/>
      <c r="D5" s="24">
        <f t="shared" ref="D5:D35" si="1">SUM(B5:C5)</f>
        <v>88000</v>
      </c>
      <c r="E5" s="25">
        <f>5920+23300+18866</f>
        <v>48086</v>
      </c>
      <c r="F5" s="26"/>
      <c r="G5" s="27">
        <v>890</v>
      </c>
      <c r="H5" s="216">
        <f t="shared" ref="H5:H35" si="2">SUM(E5:G5)</f>
        <v>48976</v>
      </c>
      <c r="I5" s="27"/>
      <c r="J5" s="28"/>
      <c r="K5" s="29"/>
      <c r="L5" s="1"/>
      <c r="M5" s="1"/>
      <c r="N5" s="1"/>
      <c r="O5" s="1"/>
      <c r="P5" s="55">
        <v>44197</v>
      </c>
      <c r="Q5" s="35"/>
      <c r="R5" s="138"/>
      <c r="S5" s="139"/>
      <c r="T5" s="138"/>
      <c r="U5" s="190">
        <v>5000</v>
      </c>
      <c r="V5" s="138"/>
      <c r="W5" s="141">
        <v>73000</v>
      </c>
      <c r="X5" s="138"/>
      <c r="Y5" s="166"/>
      <c r="Z5" s="142">
        <v>10000</v>
      </c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88000</v>
      </c>
    </row>
    <row r="6" spans="1:50">
      <c r="A6" s="21">
        <f t="shared" si="0"/>
        <v>44257</v>
      </c>
      <c r="B6" s="38">
        <v>139000</v>
      </c>
      <c r="C6" s="23">
        <v>38000</v>
      </c>
      <c r="D6" s="24">
        <f t="shared" si="1"/>
        <v>177000</v>
      </c>
      <c r="E6" s="40">
        <f>1022+9057</f>
        <v>10079</v>
      </c>
      <c r="F6" s="35"/>
      <c r="G6" s="27"/>
      <c r="H6" s="216">
        <f t="shared" si="2"/>
        <v>10079</v>
      </c>
      <c r="I6" s="35"/>
      <c r="J6" s="41"/>
      <c r="K6" s="29"/>
      <c r="L6" s="181" t="s">
        <v>345</v>
      </c>
      <c r="M6" s="1"/>
      <c r="N6" s="1"/>
      <c r="O6" s="1"/>
      <c r="P6" s="55">
        <v>44198</v>
      </c>
      <c r="Q6" s="35"/>
      <c r="R6" s="138"/>
      <c r="S6" s="139"/>
      <c r="T6" s="138"/>
      <c r="U6" s="143">
        <v>33000</v>
      </c>
      <c r="V6" s="138"/>
      <c r="W6" s="147">
        <f>118000-45000</f>
        <v>73000</v>
      </c>
      <c r="X6" s="138">
        <v>45000</v>
      </c>
      <c r="Y6" s="166"/>
      <c r="Z6" s="142">
        <v>12000</v>
      </c>
      <c r="AA6" s="138"/>
      <c r="AB6" s="143">
        <v>14000</v>
      </c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177000</v>
      </c>
    </row>
    <row r="7" spans="1:50">
      <c r="A7" s="21">
        <f t="shared" si="0"/>
        <v>44258</v>
      </c>
      <c r="B7" s="38">
        <v>59000</v>
      </c>
      <c r="C7" s="23"/>
      <c r="D7" s="24">
        <f t="shared" si="1"/>
        <v>59000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44199</v>
      </c>
      <c r="Q7" s="35"/>
      <c r="R7" s="138"/>
      <c r="S7" s="139"/>
      <c r="T7" s="138"/>
      <c r="U7" s="143">
        <v>33000</v>
      </c>
      <c r="V7" s="138"/>
      <c r="W7" s="147">
        <v>1000</v>
      </c>
      <c r="X7" s="138"/>
      <c r="Y7" s="166">
        <v>10000</v>
      </c>
      <c r="Z7" s="142"/>
      <c r="AA7" s="138"/>
      <c r="AB7" s="139">
        <v>15000</v>
      </c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59000</v>
      </c>
    </row>
    <row r="8" spans="1:50">
      <c r="A8" s="21">
        <f t="shared" si="0"/>
        <v>44259</v>
      </c>
      <c r="B8" s="38">
        <v>70000</v>
      </c>
      <c r="C8" s="23"/>
      <c r="D8" s="24">
        <f t="shared" si="1"/>
        <v>70000</v>
      </c>
      <c r="E8" s="40">
        <f>5670+9990</f>
        <v>15660</v>
      </c>
      <c r="F8" s="35">
        <v>7007</v>
      </c>
      <c r="G8" s="27">
        <f>2379+1189</f>
        <v>3568</v>
      </c>
      <c r="H8" s="216">
        <f t="shared" si="2"/>
        <v>26235</v>
      </c>
      <c r="I8" s="35"/>
      <c r="J8" s="41"/>
      <c r="K8" s="29"/>
      <c r="L8" s="1"/>
      <c r="M8" s="1"/>
      <c r="N8" s="1"/>
      <c r="O8" s="1"/>
      <c r="P8" s="55">
        <v>44200</v>
      </c>
      <c r="Q8" s="35">
        <v>20000</v>
      </c>
      <c r="R8" s="138"/>
      <c r="S8" s="139">
        <v>30000</v>
      </c>
      <c r="T8" s="138"/>
      <c r="U8" s="143"/>
      <c r="V8" s="138"/>
      <c r="W8" s="147">
        <v>10000</v>
      </c>
      <c r="X8" s="138"/>
      <c r="Y8" s="166"/>
      <c r="Z8" s="142">
        <v>10000</v>
      </c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70000</v>
      </c>
    </row>
    <row r="9" spans="1:50">
      <c r="A9" s="21">
        <f t="shared" si="0"/>
        <v>44260</v>
      </c>
      <c r="B9" s="38">
        <v>151000</v>
      </c>
      <c r="C9" s="23">
        <v>61000</v>
      </c>
      <c r="D9" s="24">
        <f t="shared" si="1"/>
        <v>212000</v>
      </c>
      <c r="E9" s="40">
        <v>10524</v>
      </c>
      <c r="F9" s="35">
        <v>23980</v>
      </c>
      <c r="G9" s="27"/>
      <c r="H9" s="216">
        <f t="shared" si="2"/>
        <v>34504</v>
      </c>
      <c r="I9" s="35"/>
      <c r="J9" s="41"/>
      <c r="K9" s="29"/>
      <c r="L9" s="1"/>
      <c r="M9" s="1"/>
      <c r="N9" s="1"/>
      <c r="O9" s="1"/>
      <c r="P9" s="55">
        <v>44201</v>
      </c>
      <c r="Q9" s="35"/>
      <c r="R9" s="138"/>
      <c r="S9" s="139">
        <v>29000</v>
      </c>
      <c r="T9" s="138"/>
      <c r="U9" s="139">
        <v>94000</v>
      </c>
      <c r="V9" s="138"/>
      <c r="W9" s="152">
        <v>72000</v>
      </c>
      <c r="X9" s="138"/>
      <c r="Y9" s="138">
        <v>4000</v>
      </c>
      <c r="Z9" s="139">
        <v>1000</v>
      </c>
      <c r="AA9" s="138"/>
      <c r="AB9" s="139"/>
      <c r="AC9" s="138"/>
      <c r="AD9" s="151">
        <v>12000</v>
      </c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212000</v>
      </c>
    </row>
    <row r="10" spans="1:50">
      <c r="A10" s="21">
        <f t="shared" si="0"/>
        <v>44261</v>
      </c>
      <c r="B10" s="38">
        <v>189000</v>
      </c>
      <c r="C10" s="23"/>
      <c r="D10" s="24">
        <f t="shared" si="1"/>
        <v>189000</v>
      </c>
      <c r="E10" s="40"/>
      <c r="F10" s="35"/>
      <c r="G10" s="27"/>
      <c r="H10" s="216">
        <f t="shared" si="2"/>
        <v>0</v>
      </c>
      <c r="I10" s="35"/>
      <c r="J10" s="41"/>
      <c r="K10" s="29"/>
      <c r="L10" s="1"/>
      <c r="M10" s="516" t="s">
        <v>26</v>
      </c>
      <c r="N10" s="517"/>
      <c r="O10" s="1"/>
      <c r="P10" s="55">
        <v>44202</v>
      </c>
      <c r="Q10" s="35"/>
      <c r="R10" s="138"/>
      <c r="S10" s="139"/>
      <c r="T10" s="138"/>
      <c r="U10" s="139">
        <v>106000</v>
      </c>
      <c r="V10" s="138"/>
      <c r="W10" s="139">
        <v>43000</v>
      </c>
      <c r="X10" s="138"/>
      <c r="Y10" s="138"/>
      <c r="Z10" s="139"/>
      <c r="AA10" s="138"/>
      <c r="AB10" s="139">
        <v>40000</v>
      </c>
      <c r="AC10" s="138"/>
      <c r="AD10" s="151"/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189000</v>
      </c>
    </row>
    <row r="11" spans="1:50">
      <c r="A11" s="21">
        <f t="shared" si="0"/>
        <v>44262</v>
      </c>
      <c r="B11" s="38">
        <v>42000</v>
      </c>
      <c r="C11" s="23"/>
      <c r="D11" s="24">
        <f t="shared" si="1"/>
        <v>42000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18"/>
      <c r="O11" s="1"/>
      <c r="P11" s="55">
        <v>44203</v>
      </c>
      <c r="Q11" s="35"/>
      <c r="R11" s="138"/>
      <c r="S11" s="139"/>
      <c r="T11" s="138"/>
      <c r="U11" s="139">
        <v>32000</v>
      </c>
      <c r="V11" s="138"/>
      <c r="W11" s="139">
        <v>10000</v>
      </c>
      <c r="X11" s="138"/>
      <c r="Y11" s="138"/>
      <c r="Z11" s="139"/>
      <c r="AA11" s="138"/>
      <c r="AB11" s="139"/>
      <c r="AC11" s="138"/>
      <c r="AD11" s="151"/>
      <c r="AE11" s="138"/>
      <c r="AF11" s="149"/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42000</v>
      </c>
    </row>
    <row r="12" spans="1:50">
      <c r="A12" s="21">
        <f t="shared" si="0"/>
        <v>44263</v>
      </c>
      <c r="B12" s="38">
        <v>19000</v>
      </c>
      <c r="C12" s="23"/>
      <c r="D12" s="24">
        <f t="shared" si="1"/>
        <v>19000</v>
      </c>
      <c r="E12" s="40"/>
      <c r="F12" s="35"/>
      <c r="G12" s="27"/>
      <c r="H12" s="216">
        <f t="shared" si="2"/>
        <v>0</v>
      </c>
      <c r="I12" s="35"/>
      <c r="J12" s="41"/>
      <c r="K12" s="29"/>
      <c r="L12" s="1"/>
      <c r="M12" s="47" t="s">
        <v>28</v>
      </c>
      <c r="N12" s="519"/>
      <c r="O12" s="1"/>
      <c r="P12" s="55">
        <v>44204</v>
      </c>
      <c r="Q12" s="35"/>
      <c r="R12" s="138"/>
      <c r="S12" s="139">
        <v>10000</v>
      </c>
      <c r="T12" s="138"/>
      <c r="U12" s="139"/>
      <c r="V12" s="138"/>
      <c r="W12" s="139">
        <v>9000</v>
      </c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19000</v>
      </c>
    </row>
    <row r="13" spans="1:50">
      <c r="A13" s="21">
        <f t="shared" si="0"/>
        <v>44264</v>
      </c>
      <c r="B13" s="38">
        <v>114000</v>
      </c>
      <c r="C13" s="23">
        <v>45000</v>
      </c>
      <c r="D13" s="24">
        <f t="shared" si="1"/>
        <v>159000</v>
      </c>
      <c r="E13" s="40">
        <f>1980+15564</f>
        <v>17544</v>
      </c>
      <c r="F13" s="35"/>
      <c r="G13" s="27"/>
      <c r="H13" s="216">
        <f t="shared" si="2"/>
        <v>17544</v>
      </c>
      <c r="I13" s="35"/>
      <c r="J13" s="41"/>
      <c r="K13" s="29"/>
      <c r="L13" s="181" t="s">
        <v>345</v>
      </c>
      <c r="M13" s="47" t="s">
        <v>29</v>
      </c>
      <c r="N13" s="35">
        <v>7000</v>
      </c>
      <c r="O13" s="1"/>
      <c r="P13" s="55">
        <v>44205</v>
      </c>
      <c r="Q13" s="35"/>
      <c r="R13" s="138"/>
      <c r="S13" s="139">
        <v>30000</v>
      </c>
      <c r="T13" s="138"/>
      <c r="U13" s="139">
        <v>20000</v>
      </c>
      <c r="V13" s="138"/>
      <c r="W13" s="139">
        <v>63000</v>
      </c>
      <c r="X13" s="138"/>
      <c r="Y13" s="138"/>
      <c r="Z13" s="139">
        <v>46000</v>
      </c>
      <c r="AA13" s="138"/>
      <c r="AB13" s="139"/>
      <c r="AC13" s="138"/>
      <c r="AD13" s="151"/>
      <c r="AE13" s="138"/>
      <c r="AF13" s="149"/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159000</v>
      </c>
    </row>
    <row r="14" spans="1:50">
      <c r="A14" s="21">
        <f t="shared" si="0"/>
        <v>44265</v>
      </c>
      <c r="B14" s="38">
        <v>91000</v>
      </c>
      <c r="C14" s="23"/>
      <c r="D14" s="24">
        <f t="shared" si="1"/>
        <v>91000</v>
      </c>
      <c r="E14" s="40">
        <f>8400+9900</f>
        <v>18300</v>
      </c>
      <c r="F14" s="44">
        <v>56000</v>
      </c>
      <c r="G14" s="27"/>
      <c r="H14" s="216">
        <f t="shared" si="2"/>
        <v>74300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44206</v>
      </c>
      <c r="Q14" s="35"/>
      <c r="R14" s="138"/>
      <c r="S14" s="139"/>
      <c r="T14" s="138"/>
      <c r="U14" s="139">
        <v>70000</v>
      </c>
      <c r="V14" s="138"/>
      <c r="W14" s="139">
        <v>16000</v>
      </c>
      <c r="X14" s="138"/>
      <c r="Y14" s="138"/>
      <c r="Z14" s="139">
        <v>5000</v>
      </c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91000</v>
      </c>
    </row>
    <row r="15" spans="1:50">
      <c r="A15" s="21">
        <f t="shared" si="0"/>
        <v>44266</v>
      </c>
      <c r="B15" s="38">
        <v>108000</v>
      </c>
      <c r="C15" s="23">
        <v>5000</v>
      </c>
      <c r="D15" s="24">
        <f t="shared" si="1"/>
        <v>113000</v>
      </c>
      <c r="E15" s="40">
        <f>12468+400</f>
        <v>12868</v>
      </c>
      <c r="F15" s="35"/>
      <c r="G15" s="27">
        <v>742</v>
      </c>
      <c r="H15" s="216">
        <f t="shared" si="2"/>
        <v>13610</v>
      </c>
      <c r="I15" s="35"/>
      <c r="J15" s="41"/>
      <c r="K15" s="29"/>
      <c r="L15" s="1"/>
      <c r="M15" s="47" t="s">
        <v>31</v>
      </c>
      <c r="N15" s="35"/>
      <c r="O15" s="1"/>
      <c r="P15" s="55">
        <v>44207</v>
      </c>
      <c r="Q15" s="35"/>
      <c r="R15" s="138"/>
      <c r="S15" s="139"/>
      <c r="T15" s="138"/>
      <c r="U15" s="139">
        <v>35000</v>
      </c>
      <c r="V15" s="138"/>
      <c r="W15" s="139">
        <v>13000</v>
      </c>
      <c r="X15" s="138"/>
      <c r="Y15" s="138"/>
      <c r="Z15" s="139">
        <v>25000</v>
      </c>
      <c r="AA15" s="138"/>
      <c r="AB15" s="139">
        <v>40000</v>
      </c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113000</v>
      </c>
    </row>
    <row r="16" spans="1:50">
      <c r="A16" s="21">
        <f t="shared" si="0"/>
        <v>44267</v>
      </c>
      <c r="B16" s="38">
        <v>143000</v>
      </c>
      <c r="C16" s="23">
        <v>28000</v>
      </c>
      <c r="D16" s="24">
        <f t="shared" si="1"/>
        <v>171000</v>
      </c>
      <c r="E16" s="40">
        <f>1164+14670</f>
        <v>15834</v>
      </c>
      <c r="F16" s="35"/>
      <c r="G16" s="27">
        <v>2528</v>
      </c>
      <c r="H16" s="216">
        <f t="shared" si="2"/>
        <v>18362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44208</v>
      </c>
      <c r="Q16" s="35"/>
      <c r="R16" s="138"/>
      <c r="S16" s="139"/>
      <c r="T16" s="138"/>
      <c r="U16" s="139">
        <v>59000</v>
      </c>
      <c r="V16" s="138"/>
      <c r="W16" s="139">
        <v>25000</v>
      </c>
      <c r="X16" s="138"/>
      <c r="Y16" s="138">
        <v>9000</v>
      </c>
      <c r="Z16" s="139">
        <v>18000</v>
      </c>
      <c r="AA16" s="138"/>
      <c r="AB16" s="139"/>
      <c r="AC16" s="138"/>
      <c r="AD16" s="151">
        <v>60000</v>
      </c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171000</v>
      </c>
    </row>
    <row r="17" spans="1:50">
      <c r="A17" s="21">
        <f t="shared" si="0"/>
        <v>44268</v>
      </c>
      <c r="B17" s="38">
        <v>56000</v>
      </c>
      <c r="C17" s="23"/>
      <c r="D17" s="24">
        <f t="shared" si="1"/>
        <v>56000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55">
        <v>44209</v>
      </c>
      <c r="Q17" s="35"/>
      <c r="R17" s="138"/>
      <c r="S17" s="139">
        <v>7000</v>
      </c>
      <c r="T17" s="138"/>
      <c r="U17" s="139">
        <v>46000</v>
      </c>
      <c r="V17" s="138"/>
      <c r="W17" s="139">
        <v>3000</v>
      </c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56000</v>
      </c>
    </row>
    <row r="18" spans="1:50">
      <c r="A18" s="21">
        <f t="shared" si="0"/>
        <v>44269</v>
      </c>
      <c r="B18" s="38">
        <v>194000</v>
      </c>
      <c r="C18" s="23"/>
      <c r="D18" s="24">
        <f t="shared" si="1"/>
        <v>194000</v>
      </c>
      <c r="E18" s="40"/>
      <c r="F18" s="35">
        <v>5994</v>
      </c>
      <c r="G18" s="27">
        <v>654</v>
      </c>
      <c r="H18" s="216">
        <f t="shared" si="2"/>
        <v>6648</v>
      </c>
      <c r="I18" s="35"/>
      <c r="J18" s="41"/>
      <c r="K18" s="29"/>
      <c r="L18" s="1"/>
      <c r="M18" s="47"/>
      <c r="N18" s="35"/>
      <c r="O18" s="1"/>
      <c r="P18" s="55">
        <v>44210</v>
      </c>
      <c r="Q18" s="35"/>
      <c r="R18" s="138"/>
      <c r="S18" s="139"/>
      <c r="T18" s="138"/>
      <c r="U18" s="139">
        <v>115000</v>
      </c>
      <c r="V18" s="138"/>
      <c r="W18" s="139">
        <v>28000</v>
      </c>
      <c r="X18" s="138"/>
      <c r="Y18" s="138"/>
      <c r="Z18" s="139"/>
      <c r="AA18" s="138"/>
      <c r="AB18" s="139"/>
      <c r="AC18" s="138"/>
      <c r="AD18" s="151"/>
      <c r="AE18" s="138"/>
      <c r="AF18" s="149">
        <v>51000</v>
      </c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194000</v>
      </c>
    </row>
    <row r="19" spans="1:50">
      <c r="A19" s="21">
        <f t="shared" si="0"/>
        <v>44270</v>
      </c>
      <c r="B19" s="38">
        <v>240000</v>
      </c>
      <c r="C19" s="23"/>
      <c r="D19" s="24">
        <f t="shared" si="1"/>
        <v>240000</v>
      </c>
      <c r="E19" s="40"/>
      <c r="F19" s="35"/>
      <c r="G19" s="27"/>
      <c r="H19" s="216">
        <f t="shared" si="2"/>
        <v>0</v>
      </c>
      <c r="I19" s="35"/>
      <c r="J19" s="41"/>
      <c r="K19" s="29"/>
      <c r="L19" s="1"/>
      <c r="M19" s="49" t="s">
        <v>33</v>
      </c>
      <c r="N19" s="50">
        <f>SUM(N11:N18)</f>
        <v>56000</v>
      </c>
      <c r="O19" s="1"/>
      <c r="P19" s="55">
        <v>44211</v>
      </c>
      <c r="Q19" s="35"/>
      <c r="R19" s="138"/>
      <c r="S19" s="139"/>
      <c r="T19" s="138"/>
      <c r="U19" s="139">
        <v>33000</v>
      </c>
      <c r="V19" s="138"/>
      <c r="W19" s="139">
        <v>25000</v>
      </c>
      <c r="X19" s="138"/>
      <c r="Y19" s="138"/>
      <c r="Z19" s="139">
        <v>63000</v>
      </c>
      <c r="AA19" s="138"/>
      <c r="AB19" s="139">
        <v>9000</v>
      </c>
      <c r="AC19" s="138"/>
      <c r="AD19" s="151"/>
      <c r="AE19" s="138"/>
      <c r="AF19" s="149">
        <v>110000</v>
      </c>
      <c r="AG19" s="138"/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240000</v>
      </c>
    </row>
    <row r="20" spans="1:50">
      <c r="A20" s="21">
        <f t="shared" si="0"/>
        <v>44271</v>
      </c>
      <c r="B20" s="38">
        <v>109000</v>
      </c>
      <c r="C20" s="38"/>
      <c r="D20" s="24">
        <f t="shared" si="1"/>
        <v>109000</v>
      </c>
      <c r="E20" s="40">
        <f>18450+13602</f>
        <v>32052</v>
      </c>
      <c r="F20" s="35"/>
      <c r="G20" s="27">
        <f>2247+447</f>
        <v>2694</v>
      </c>
      <c r="H20" s="216">
        <f t="shared" si="2"/>
        <v>34746</v>
      </c>
      <c r="I20" s="35"/>
      <c r="J20" s="41"/>
      <c r="K20" s="29"/>
      <c r="L20" s="1"/>
      <c r="M20" s="51"/>
      <c r="N20" s="7"/>
      <c r="O20" s="1"/>
      <c r="P20" s="55">
        <v>44212</v>
      </c>
      <c r="Q20" s="35"/>
      <c r="R20" s="138"/>
      <c r="S20" s="139"/>
      <c r="T20" s="138"/>
      <c r="U20">
        <v>11000</v>
      </c>
      <c r="V20" s="138"/>
      <c r="W20" s="139">
        <v>2000</v>
      </c>
      <c r="X20" s="138"/>
      <c r="Y20" s="138"/>
      <c r="Z20" s="139"/>
      <c r="AA20" s="138"/>
      <c r="AB20" s="139"/>
      <c r="AC20" s="138"/>
      <c r="AD20" s="151">
        <v>70000</v>
      </c>
      <c r="AE20" s="138"/>
      <c r="AF20" s="149">
        <v>26000</v>
      </c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109000</v>
      </c>
    </row>
    <row r="21" spans="1:50">
      <c r="A21" s="21">
        <f t="shared" si="0"/>
        <v>44272</v>
      </c>
      <c r="B21" s="38">
        <v>86000</v>
      </c>
      <c r="C21" s="38"/>
      <c r="D21" s="24">
        <f t="shared" si="1"/>
        <v>86000</v>
      </c>
      <c r="E21" s="40">
        <v>7200</v>
      </c>
      <c r="F21" s="35"/>
      <c r="G21" s="27"/>
      <c r="H21" s="216">
        <f t="shared" si="2"/>
        <v>7200</v>
      </c>
      <c r="I21" s="35"/>
      <c r="J21" s="41"/>
      <c r="K21" s="29"/>
      <c r="L21" s="1"/>
      <c r="M21" s="1"/>
      <c r="N21" s="1"/>
      <c r="O21" s="1"/>
      <c r="P21" s="55">
        <v>44213</v>
      </c>
      <c r="Q21" s="35"/>
      <c r="R21" s="138"/>
      <c r="S21" s="139"/>
      <c r="T21" s="138"/>
      <c r="U21">
        <v>6000</v>
      </c>
      <c r="V21" s="138"/>
      <c r="W21" s="139"/>
      <c r="X21" s="138"/>
      <c r="Y21" s="138"/>
      <c r="Z21" s="139"/>
      <c r="AA21" s="138"/>
      <c r="AB21" s="139"/>
      <c r="AC21" s="138"/>
      <c r="AD21" s="151">
        <v>9000</v>
      </c>
      <c r="AE21" s="138"/>
      <c r="AF21" s="149">
        <v>65000</v>
      </c>
      <c r="AG21" s="138"/>
      <c r="AH21" s="149">
        <v>6000</v>
      </c>
      <c r="AI21" s="138"/>
      <c r="AJ21" s="149"/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86000</v>
      </c>
    </row>
    <row r="22" spans="1:50">
      <c r="A22" s="21">
        <f t="shared" si="0"/>
        <v>44273</v>
      </c>
      <c r="B22" s="38">
        <v>106000</v>
      </c>
      <c r="C22" s="38"/>
      <c r="D22" s="24">
        <f t="shared" si="1"/>
        <v>106000</v>
      </c>
      <c r="E22" s="40"/>
      <c r="F22" s="35"/>
      <c r="G22" s="27"/>
      <c r="H22" s="216">
        <f t="shared" si="2"/>
        <v>0</v>
      </c>
      <c r="I22" s="35"/>
      <c r="J22" s="41"/>
      <c r="K22" s="29"/>
      <c r="L22" s="1"/>
      <c r="M22" s="1"/>
      <c r="N22" s="1"/>
      <c r="O22" s="1"/>
      <c r="P22" s="55">
        <v>44214</v>
      </c>
      <c r="Q22" s="35"/>
      <c r="R22" s="138"/>
      <c r="S22" s="139"/>
      <c r="T22" s="138"/>
      <c r="U22" s="139">
        <v>74000</v>
      </c>
      <c r="V22" s="138"/>
      <c r="W22" s="139">
        <v>3000</v>
      </c>
      <c r="X22" s="138"/>
      <c r="Y22" s="375"/>
      <c r="Z22" s="153"/>
      <c r="AA22" s="138"/>
      <c r="AB22" s="139">
        <v>29000</v>
      </c>
      <c r="AC22" s="138"/>
      <c r="AD22" s="151"/>
      <c r="AE22" s="138"/>
      <c r="AF22" s="139"/>
      <c r="AG22" s="138"/>
      <c r="AH22" s="139"/>
      <c r="AI22" s="138"/>
      <c r="AJ22" s="149"/>
      <c r="AK22" s="138"/>
      <c r="AL22" s="149"/>
      <c r="AM22" s="138"/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106000</v>
      </c>
    </row>
    <row r="23" spans="1:50">
      <c r="A23" s="21">
        <f t="shared" si="0"/>
        <v>44274</v>
      </c>
      <c r="B23" s="38">
        <v>132000</v>
      </c>
      <c r="C23" s="38">
        <v>7000</v>
      </c>
      <c r="D23" s="24">
        <f t="shared" si="1"/>
        <v>139000</v>
      </c>
      <c r="E23" s="40">
        <v>9780</v>
      </c>
      <c r="F23" s="35"/>
      <c r="G23" s="27"/>
      <c r="H23" s="216">
        <f t="shared" si="2"/>
        <v>9780</v>
      </c>
      <c r="I23" s="35"/>
      <c r="J23" s="41"/>
      <c r="K23" s="29"/>
      <c r="L23" s="1"/>
      <c r="M23" s="1"/>
      <c r="N23" s="1"/>
      <c r="O23" s="1"/>
      <c r="P23" s="55">
        <v>44215</v>
      </c>
      <c r="Q23" s="35"/>
      <c r="R23" s="138"/>
      <c r="S23" s="139"/>
      <c r="T23" s="138"/>
      <c r="U23" s="139">
        <v>19000</v>
      </c>
      <c r="V23" s="138"/>
      <c r="W23" s="139">
        <v>53000</v>
      </c>
      <c r="X23" s="138"/>
      <c r="Y23" s="138">
        <v>7000</v>
      </c>
      <c r="Z23" s="139"/>
      <c r="AA23" s="138"/>
      <c r="AB23" s="139"/>
      <c r="AC23" s="138"/>
      <c r="AD23" s="151"/>
      <c r="AE23" s="138"/>
      <c r="AF23" s="149">
        <v>60000</v>
      </c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139000</v>
      </c>
    </row>
    <row r="24" spans="1:50">
      <c r="A24" s="21">
        <f t="shared" si="0"/>
        <v>44275</v>
      </c>
      <c r="B24" s="38">
        <v>131000</v>
      </c>
      <c r="C24" s="38">
        <v>54000</v>
      </c>
      <c r="D24" s="24">
        <f t="shared" si="1"/>
        <v>185000</v>
      </c>
      <c r="E24" s="40">
        <v>9528</v>
      </c>
      <c r="F24" s="35"/>
      <c r="G24" s="27"/>
      <c r="H24" s="216">
        <f t="shared" si="2"/>
        <v>9528</v>
      </c>
      <c r="I24" s="35"/>
      <c r="J24" s="41"/>
      <c r="K24" s="29"/>
      <c r="L24" s="1"/>
      <c r="M24" s="53" t="s">
        <v>34</v>
      </c>
      <c r="N24" s="38">
        <f>D37</f>
        <v>3844000</v>
      </c>
      <c r="O24" s="1"/>
      <c r="P24" s="55">
        <v>44216</v>
      </c>
      <c r="Q24" s="35"/>
      <c r="R24" s="138"/>
      <c r="S24" s="139">
        <v>42000</v>
      </c>
      <c r="T24" s="138"/>
      <c r="U24" s="139">
        <v>91000</v>
      </c>
      <c r="V24" s="138"/>
      <c r="W24" s="139">
        <v>3000</v>
      </c>
      <c r="X24" s="138"/>
      <c r="Y24" s="138"/>
      <c r="Z24" s="139">
        <v>49000</v>
      </c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185000</v>
      </c>
    </row>
    <row r="25" spans="1:50">
      <c r="A25" s="21">
        <f t="shared" si="0"/>
        <v>44276</v>
      </c>
      <c r="B25" s="38">
        <v>99000</v>
      </c>
      <c r="C25" s="38"/>
      <c r="D25" s="24">
        <f t="shared" si="1"/>
        <v>99000</v>
      </c>
      <c r="E25" s="40">
        <f>1400+12664</f>
        <v>14064</v>
      </c>
      <c r="F25" s="35">
        <v>20703</v>
      </c>
      <c r="G25" s="27">
        <f>654+893</f>
        <v>1547</v>
      </c>
      <c r="H25" s="216">
        <f t="shared" si="2"/>
        <v>36314</v>
      </c>
      <c r="I25" s="35"/>
      <c r="J25" s="41"/>
      <c r="K25" s="29"/>
      <c r="L25" s="1"/>
      <c r="M25" s="53" t="s">
        <v>35</v>
      </c>
      <c r="N25" s="38">
        <f>H37</f>
        <v>408103</v>
      </c>
      <c r="O25" s="1"/>
      <c r="P25" s="55">
        <v>44217</v>
      </c>
      <c r="Q25" s="35"/>
      <c r="R25" s="138"/>
      <c r="S25" s="139">
        <v>10000</v>
      </c>
      <c r="T25" s="138"/>
      <c r="U25" s="139">
        <v>54000</v>
      </c>
      <c r="V25" s="138"/>
      <c r="W25" s="139">
        <v>25000</v>
      </c>
      <c r="X25" s="138"/>
      <c r="Y25" s="138"/>
      <c r="Z25" s="139">
        <v>10000</v>
      </c>
      <c r="AA25" s="138"/>
      <c r="AB25" s="139"/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/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99000</v>
      </c>
    </row>
    <row r="26" spans="1:50">
      <c r="A26" s="21">
        <f t="shared" si="0"/>
        <v>44277</v>
      </c>
      <c r="B26" s="38">
        <v>87000</v>
      </c>
      <c r="C26" s="38">
        <v>56000</v>
      </c>
      <c r="D26" s="24">
        <f t="shared" si="1"/>
        <v>143000</v>
      </c>
      <c r="E26" s="40">
        <f>2800+7860</f>
        <v>10660</v>
      </c>
      <c r="F26" s="35"/>
      <c r="G26" s="27"/>
      <c r="H26" s="216">
        <f t="shared" si="2"/>
        <v>10660</v>
      </c>
      <c r="I26" s="35"/>
      <c r="J26" s="41"/>
      <c r="K26" s="29"/>
      <c r="L26" s="1"/>
      <c r="M26" s="53" t="s">
        <v>36</v>
      </c>
      <c r="N26" s="38">
        <f>N19</f>
        <v>56000</v>
      </c>
      <c r="O26" s="1"/>
      <c r="P26" s="55">
        <v>44218</v>
      </c>
      <c r="Q26" s="35"/>
      <c r="R26" s="138"/>
      <c r="S26" s="139"/>
      <c r="T26" s="138"/>
      <c r="U26" s="139">
        <v>8000</v>
      </c>
      <c r="V26" s="138"/>
      <c r="W26" s="139">
        <v>17000</v>
      </c>
      <c r="X26" s="138"/>
      <c r="Y26" s="138"/>
      <c r="Z26" s="139">
        <v>62000</v>
      </c>
      <c r="AA26" s="138"/>
      <c r="AB26" s="139"/>
      <c r="AC26" s="138"/>
      <c r="AD26" s="151"/>
      <c r="AE26" s="138"/>
      <c r="AF26" s="149">
        <v>56000</v>
      </c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143000</v>
      </c>
    </row>
    <row r="27" spans="1:50">
      <c r="A27" s="21">
        <f t="shared" si="0"/>
        <v>44278</v>
      </c>
      <c r="B27" s="38">
        <v>91000</v>
      </c>
      <c r="C27" s="38"/>
      <c r="D27" s="24">
        <f t="shared" si="1"/>
        <v>91000</v>
      </c>
      <c r="E27" s="40"/>
      <c r="F27" s="35"/>
      <c r="G27" s="27">
        <f>3657+897</f>
        <v>4554</v>
      </c>
      <c r="H27" s="216">
        <f t="shared" si="2"/>
        <v>4554</v>
      </c>
      <c r="I27" s="35"/>
      <c r="J27" s="41"/>
      <c r="K27" s="29"/>
      <c r="L27" s="1"/>
      <c r="M27" s="60" t="s">
        <v>37</v>
      </c>
      <c r="N27" s="61">
        <f>IFERROR(N24-N25-N26, "")</f>
        <v>3379897</v>
      </c>
      <c r="O27" s="1"/>
      <c r="P27" s="55">
        <v>44219</v>
      </c>
      <c r="Q27" s="35">
        <v>5000</v>
      </c>
      <c r="R27" s="138"/>
      <c r="S27" s="139"/>
      <c r="T27" s="138"/>
      <c r="U27" s="139">
        <v>39000</v>
      </c>
      <c r="V27" s="138"/>
      <c r="W27" s="139">
        <v>14000</v>
      </c>
      <c r="X27" s="138"/>
      <c r="Y27" s="138"/>
      <c r="Z27" s="139">
        <v>15000</v>
      </c>
      <c r="AA27" s="138"/>
      <c r="AB27" s="139">
        <v>18000</v>
      </c>
      <c r="AC27" s="138"/>
      <c r="AD27" s="151"/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91000</v>
      </c>
    </row>
    <row r="28" spans="1:50">
      <c r="A28" s="21">
        <f t="shared" si="0"/>
        <v>44279</v>
      </c>
      <c r="B28" s="38">
        <v>108000</v>
      </c>
      <c r="C28" s="38">
        <v>70000</v>
      </c>
      <c r="D28" s="24">
        <f t="shared" si="1"/>
        <v>178000</v>
      </c>
      <c r="E28" s="299">
        <v>18000</v>
      </c>
      <c r="F28" s="35"/>
      <c r="G28" s="27"/>
      <c r="H28" s="216">
        <f t="shared" si="2"/>
        <v>18000</v>
      </c>
      <c r="I28" s="35"/>
      <c r="J28" s="41"/>
      <c r="K28" s="29"/>
      <c r="L28" s="1"/>
      <c r="M28" s="1"/>
      <c r="N28" s="1"/>
      <c r="O28" s="1"/>
      <c r="P28" s="55">
        <v>44220</v>
      </c>
      <c r="Q28" s="35"/>
      <c r="R28" s="138"/>
      <c r="S28" s="139"/>
      <c r="T28" s="138"/>
      <c r="U28" s="139">
        <v>63000</v>
      </c>
      <c r="V28" s="138"/>
      <c r="W28" s="139">
        <v>60000</v>
      </c>
      <c r="X28" s="138"/>
      <c r="Y28" s="138"/>
      <c r="Z28" s="139">
        <v>15000</v>
      </c>
      <c r="AA28" s="138"/>
      <c r="AB28" s="139"/>
      <c r="AC28" s="138"/>
      <c r="AD28" s="151">
        <v>40000</v>
      </c>
      <c r="AE28" s="138"/>
      <c r="AF28" s="149"/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178000</v>
      </c>
    </row>
    <row r="29" spans="1:50">
      <c r="A29" s="21">
        <f t="shared" si="0"/>
        <v>44280</v>
      </c>
      <c r="B29" s="38">
        <v>167000</v>
      </c>
      <c r="C29" s="38">
        <v>50000</v>
      </c>
      <c r="D29" s="24">
        <f t="shared" si="1"/>
        <v>217000</v>
      </c>
      <c r="E29" s="40">
        <v>11082</v>
      </c>
      <c r="F29" s="35"/>
      <c r="G29" s="27"/>
      <c r="H29" s="216">
        <f t="shared" si="2"/>
        <v>11082</v>
      </c>
      <c r="I29" s="35"/>
      <c r="J29" s="41"/>
      <c r="K29" s="29"/>
      <c r="L29" s="1"/>
      <c r="M29" s="1"/>
      <c r="N29" s="1"/>
      <c r="O29" s="1"/>
      <c r="P29" s="55">
        <v>44221</v>
      </c>
      <c r="Q29" s="35"/>
      <c r="R29" s="138"/>
      <c r="S29" s="139"/>
      <c r="T29" s="138"/>
      <c r="U29" s="139">
        <v>142000</v>
      </c>
      <c r="V29" s="138">
        <v>20000</v>
      </c>
      <c r="W29" s="139">
        <v>30000</v>
      </c>
      <c r="X29" s="138"/>
      <c r="Y29" s="138"/>
      <c r="Z29" s="139">
        <v>25000</v>
      </c>
      <c r="AA29" s="138"/>
      <c r="AB29" s="139"/>
      <c r="AC29" s="138"/>
      <c r="AD29" s="151"/>
      <c r="AE29" s="138"/>
      <c r="AF29" s="149"/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217000</v>
      </c>
    </row>
    <row r="30" spans="1:50">
      <c r="A30" s="21">
        <f t="shared" si="0"/>
        <v>44281</v>
      </c>
      <c r="B30" s="38">
        <v>59000</v>
      </c>
      <c r="C30" s="38"/>
      <c r="D30" s="24">
        <f t="shared" si="1"/>
        <v>59000</v>
      </c>
      <c r="E30" s="40"/>
      <c r="F30" s="35"/>
      <c r="G30" s="27">
        <v>715</v>
      </c>
      <c r="H30" s="216">
        <f t="shared" si="2"/>
        <v>715</v>
      </c>
      <c r="I30" s="35"/>
      <c r="J30" s="41"/>
      <c r="K30" s="29"/>
      <c r="L30" s="1"/>
      <c r="M30" s="1"/>
      <c r="N30" s="1"/>
      <c r="O30" s="1"/>
      <c r="P30" s="55">
        <v>44222</v>
      </c>
      <c r="Q30" s="35"/>
      <c r="R30" s="138"/>
      <c r="S30" s="139"/>
      <c r="T30" s="138"/>
      <c r="U30" s="139">
        <v>40000</v>
      </c>
      <c r="V30" s="138"/>
      <c r="W30" s="139">
        <v>10000</v>
      </c>
      <c r="X30" s="138"/>
      <c r="Y30" s="138"/>
      <c r="Z30" s="139">
        <v>9000</v>
      </c>
      <c r="AA30" s="138"/>
      <c r="AB30" s="139"/>
      <c r="AC30" s="138"/>
      <c r="AD30" s="151"/>
      <c r="AE30" s="138"/>
      <c r="AF30" s="149"/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59000</v>
      </c>
    </row>
    <row r="31" spans="1:50">
      <c r="A31" s="21">
        <f t="shared" si="0"/>
        <v>44282</v>
      </c>
      <c r="B31" s="38">
        <v>123000</v>
      </c>
      <c r="C31" s="38"/>
      <c r="D31" s="24">
        <f t="shared" si="1"/>
        <v>123000</v>
      </c>
      <c r="E31" s="40"/>
      <c r="F31" s="35"/>
      <c r="G31" s="27"/>
      <c r="H31" s="216">
        <f t="shared" si="2"/>
        <v>0</v>
      </c>
      <c r="I31" s="35"/>
      <c r="J31" s="41"/>
      <c r="K31" s="29"/>
      <c r="L31" s="1"/>
      <c r="M31" s="1"/>
      <c r="N31" s="1"/>
      <c r="O31" s="1"/>
      <c r="P31" s="55">
        <v>44223</v>
      </c>
      <c r="Q31" s="35"/>
      <c r="R31" s="138"/>
      <c r="S31" s="139"/>
      <c r="T31" s="138"/>
      <c r="U31" s="139">
        <v>25000</v>
      </c>
      <c r="V31" s="138"/>
      <c r="W31" s="139">
        <v>35000</v>
      </c>
      <c r="X31" s="138"/>
      <c r="Y31" s="138"/>
      <c r="Z31" s="139">
        <v>28000</v>
      </c>
      <c r="AA31" s="138"/>
      <c r="AB31" s="139"/>
      <c r="AC31" s="138"/>
      <c r="AD31" s="151"/>
      <c r="AE31" s="138"/>
      <c r="AF31" s="149"/>
      <c r="AG31" s="138"/>
      <c r="AH31" s="149"/>
      <c r="AI31" s="138"/>
      <c r="AJ31" s="149">
        <v>35000</v>
      </c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123000</v>
      </c>
    </row>
    <row r="32" spans="1:50">
      <c r="A32" s="21">
        <f t="shared" si="0"/>
        <v>44283</v>
      </c>
      <c r="B32" s="38">
        <v>70000</v>
      </c>
      <c r="C32" s="38">
        <v>3000</v>
      </c>
      <c r="D32" s="24">
        <f t="shared" si="1"/>
        <v>73000</v>
      </c>
      <c r="E32" s="40"/>
      <c r="F32" s="35"/>
      <c r="G32" s="27">
        <v>1508</v>
      </c>
      <c r="H32" s="216">
        <f t="shared" si="2"/>
        <v>1508</v>
      </c>
      <c r="I32" s="35"/>
      <c r="J32" s="41"/>
      <c r="K32" s="29"/>
      <c r="L32" s="1"/>
      <c r="M32" s="1"/>
      <c r="N32" s="1"/>
      <c r="O32" s="1"/>
      <c r="P32" s="55">
        <v>44224</v>
      </c>
      <c r="Q32" s="35"/>
      <c r="R32" s="138"/>
      <c r="S32" s="139"/>
      <c r="T32" s="138"/>
      <c r="U32" s="139">
        <v>44000</v>
      </c>
      <c r="V32" s="138"/>
      <c r="W32" s="139">
        <v>2000</v>
      </c>
      <c r="X32" s="138"/>
      <c r="Y32" s="138"/>
      <c r="Z32" s="139"/>
      <c r="AA32" s="138"/>
      <c r="AB32" s="139"/>
      <c r="AC32" s="138"/>
      <c r="AD32" s="151"/>
      <c r="AE32" s="138"/>
      <c r="AF32" s="149">
        <v>27000</v>
      </c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73000</v>
      </c>
    </row>
    <row r="33" spans="1:50">
      <c r="A33" s="21">
        <f t="shared" si="0"/>
        <v>44284</v>
      </c>
      <c r="B33" s="38">
        <v>63000</v>
      </c>
      <c r="C33" s="38"/>
      <c r="D33" s="24">
        <f t="shared" si="1"/>
        <v>63000</v>
      </c>
      <c r="E33" s="40"/>
      <c r="F33" s="35"/>
      <c r="G33" s="27">
        <v>3304</v>
      </c>
      <c r="H33" s="216">
        <f t="shared" si="2"/>
        <v>3304</v>
      </c>
      <c r="I33" s="35"/>
      <c r="J33" s="41"/>
      <c r="K33" s="29"/>
      <c r="L33" s="1"/>
      <c r="M33" s="1"/>
      <c r="N33" s="1"/>
      <c r="O33" s="1"/>
      <c r="P33" s="55">
        <v>44225</v>
      </c>
      <c r="Q33" s="56"/>
      <c r="R33" s="138"/>
      <c r="S33" s="139"/>
      <c r="T33" s="138"/>
      <c r="U33" s="139"/>
      <c r="V33" s="138"/>
      <c r="W33" s="139"/>
      <c r="X33" s="138"/>
      <c r="Y33" s="138"/>
      <c r="Z33" s="139">
        <v>49000</v>
      </c>
      <c r="AA33" s="138"/>
      <c r="AB33" s="139">
        <v>14000</v>
      </c>
      <c r="AC33" s="138"/>
      <c r="AD33" s="151"/>
      <c r="AE33" s="138"/>
      <c r="AF33" s="149"/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63000</v>
      </c>
    </row>
    <row r="34" spans="1:50">
      <c r="A34" s="21">
        <f t="shared" si="0"/>
        <v>44285</v>
      </c>
      <c r="B34" s="38">
        <v>139000</v>
      </c>
      <c r="C34" s="38">
        <v>48000</v>
      </c>
      <c r="D34" s="24">
        <f t="shared" si="1"/>
        <v>187000</v>
      </c>
      <c r="E34" s="40">
        <f>2400+8054</f>
        <v>10454</v>
      </c>
      <c r="F34" s="35"/>
      <c r="G34" s="27"/>
      <c r="H34" s="216">
        <f t="shared" si="2"/>
        <v>10454</v>
      </c>
      <c r="I34" s="35"/>
      <c r="J34" s="41"/>
      <c r="K34" s="29"/>
      <c r="L34" s="1"/>
      <c r="M34" s="1"/>
      <c r="N34" s="1"/>
      <c r="O34" s="1"/>
      <c r="P34" s="55">
        <v>44226</v>
      </c>
      <c r="Q34" s="137"/>
      <c r="R34" s="154"/>
      <c r="S34" s="155"/>
      <c r="T34" s="154"/>
      <c r="U34" s="155">
        <v>90000</v>
      </c>
      <c r="V34" s="154"/>
      <c r="W34" s="155">
        <v>21000</v>
      </c>
      <c r="X34" s="154"/>
      <c r="Y34" s="154"/>
      <c r="Z34" s="155"/>
      <c r="AA34" s="154"/>
      <c r="AB34" s="155"/>
      <c r="AC34" s="154"/>
      <c r="AD34" s="156">
        <v>60000</v>
      </c>
      <c r="AE34" s="154"/>
      <c r="AF34" s="157">
        <v>16000</v>
      </c>
      <c r="AG34" s="154"/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187000</v>
      </c>
    </row>
    <row r="35" spans="1:50" ht="21" thickBot="1">
      <c r="A35" s="21">
        <f t="shared" si="0"/>
        <v>44286</v>
      </c>
      <c r="B35" s="38">
        <v>103000</v>
      </c>
      <c r="C35" s="38">
        <v>3000</v>
      </c>
      <c r="D35" s="24">
        <f t="shared" si="1"/>
        <v>106000</v>
      </c>
      <c r="E35" s="40"/>
      <c r="F35" s="35"/>
      <c r="G35" s="27"/>
      <c r="H35" s="216">
        <f t="shared" si="2"/>
        <v>0</v>
      </c>
      <c r="I35" s="57"/>
      <c r="J35" s="58"/>
      <c r="K35" s="59"/>
      <c r="L35" s="1"/>
      <c r="M35" s="1"/>
      <c r="N35" s="1"/>
      <c r="O35" s="1"/>
      <c r="P35" s="55">
        <v>44227</v>
      </c>
      <c r="Q35" s="115"/>
      <c r="R35" s="158"/>
      <c r="S35" s="147"/>
      <c r="T35" s="158"/>
      <c r="U35" s="147">
        <v>42000</v>
      </c>
      <c r="V35" s="158"/>
      <c r="W35" s="147">
        <v>20000</v>
      </c>
      <c r="X35" s="158"/>
      <c r="Y35" s="158"/>
      <c r="Z35" s="147"/>
      <c r="AA35" s="158"/>
      <c r="AB35" s="147"/>
      <c r="AC35" s="158"/>
      <c r="AD35" s="147"/>
      <c r="AE35" s="158"/>
      <c r="AF35" s="147">
        <v>44000</v>
      </c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106000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25000</v>
      </c>
      <c r="R36" s="115">
        <f t="shared" si="4"/>
        <v>0</v>
      </c>
      <c r="S36" s="115">
        <f t="shared" si="4"/>
        <v>158000</v>
      </c>
      <c r="T36" s="115">
        <f t="shared" si="4"/>
        <v>0</v>
      </c>
      <c r="U36" s="115">
        <f t="shared" si="4"/>
        <v>1429000</v>
      </c>
      <c r="V36" s="115">
        <f t="shared" si="4"/>
        <v>20000</v>
      </c>
      <c r="W36" s="115">
        <f t="shared" si="4"/>
        <v>759000</v>
      </c>
      <c r="X36" s="115">
        <f t="shared" si="4"/>
        <v>45000</v>
      </c>
      <c r="Y36" s="115">
        <f t="shared" si="4"/>
        <v>30000</v>
      </c>
      <c r="Z36" s="115">
        <f t="shared" si="4"/>
        <v>452000</v>
      </c>
      <c r="AA36" s="115">
        <f t="shared" si="4"/>
        <v>0</v>
      </c>
      <c r="AB36" s="115">
        <f t="shared" si="4"/>
        <v>179000</v>
      </c>
      <c r="AC36" s="115">
        <f t="shared" si="4"/>
        <v>0</v>
      </c>
      <c r="AD36" s="115">
        <f t="shared" si="4"/>
        <v>251000</v>
      </c>
      <c r="AE36" s="115">
        <f t="shared" si="4"/>
        <v>0</v>
      </c>
      <c r="AF36" s="115">
        <f t="shared" si="4"/>
        <v>455000</v>
      </c>
      <c r="AG36" s="115">
        <f t="shared" si="4"/>
        <v>0</v>
      </c>
      <c r="AH36" s="115">
        <f t="shared" si="4"/>
        <v>6000</v>
      </c>
      <c r="AI36" s="115">
        <f t="shared" si="4"/>
        <v>0</v>
      </c>
      <c r="AJ36" s="115">
        <f t="shared" si="4"/>
        <v>35000</v>
      </c>
      <c r="AK36" s="115">
        <f t="shared" si="4"/>
        <v>0</v>
      </c>
      <c r="AL36" s="115">
        <f t="shared" si="4"/>
        <v>0</v>
      </c>
      <c r="AM36" s="115">
        <f t="shared" si="4"/>
        <v>0</v>
      </c>
      <c r="AN36" s="115">
        <f t="shared" si="4"/>
        <v>0</v>
      </c>
      <c r="AO36" s="115">
        <f t="shared" si="4"/>
        <v>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3844000</v>
      </c>
    </row>
    <row r="37" spans="1:50" ht="22" thickTop="1" thickBot="1">
      <c r="A37" s="81" t="s">
        <v>33</v>
      </c>
      <c r="B37" s="82">
        <f t="shared" ref="B37:I37" si="5">SUM(B5:B35)</f>
        <v>3376000</v>
      </c>
      <c r="C37" s="82">
        <f t="shared" si="5"/>
        <v>468000</v>
      </c>
      <c r="D37" s="82">
        <f t="shared" si="5"/>
        <v>3844000</v>
      </c>
      <c r="E37" s="83">
        <f t="shared" si="5"/>
        <v>271715</v>
      </c>
      <c r="F37" s="84">
        <f t="shared" si="5"/>
        <v>113684</v>
      </c>
      <c r="G37" s="84">
        <f t="shared" si="5"/>
        <v>22704</v>
      </c>
      <c r="H37" s="132">
        <f t="shared" si="5"/>
        <v>408103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8750</v>
      </c>
      <c r="R38" s="542">
        <f>R36*0.3</f>
        <v>0</v>
      </c>
      <c r="S38" s="544">
        <f>S36*0.35</f>
        <v>55300</v>
      </c>
      <c r="T38" s="544">
        <f>T36*0.3</f>
        <v>0</v>
      </c>
      <c r="U38" s="532">
        <f>U36*0.4</f>
        <v>571600</v>
      </c>
      <c r="V38" s="532">
        <f>V36*0.3</f>
        <v>6000</v>
      </c>
      <c r="W38" s="534">
        <f>W36*0.4</f>
        <v>303600</v>
      </c>
      <c r="X38" s="534">
        <f>X36*0.3</f>
        <v>13500</v>
      </c>
      <c r="Y38" s="538">
        <f>Y36</f>
        <v>30000</v>
      </c>
      <c r="Z38" s="536">
        <f>Z36*0.35</f>
        <v>158200</v>
      </c>
      <c r="AA38" s="530">
        <f>AA36*0.3</f>
        <v>0</v>
      </c>
      <c r="AB38" s="530">
        <f>AB36*0.35</f>
        <v>62649.999999999993</v>
      </c>
      <c r="AC38" s="530">
        <f>AC36*0.3</f>
        <v>0</v>
      </c>
      <c r="AD38" s="530">
        <f>AD36*0.35</f>
        <v>87850</v>
      </c>
      <c r="AE38" s="530">
        <f>AE36*0.3</f>
        <v>0</v>
      </c>
      <c r="AF38" s="530">
        <f>AF36*0.35</f>
        <v>159250</v>
      </c>
      <c r="AG38" s="530">
        <f>AG36*0.3</f>
        <v>0</v>
      </c>
      <c r="AH38" s="530">
        <f>AH36*0.35</f>
        <v>2100</v>
      </c>
      <c r="AI38" s="530">
        <f>AI36*0.3</f>
        <v>0</v>
      </c>
      <c r="AJ38" s="530">
        <f>AJ36*0.35</f>
        <v>12250</v>
      </c>
      <c r="AK38" s="530">
        <f>AK36*0.3</f>
        <v>0</v>
      </c>
      <c r="AL38" s="530">
        <f>AL36*0.35</f>
        <v>0</v>
      </c>
      <c r="AM38" s="530">
        <f>AM36*0.3</f>
        <v>0</v>
      </c>
      <c r="AN38" s="536">
        <f t="shared" ref="AN38:AV38" si="6">AN36*0.35</f>
        <v>0</v>
      </c>
      <c r="AO38" s="530">
        <f t="shared" si="6"/>
        <v>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1"/>
      <c r="B40" s="552">
        <f>B1</f>
        <v>3</v>
      </c>
      <c r="C40" s="547"/>
      <c r="D40" s="548">
        <f>F37+G37</f>
        <v>136388</v>
      </c>
      <c r="E40" s="549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1"/>
      <c r="B41" s="182"/>
      <c r="C41" s="1"/>
      <c r="D41" s="1"/>
      <c r="E41" s="372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1"/>
      <c r="B42" s="496" t="s">
        <v>307</v>
      </c>
      <c r="C42" s="496"/>
      <c r="D42" s="496" t="s">
        <v>308</v>
      </c>
      <c r="E42" s="4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546">
        <f>B37-D40-D43</f>
        <v>3239000</v>
      </c>
      <c r="C43" s="547"/>
      <c r="D43" s="548">
        <v>612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</sheetData>
  <mergeCells count="86">
    <mergeCell ref="B43:C43"/>
    <mergeCell ref="D43:E43"/>
    <mergeCell ref="B39:C39"/>
    <mergeCell ref="D39:E39"/>
    <mergeCell ref="B40:C40"/>
    <mergeCell ref="D40:E40"/>
    <mergeCell ref="B42:C42"/>
    <mergeCell ref="D42:E42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M10:N10"/>
    <mergeCell ref="N11:N12"/>
    <mergeCell ref="P38:P39"/>
    <mergeCell ref="Q38:Q39"/>
    <mergeCell ref="R38:R39"/>
    <mergeCell ref="S38:S39"/>
    <mergeCell ref="AS3:AS4"/>
    <mergeCell ref="AT3:AT4"/>
    <mergeCell ref="AU3:AU4"/>
    <mergeCell ref="AV3:AV4"/>
    <mergeCell ref="AW3:AW4"/>
    <mergeCell ref="AX3:AX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J3:J4"/>
    <mergeCell ref="P3:P4"/>
    <mergeCell ref="Q3:Q4"/>
    <mergeCell ref="R3:R4"/>
    <mergeCell ref="S3:S4"/>
    <mergeCell ref="T3:T4"/>
    <mergeCell ref="A1:A2"/>
    <mergeCell ref="B1:B2"/>
    <mergeCell ref="A3:A4"/>
    <mergeCell ref="B3:D3"/>
    <mergeCell ref="E3:H3"/>
    <mergeCell ref="I3:I4"/>
  </mergeCells>
  <phoneticPr fontId="16"/>
  <dataValidations count="2">
    <dataValidation type="list" allowBlank="1" showErrorMessage="1" sqref="Q3:Q4 AD3:AD4 S3:S4 U3:U4 AL3:AL4 AH3:AH4 Z3:Z4 AF3:AF4 AJ3:AJ4 W3:W4 AB3:AB4 AV3:AV4 AN3:AN4 AO3:AU3" xr:uid="{21AA1977-88C0-1C4B-BDED-F6D4991B0BBD}">
      <formula1>名前</formula1>
    </dataValidation>
    <dataValidation allowBlank="1" showErrorMessage="1" sqref="R3:R4 AI3:AI4 T3:T4 AC3:AC4 AA3:AA4 AE3:AE4 AG3:AG4 AK3:AK4 AW3:AW4 V3:V4 AM3:AM4 X3:X4 Y3" xr:uid="{7F6D06F7-9FEC-4E4D-83B0-923A1D8C9AB9}"/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A5DA-0F64-BF44-B359-89E0EE214193}">
  <dimension ref="A1:AX53"/>
  <sheetViews>
    <sheetView tabSelected="1" topLeftCell="A3" zoomScale="82" workbookViewId="0">
      <selection activeCell="B15" sqref="B15"/>
    </sheetView>
  </sheetViews>
  <sheetFormatPr baseColWidth="10" defaultRowHeight="20"/>
  <cols>
    <col min="1" max="1" width="13.7109375" bestFit="1" customWidth="1"/>
    <col min="2" max="2" width="12.7109375" bestFit="1" customWidth="1"/>
  </cols>
  <sheetData>
    <row r="1" spans="1:50">
      <c r="A1" s="498">
        <v>2021</v>
      </c>
      <c r="B1" s="500">
        <v>4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306</v>
      </c>
      <c r="J3" s="510" t="s">
        <v>4</v>
      </c>
      <c r="K3" s="4"/>
      <c r="L3" s="1"/>
      <c r="M3" s="1"/>
      <c r="N3" s="1"/>
      <c r="O3" s="1"/>
      <c r="P3" s="512" t="s">
        <v>8</v>
      </c>
      <c r="Q3" s="514" t="s">
        <v>7</v>
      </c>
      <c r="R3" s="494">
        <v>0.3</v>
      </c>
      <c r="S3" s="514" t="s">
        <v>49</v>
      </c>
      <c r="T3" s="494">
        <v>0.3</v>
      </c>
      <c r="U3" s="514" t="s">
        <v>10</v>
      </c>
      <c r="V3" s="494">
        <v>0.3</v>
      </c>
      <c r="W3" s="514" t="s">
        <v>50</v>
      </c>
      <c r="X3" s="494">
        <v>0.3</v>
      </c>
      <c r="Y3" s="494" t="s">
        <v>247</v>
      </c>
      <c r="Z3" s="514" t="s">
        <v>234</v>
      </c>
      <c r="AA3" s="494">
        <v>0.3</v>
      </c>
      <c r="AB3" s="492" t="s">
        <v>343</v>
      </c>
      <c r="AC3" s="494">
        <v>0.3</v>
      </c>
      <c r="AD3" s="496" t="s">
        <v>262</v>
      </c>
      <c r="AE3" s="494">
        <v>0.3</v>
      </c>
      <c r="AF3" s="527" t="s">
        <v>297</v>
      </c>
      <c r="AG3" s="494">
        <v>0.3</v>
      </c>
      <c r="AH3" s="492" t="s">
        <v>248</v>
      </c>
      <c r="AI3" s="494">
        <v>0.3</v>
      </c>
      <c r="AJ3" s="496" t="s">
        <v>329</v>
      </c>
      <c r="AK3" s="494">
        <v>0.3</v>
      </c>
      <c r="AL3" s="496" t="s">
        <v>280</v>
      </c>
      <c r="AM3" s="523">
        <v>0.3</v>
      </c>
      <c r="AN3" s="496" t="s">
        <v>334</v>
      </c>
      <c r="AO3" s="520" t="s">
        <v>248</v>
      </c>
      <c r="AP3" s="520" t="s">
        <v>248</v>
      </c>
      <c r="AQ3" s="520" t="s">
        <v>248</v>
      </c>
      <c r="AR3" s="525" t="s">
        <v>248</v>
      </c>
      <c r="AS3" s="520" t="s">
        <v>248</v>
      </c>
      <c r="AT3" s="522" t="s">
        <v>248</v>
      </c>
      <c r="AU3" s="520" t="s">
        <v>248</v>
      </c>
      <c r="AV3" s="496" t="s">
        <v>248</v>
      </c>
      <c r="AW3" s="494">
        <v>0.3</v>
      </c>
      <c r="AX3" s="550" t="s">
        <v>246</v>
      </c>
    </row>
    <row r="4" spans="1:50" ht="21" thickBot="1">
      <c r="A4" s="502"/>
      <c r="B4" s="9" t="s">
        <v>176</v>
      </c>
      <c r="C4" s="9" t="s">
        <v>13</v>
      </c>
      <c r="D4" s="10" t="s">
        <v>14</v>
      </c>
      <c r="E4" s="11" t="s">
        <v>303</v>
      </c>
      <c r="F4" s="12" t="s">
        <v>304</v>
      </c>
      <c r="G4" s="13" t="s">
        <v>305</v>
      </c>
      <c r="H4" s="14" t="s">
        <v>17</v>
      </c>
      <c r="I4" s="509"/>
      <c r="J4" s="511"/>
      <c r="K4" s="15" t="s">
        <v>18</v>
      </c>
      <c r="L4" s="1"/>
      <c r="M4" s="1"/>
      <c r="N4" s="1"/>
      <c r="O4" s="1"/>
      <c r="P4" s="513"/>
      <c r="Q4" s="513"/>
      <c r="R4" s="495"/>
      <c r="S4" s="513"/>
      <c r="T4" s="495"/>
      <c r="U4" s="515"/>
      <c r="V4" s="495"/>
      <c r="W4" s="515"/>
      <c r="X4" s="495"/>
      <c r="Y4" s="529"/>
      <c r="Z4" s="513"/>
      <c r="AA4" s="495"/>
      <c r="AB4" s="493"/>
      <c r="AC4" s="495"/>
      <c r="AD4" s="497"/>
      <c r="AE4" s="495"/>
      <c r="AF4" s="528"/>
      <c r="AG4" s="495"/>
      <c r="AH4" s="493"/>
      <c r="AI4" s="495"/>
      <c r="AJ4" s="497"/>
      <c r="AK4" s="495"/>
      <c r="AL4" s="497"/>
      <c r="AM4" s="524"/>
      <c r="AN4" s="497"/>
      <c r="AO4" s="521"/>
      <c r="AP4" s="521"/>
      <c r="AQ4" s="521"/>
      <c r="AR4" s="526"/>
      <c r="AS4" s="521"/>
      <c r="AT4" s="522"/>
      <c r="AU4" s="521"/>
      <c r="AV4" s="497"/>
      <c r="AW4" s="495"/>
      <c r="AX4" s="551"/>
    </row>
    <row r="5" spans="1:50">
      <c r="A5" s="21">
        <f t="shared" ref="A5:A35" si="0">IF(DAY(DATE($A$1,$B$1,ROW()-4))=ROW()-4,DATE($A$1,$B$1,ROW()-4),"")</f>
        <v>44287</v>
      </c>
      <c r="B5" s="23">
        <v>56000</v>
      </c>
      <c r="C5" s="23">
        <v>23000</v>
      </c>
      <c r="D5" s="24">
        <f t="shared" ref="D5:D35" si="1">SUM(B5:C5)</f>
        <v>79000</v>
      </c>
      <c r="E5" s="25">
        <f>27130+23142+27220</f>
        <v>77492</v>
      </c>
      <c r="F5" s="26"/>
      <c r="G5" s="27"/>
      <c r="H5" s="216">
        <f t="shared" ref="H5:H35" si="2">SUM(E5:G5)</f>
        <v>77492</v>
      </c>
      <c r="I5" s="27"/>
      <c r="J5" s="28"/>
      <c r="K5" s="29"/>
      <c r="L5" s="1"/>
      <c r="M5" s="1"/>
      <c r="N5" s="1"/>
      <c r="O5" s="1"/>
      <c r="P5" s="55">
        <v>44197</v>
      </c>
      <c r="Q5" s="35"/>
      <c r="R5" s="138"/>
      <c r="S5" s="139"/>
      <c r="T5" s="138"/>
      <c r="U5" s="190">
        <v>65000</v>
      </c>
      <c r="V5" s="138"/>
      <c r="W5" s="141"/>
      <c r="X5" s="138"/>
      <c r="Y5" s="166"/>
      <c r="Z5" s="142">
        <v>14000</v>
      </c>
      <c r="AA5" s="138"/>
      <c r="AB5" s="143"/>
      <c r="AC5" s="138"/>
      <c r="AD5" s="144"/>
      <c r="AE5" s="138"/>
      <c r="AF5" s="145"/>
      <c r="AG5" s="138"/>
      <c r="AH5" s="146"/>
      <c r="AI5" s="138"/>
      <c r="AJ5" s="144"/>
      <c r="AK5" s="138"/>
      <c r="AL5" s="144"/>
      <c r="AM5" s="160"/>
      <c r="AN5" s="158"/>
      <c r="AO5" s="172"/>
      <c r="AP5" s="172"/>
      <c r="AQ5" s="172"/>
      <c r="AR5" s="172"/>
      <c r="AS5" s="172"/>
      <c r="AT5" s="172"/>
      <c r="AU5" s="172"/>
      <c r="AV5" s="161"/>
      <c r="AW5" s="138"/>
      <c r="AX5" s="2">
        <f>SUM(Q5:AW5)</f>
        <v>79000</v>
      </c>
    </row>
    <row r="6" spans="1:50">
      <c r="A6" s="21">
        <f t="shared" si="0"/>
        <v>44288</v>
      </c>
      <c r="B6" s="38">
        <v>115000</v>
      </c>
      <c r="C6" s="23">
        <v>15000</v>
      </c>
      <c r="D6" s="24">
        <f t="shared" si="1"/>
        <v>130000</v>
      </c>
      <c r="E6" s="40">
        <v>4580</v>
      </c>
      <c r="F6" s="35"/>
      <c r="G6" s="27">
        <v>895</v>
      </c>
      <c r="H6" s="216">
        <f t="shared" si="2"/>
        <v>5475</v>
      </c>
      <c r="I6" s="35"/>
      <c r="J6" s="41"/>
      <c r="K6" s="29"/>
      <c r="L6" s="1"/>
      <c r="M6" s="1"/>
      <c r="N6" s="1"/>
      <c r="O6" s="1"/>
      <c r="P6" s="55">
        <v>44198</v>
      </c>
      <c r="Q6" s="35"/>
      <c r="R6" s="138"/>
      <c r="S6" s="139"/>
      <c r="T6" s="138"/>
      <c r="U6" s="143">
        <v>115000</v>
      </c>
      <c r="V6" s="138"/>
      <c r="W6" s="147">
        <v>15000</v>
      </c>
      <c r="X6" s="138"/>
      <c r="Y6" s="166"/>
      <c r="Z6" s="142"/>
      <c r="AA6" s="138"/>
      <c r="AB6" s="143"/>
      <c r="AC6" s="138"/>
      <c r="AD6" s="147"/>
      <c r="AE6" s="138"/>
      <c r="AF6" s="145"/>
      <c r="AG6" s="138"/>
      <c r="AH6" s="146"/>
      <c r="AI6" s="138"/>
      <c r="AJ6" s="144"/>
      <c r="AK6" s="138"/>
      <c r="AL6" s="144"/>
      <c r="AM6" s="160"/>
      <c r="AN6" s="168"/>
      <c r="AO6" s="168"/>
      <c r="AP6" s="158"/>
      <c r="AQ6" s="172"/>
      <c r="AR6" s="172"/>
      <c r="AS6" s="172"/>
      <c r="AT6" s="172"/>
      <c r="AU6" s="172"/>
      <c r="AV6" s="161"/>
      <c r="AW6" s="138"/>
      <c r="AX6" s="2">
        <f>SUM(Q6:AW6)</f>
        <v>130000</v>
      </c>
    </row>
    <row r="7" spans="1:50">
      <c r="A7" s="21">
        <f t="shared" si="0"/>
        <v>44289</v>
      </c>
      <c r="B7" s="38">
        <v>83000</v>
      </c>
      <c r="C7" s="23"/>
      <c r="D7" s="24">
        <f t="shared" si="1"/>
        <v>83000</v>
      </c>
      <c r="E7" s="40"/>
      <c r="F7" s="35"/>
      <c r="G7" s="27"/>
      <c r="H7" s="216">
        <f t="shared" si="2"/>
        <v>0</v>
      </c>
      <c r="I7" s="35"/>
      <c r="J7" s="41"/>
      <c r="K7" s="29"/>
      <c r="L7" s="1"/>
      <c r="M7" s="1"/>
      <c r="N7" s="1"/>
      <c r="O7" s="1"/>
      <c r="P7" s="55">
        <v>44199</v>
      </c>
      <c r="Q7" s="35"/>
      <c r="R7" s="138"/>
      <c r="S7" s="139"/>
      <c r="T7" s="138"/>
      <c r="U7" s="143">
        <v>59000</v>
      </c>
      <c r="V7" s="138"/>
      <c r="W7" s="147">
        <v>24000</v>
      </c>
      <c r="X7" s="138"/>
      <c r="Y7" s="166"/>
      <c r="Z7" s="142"/>
      <c r="AA7" s="138"/>
      <c r="AB7" s="139"/>
      <c r="AC7" s="138"/>
      <c r="AD7" s="148"/>
      <c r="AE7" s="138"/>
      <c r="AF7" s="149"/>
      <c r="AG7" s="138"/>
      <c r="AH7" s="149"/>
      <c r="AI7" s="138"/>
      <c r="AJ7" s="150"/>
      <c r="AK7" s="138"/>
      <c r="AL7" s="150"/>
      <c r="AM7" s="160"/>
      <c r="AN7" s="168"/>
      <c r="AO7" s="168"/>
      <c r="AP7" s="158"/>
      <c r="AQ7" s="172"/>
      <c r="AR7" s="172"/>
      <c r="AS7" s="172"/>
      <c r="AT7" s="172"/>
      <c r="AU7" s="172"/>
      <c r="AV7" s="162"/>
      <c r="AW7" s="138"/>
      <c r="AX7" s="2">
        <f t="shared" ref="AX7:AX36" si="3">SUM(Q7:AW7)</f>
        <v>83000</v>
      </c>
    </row>
    <row r="8" spans="1:50">
      <c r="A8" s="21">
        <f t="shared" si="0"/>
        <v>44290</v>
      </c>
      <c r="B8" s="38">
        <v>10000</v>
      </c>
      <c r="C8" s="23"/>
      <c r="D8" s="24">
        <f t="shared" si="1"/>
        <v>10000</v>
      </c>
      <c r="E8" s="40"/>
      <c r="F8" s="35"/>
      <c r="G8" s="27">
        <v>895</v>
      </c>
      <c r="H8" s="216">
        <f t="shared" si="2"/>
        <v>895</v>
      </c>
      <c r="I8" s="35"/>
      <c r="J8" s="41"/>
      <c r="K8" s="29"/>
      <c r="L8" s="1"/>
      <c r="M8" s="1"/>
      <c r="N8" s="1"/>
      <c r="O8" s="1"/>
      <c r="P8" s="55">
        <v>44200</v>
      </c>
      <c r="Q8" s="35"/>
      <c r="R8" s="138"/>
      <c r="S8" s="139"/>
      <c r="T8" s="138"/>
      <c r="U8" s="143"/>
      <c r="V8" s="138"/>
      <c r="W8" s="147"/>
      <c r="X8" s="138"/>
      <c r="Y8" s="166"/>
      <c r="Z8" s="142">
        <v>10000</v>
      </c>
      <c r="AA8" s="138"/>
      <c r="AB8" s="139"/>
      <c r="AC8" s="138"/>
      <c r="AD8" s="151"/>
      <c r="AE8" s="138"/>
      <c r="AF8" s="149"/>
      <c r="AG8" s="138"/>
      <c r="AH8" s="149"/>
      <c r="AI8" s="138"/>
      <c r="AJ8" s="149"/>
      <c r="AK8" s="138"/>
      <c r="AL8" s="149"/>
      <c r="AM8" s="138"/>
      <c r="AN8" s="169"/>
      <c r="AO8" s="158"/>
      <c r="AP8" s="167"/>
      <c r="AQ8" s="158"/>
      <c r="AR8" s="172"/>
      <c r="AS8" s="172"/>
      <c r="AT8" s="172"/>
      <c r="AU8" s="172"/>
      <c r="AV8" s="145"/>
      <c r="AW8" s="138"/>
      <c r="AX8" s="2">
        <f t="shared" si="3"/>
        <v>10000</v>
      </c>
    </row>
    <row r="9" spans="1:50">
      <c r="A9" s="21">
        <f t="shared" si="0"/>
        <v>44291</v>
      </c>
      <c r="B9" s="38">
        <v>46000</v>
      </c>
      <c r="C9" s="23"/>
      <c r="D9" s="24">
        <f t="shared" si="1"/>
        <v>46000</v>
      </c>
      <c r="E9" s="40"/>
      <c r="F9" s="35"/>
      <c r="G9" s="27"/>
      <c r="H9" s="216">
        <f t="shared" si="2"/>
        <v>0</v>
      </c>
      <c r="I9" s="35"/>
      <c r="J9" s="41"/>
      <c r="K9" s="29"/>
      <c r="L9" s="1"/>
      <c r="M9" s="1"/>
      <c r="N9" s="1"/>
      <c r="O9" s="1"/>
      <c r="P9" s="55">
        <v>44201</v>
      </c>
      <c r="Q9" s="35"/>
      <c r="R9" s="138"/>
      <c r="S9" s="139"/>
      <c r="T9" s="138"/>
      <c r="U9" s="139">
        <v>26000</v>
      </c>
      <c r="V9" s="138"/>
      <c r="W9" s="152">
        <v>20000</v>
      </c>
      <c r="X9" s="138"/>
      <c r="Y9" s="138"/>
      <c r="Z9" s="139"/>
      <c r="AA9" s="138"/>
      <c r="AB9" s="139"/>
      <c r="AC9" s="138"/>
      <c r="AD9" s="151"/>
      <c r="AE9" s="138"/>
      <c r="AF9" s="149"/>
      <c r="AG9" s="138"/>
      <c r="AH9" s="149"/>
      <c r="AI9" s="138"/>
      <c r="AJ9" s="149"/>
      <c r="AK9" s="138"/>
      <c r="AL9" s="149"/>
      <c r="AM9" s="138"/>
      <c r="AN9" s="160"/>
      <c r="AO9" s="158"/>
      <c r="AP9" s="167"/>
      <c r="AQ9" s="168"/>
      <c r="AR9" s="158"/>
      <c r="AS9" s="158"/>
      <c r="AT9" s="158"/>
      <c r="AU9" s="158"/>
      <c r="AV9" s="145"/>
      <c r="AW9" s="138"/>
      <c r="AX9" s="2">
        <f t="shared" si="3"/>
        <v>46000</v>
      </c>
    </row>
    <row r="10" spans="1:50">
      <c r="A10" s="21">
        <f t="shared" si="0"/>
        <v>44292</v>
      </c>
      <c r="B10" s="38">
        <v>70000</v>
      </c>
      <c r="C10" s="23">
        <v>9000</v>
      </c>
      <c r="D10" s="24">
        <f t="shared" si="1"/>
        <v>79000</v>
      </c>
      <c r="E10" s="40">
        <f>6900+20946+1890</f>
        <v>29736</v>
      </c>
      <c r="F10" s="35"/>
      <c r="G10" s="27">
        <v>942</v>
      </c>
      <c r="H10" s="216">
        <f t="shared" si="2"/>
        <v>30678</v>
      </c>
      <c r="I10" s="35"/>
      <c r="J10" s="41"/>
      <c r="K10" s="29"/>
      <c r="L10" s="1"/>
      <c r="M10" s="516" t="s">
        <v>26</v>
      </c>
      <c r="N10" s="517"/>
      <c r="O10" s="1"/>
      <c r="P10" s="55">
        <v>44202</v>
      </c>
      <c r="Q10" s="35"/>
      <c r="R10" s="138"/>
      <c r="S10" s="139"/>
      <c r="T10" s="138"/>
      <c r="U10" s="139">
        <v>9000</v>
      </c>
      <c r="V10" s="138"/>
      <c r="W10" s="139">
        <v>10000</v>
      </c>
      <c r="X10" s="138"/>
      <c r="Y10" s="138"/>
      <c r="Z10" s="139"/>
      <c r="AA10" s="138"/>
      <c r="AB10" s="139">
        <v>10000</v>
      </c>
      <c r="AC10" s="138"/>
      <c r="AD10" s="151">
        <v>50000</v>
      </c>
      <c r="AE10" s="138"/>
      <c r="AF10" s="149"/>
      <c r="AG10" s="138"/>
      <c r="AH10" s="149"/>
      <c r="AI10" s="138"/>
      <c r="AJ10" s="149"/>
      <c r="AK10" s="138"/>
      <c r="AL10" s="149"/>
      <c r="AM10" s="138"/>
      <c r="AN10" s="160"/>
      <c r="AO10" s="158"/>
      <c r="AP10" s="167"/>
      <c r="AQ10" s="168"/>
      <c r="AR10" s="158"/>
      <c r="AS10" s="158"/>
      <c r="AT10" s="158"/>
      <c r="AU10" s="158"/>
      <c r="AV10" s="145"/>
      <c r="AW10" s="138"/>
      <c r="AX10" s="2">
        <f t="shared" si="3"/>
        <v>79000</v>
      </c>
    </row>
    <row r="11" spans="1:50">
      <c r="A11" s="21">
        <f t="shared" si="0"/>
        <v>44293</v>
      </c>
      <c r="B11" s="38">
        <v>52000</v>
      </c>
      <c r="C11" s="23">
        <v>75000</v>
      </c>
      <c r="D11" s="24">
        <f t="shared" si="1"/>
        <v>127000</v>
      </c>
      <c r="E11" s="40"/>
      <c r="F11" s="35"/>
      <c r="G11" s="27"/>
      <c r="H11" s="216">
        <f t="shared" si="2"/>
        <v>0</v>
      </c>
      <c r="I11" s="35"/>
      <c r="J11" s="41"/>
      <c r="K11" s="29"/>
      <c r="L11" s="1"/>
      <c r="M11" s="47" t="s">
        <v>27</v>
      </c>
      <c r="N11" s="518"/>
      <c r="O11" s="1"/>
      <c r="P11" s="55">
        <v>44203</v>
      </c>
      <c r="Q11" s="35"/>
      <c r="R11" s="138"/>
      <c r="S11" s="139"/>
      <c r="T11" s="138"/>
      <c r="U11" s="139">
        <v>40000</v>
      </c>
      <c r="V11" s="138"/>
      <c r="W11" s="139">
        <v>80000</v>
      </c>
      <c r="X11" s="138"/>
      <c r="Y11" s="138"/>
      <c r="Z11" s="139">
        <v>3000</v>
      </c>
      <c r="AA11" s="138"/>
      <c r="AB11" s="139"/>
      <c r="AC11" s="138"/>
      <c r="AD11" s="151"/>
      <c r="AE11" s="138"/>
      <c r="AF11" s="149">
        <v>4000</v>
      </c>
      <c r="AG11" s="138"/>
      <c r="AH11" s="149"/>
      <c r="AI11" s="138"/>
      <c r="AJ11" s="149"/>
      <c r="AK11" s="138"/>
      <c r="AL11" s="149"/>
      <c r="AM11" s="138"/>
      <c r="AN11" s="160"/>
      <c r="AO11" s="158"/>
      <c r="AP11" s="167"/>
      <c r="AQ11" s="168"/>
      <c r="AR11" s="158"/>
      <c r="AS11" s="158"/>
      <c r="AT11" s="158"/>
      <c r="AU11" s="158"/>
      <c r="AV11" s="145"/>
      <c r="AW11" s="138"/>
      <c r="AX11" s="2">
        <f t="shared" si="3"/>
        <v>127000</v>
      </c>
    </row>
    <row r="12" spans="1:50">
      <c r="A12" s="21">
        <f t="shared" si="0"/>
        <v>44294</v>
      </c>
      <c r="B12" s="38">
        <v>41000</v>
      </c>
      <c r="C12" s="23"/>
      <c r="D12" s="24">
        <f t="shared" si="1"/>
        <v>41000</v>
      </c>
      <c r="E12" s="40"/>
      <c r="F12" s="35"/>
      <c r="G12" s="27"/>
      <c r="H12" s="216">
        <f t="shared" si="2"/>
        <v>0</v>
      </c>
      <c r="I12" s="35"/>
      <c r="J12" s="41"/>
      <c r="K12" s="29"/>
      <c r="L12" s="1"/>
      <c r="M12" s="47" t="s">
        <v>28</v>
      </c>
      <c r="N12" s="519"/>
      <c r="O12" s="1"/>
      <c r="P12" s="55">
        <v>44204</v>
      </c>
      <c r="Q12" s="35"/>
      <c r="R12" s="138"/>
      <c r="S12" s="139">
        <v>9000</v>
      </c>
      <c r="T12" s="138"/>
      <c r="U12" s="139">
        <v>12000</v>
      </c>
      <c r="V12" s="138"/>
      <c r="W12" s="139">
        <v>20000</v>
      </c>
      <c r="X12" s="138"/>
      <c r="Y12" s="138"/>
      <c r="Z12" s="139"/>
      <c r="AA12" s="138"/>
      <c r="AB12" s="139"/>
      <c r="AC12" s="138"/>
      <c r="AD12" s="151"/>
      <c r="AE12" s="138"/>
      <c r="AF12" s="149"/>
      <c r="AG12" s="138"/>
      <c r="AH12" s="149"/>
      <c r="AI12" s="138"/>
      <c r="AJ12" s="149"/>
      <c r="AK12" s="138"/>
      <c r="AL12" s="149"/>
      <c r="AM12" s="138"/>
      <c r="AN12" s="160"/>
      <c r="AO12" s="158"/>
      <c r="AP12" s="167"/>
      <c r="AQ12" s="168"/>
      <c r="AR12" s="158"/>
      <c r="AS12" s="158"/>
      <c r="AT12" s="158"/>
      <c r="AU12" s="158"/>
      <c r="AV12" s="145"/>
      <c r="AW12" s="138"/>
      <c r="AX12" s="2">
        <f t="shared" si="3"/>
        <v>41000</v>
      </c>
    </row>
    <row r="13" spans="1:50">
      <c r="A13" s="21">
        <f t="shared" si="0"/>
        <v>44295</v>
      </c>
      <c r="B13" s="38">
        <v>196000</v>
      </c>
      <c r="C13" s="23">
        <v>12000</v>
      </c>
      <c r="D13" s="24">
        <f t="shared" si="1"/>
        <v>208000</v>
      </c>
      <c r="E13" s="40">
        <v>14352</v>
      </c>
      <c r="F13" s="35"/>
      <c r="G13" s="27"/>
      <c r="H13" s="216">
        <f t="shared" si="2"/>
        <v>14352</v>
      </c>
      <c r="I13" s="35"/>
      <c r="J13" s="41"/>
      <c r="K13" s="29"/>
      <c r="L13" s="1"/>
      <c r="M13" s="47" t="s">
        <v>29</v>
      </c>
      <c r="N13" s="35">
        <v>7000</v>
      </c>
      <c r="O13" s="1"/>
      <c r="P13" s="55">
        <v>44205</v>
      </c>
      <c r="Q13" s="35"/>
      <c r="R13" s="138"/>
      <c r="S13" s="139"/>
      <c r="T13" s="138"/>
      <c r="U13" s="139">
        <v>36000</v>
      </c>
      <c r="V13" s="138"/>
      <c r="W13" s="139">
        <v>85000</v>
      </c>
      <c r="X13" s="138"/>
      <c r="Y13" s="138"/>
      <c r="Z13" s="139">
        <v>37000</v>
      </c>
      <c r="AA13" s="138"/>
      <c r="AB13" s="139">
        <v>6000</v>
      </c>
      <c r="AC13" s="138"/>
      <c r="AD13" s="151"/>
      <c r="AE13" s="138"/>
      <c r="AF13" s="149">
        <v>44000</v>
      </c>
      <c r="AG13" s="138"/>
      <c r="AH13" s="149"/>
      <c r="AI13" s="138"/>
      <c r="AJ13" s="149"/>
      <c r="AK13" s="138"/>
      <c r="AL13" s="149"/>
      <c r="AM13" s="138"/>
      <c r="AN13" s="160"/>
      <c r="AO13" s="158"/>
      <c r="AP13" s="167"/>
      <c r="AQ13" s="168"/>
      <c r="AR13" s="158"/>
      <c r="AS13" s="158"/>
      <c r="AT13" s="158"/>
      <c r="AU13" s="158"/>
      <c r="AV13" s="145"/>
      <c r="AW13" s="138"/>
      <c r="AX13" s="2">
        <f t="shared" si="3"/>
        <v>208000</v>
      </c>
    </row>
    <row r="14" spans="1:50">
      <c r="A14" s="21">
        <f t="shared" si="0"/>
        <v>44296</v>
      </c>
      <c r="B14" s="38">
        <v>78000</v>
      </c>
      <c r="C14" s="23"/>
      <c r="D14" s="24">
        <f t="shared" si="1"/>
        <v>78000</v>
      </c>
      <c r="E14" s="40"/>
      <c r="F14" s="44"/>
      <c r="G14" s="27">
        <v>654</v>
      </c>
      <c r="H14" s="216">
        <f t="shared" si="2"/>
        <v>654</v>
      </c>
      <c r="I14" s="35"/>
      <c r="J14" s="41"/>
      <c r="K14" s="29"/>
      <c r="L14" s="1"/>
      <c r="M14" s="47" t="s">
        <v>30</v>
      </c>
      <c r="N14" s="35">
        <v>4000</v>
      </c>
      <c r="O14" s="1"/>
      <c r="P14" s="55">
        <v>44206</v>
      </c>
      <c r="Q14" s="35"/>
      <c r="R14" s="138"/>
      <c r="S14" s="139"/>
      <c r="T14" s="138"/>
      <c r="U14" s="139">
        <v>30000</v>
      </c>
      <c r="V14" s="138"/>
      <c r="W14" s="139">
        <v>48000</v>
      </c>
      <c r="X14" s="138"/>
      <c r="Y14" s="138"/>
      <c r="Z14" s="139"/>
      <c r="AA14" s="138"/>
      <c r="AB14" s="139"/>
      <c r="AC14" s="138"/>
      <c r="AD14" s="151"/>
      <c r="AE14" s="138"/>
      <c r="AF14" s="149"/>
      <c r="AG14" s="138"/>
      <c r="AH14" s="149"/>
      <c r="AI14" s="138"/>
      <c r="AJ14" s="149"/>
      <c r="AK14" s="138"/>
      <c r="AL14" s="149"/>
      <c r="AM14" s="138"/>
      <c r="AN14" s="160"/>
      <c r="AO14" s="158"/>
      <c r="AP14" s="249"/>
      <c r="AQ14" s="168"/>
      <c r="AR14" s="158"/>
      <c r="AS14" s="158"/>
      <c r="AT14" s="158"/>
      <c r="AU14" s="158"/>
      <c r="AV14" s="145"/>
      <c r="AW14" s="138"/>
      <c r="AX14" s="2">
        <f t="shared" si="3"/>
        <v>78000</v>
      </c>
    </row>
    <row r="15" spans="1:50">
      <c r="A15" s="21">
        <f t="shared" si="0"/>
        <v>44297</v>
      </c>
      <c r="B15" s="38">
        <v>64000</v>
      </c>
      <c r="C15" s="23"/>
      <c r="D15" s="24">
        <f t="shared" si="1"/>
        <v>64000</v>
      </c>
      <c r="E15" s="40"/>
      <c r="F15" s="35"/>
      <c r="G15" s="27"/>
      <c r="H15" s="216">
        <f t="shared" si="2"/>
        <v>0</v>
      </c>
      <c r="I15" s="35"/>
      <c r="J15" s="41"/>
      <c r="K15" s="29"/>
      <c r="L15" s="1"/>
      <c r="M15" s="47" t="s">
        <v>31</v>
      </c>
      <c r="N15" s="35"/>
      <c r="O15" s="1"/>
      <c r="P15" s="55">
        <v>44207</v>
      </c>
      <c r="Q15" s="35"/>
      <c r="R15" s="138"/>
      <c r="S15" s="139"/>
      <c r="T15" s="138"/>
      <c r="U15" s="139">
        <v>38000</v>
      </c>
      <c r="V15" s="138"/>
      <c r="W15" s="139">
        <v>26000</v>
      </c>
      <c r="X15" s="138"/>
      <c r="Y15" s="138"/>
      <c r="Z15" s="139"/>
      <c r="AA15" s="138"/>
      <c r="AB15" s="139"/>
      <c r="AC15" s="138"/>
      <c r="AD15" s="151"/>
      <c r="AE15" s="138"/>
      <c r="AF15" s="149"/>
      <c r="AG15" s="138"/>
      <c r="AH15" s="149"/>
      <c r="AI15" s="138"/>
      <c r="AJ15" s="149"/>
      <c r="AK15" s="138"/>
      <c r="AL15" s="149"/>
      <c r="AM15" s="138"/>
      <c r="AN15" s="160"/>
      <c r="AO15" s="158"/>
      <c r="AP15" s="250"/>
      <c r="AQ15" s="168"/>
      <c r="AR15" s="158"/>
      <c r="AS15" s="158"/>
      <c r="AT15" s="158"/>
      <c r="AU15" s="158"/>
      <c r="AV15" s="145"/>
      <c r="AW15" s="138"/>
      <c r="AX15" s="2">
        <f t="shared" si="3"/>
        <v>64000</v>
      </c>
    </row>
    <row r="16" spans="1:50">
      <c r="A16" s="21">
        <f t="shared" si="0"/>
        <v>44298</v>
      </c>
      <c r="B16" s="38">
        <v>58000</v>
      </c>
      <c r="C16" s="23"/>
      <c r="D16" s="24">
        <f t="shared" si="1"/>
        <v>58000</v>
      </c>
      <c r="E16" s="40">
        <v>15090</v>
      </c>
      <c r="F16" s="35"/>
      <c r="G16" s="27"/>
      <c r="H16" s="216">
        <f t="shared" si="2"/>
        <v>15090</v>
      </c>
      <c r="I16" s="35"/>
      <c r="J16" s="41"/>
      <c r="K16" s="29"/>
      <c r="L16" s="1"/>
      <c r="M16" s="47" t="s">
        <v>32</v>
      </c>
      <c r="N16" s="35">
        <v>45000</v>
      </c>
      <c r="O16" s="1"/>
      <c r="P16" s="55">
        <v>44208</v>
      </c>
      <c r="Q16" s="35"/>
      <c r="R16" s="138"/>
      <c r="S16" s="139"/>
      <c r="T16" s="138"/>
      <c r="U16" s="139"/>
      <c r="V16" s="138"/>
      <c r="W16" s="139">
        <v>10000</v>
      </c>
      <c r="X16" s="138"/>
      <c r="Y16" s="138"/>
      <c r="Z16" s="139">
        <v>48000</v>
      </c>
      <c r="AA16" s="138"/>
      <c r="AB16" s="139"/>
      <c r="AC16" s="138"/>
      <c r="AD16" s="151"/>
      <c r="AE16" s="138"/>
      <c r="AF16" s="149"/>
      <c r="AG16" s="138"/>
      <c r="AH16" s="149"/>
      <c r="AI16" s="138"/>
      <c r="AJ16" s="149"/>
      <c r="AK16" s="138"/>
      <c r="AL16" s="149"/>
      <c r="AM16" s="138"/>
      <c r="AN16" s="138"/>
      <c r="AO16" s="159"/>
      <c r="AP16" s="160"/>
      <c r="AQ16" s="168"/>
      <c r="AR16" s="158"/>
      <c r="AS16" s="158"/>
      <c r="AT16" s="158"/>
      <c r="AU16" s="158"/>
      <c r="AV16" s="145"/>
      <c r="AW16" s="138"/>
      <c r="AX16" s="2">
        <f t="shared" si="3"/>
        <v>58000</v>
      </c>
    </row>
    <row r="17" spans="1:50">
      <c r="A17" s="21">
        <f t="shared" si="0"/>
        <v>44299</v>
      </c>
      <c r="B17" s="38">
        <v>0</v>
      </c>
      <c r="C17" s="23"/>
      <c r="D17" s="24">
        <f t="shared" si="1"/>
        <v>0</v>
      </c>
      <c r="E17" s="40"/>
      <c r="F17" s="35"/>
      <c r="G17" s="27"/>
      <c r="H17" s="216">
        <f t="shared" si="2"/>
        <v>0</v>
      </c>
      <c r="I17" s="35"/>
      <c r="J17" s="41"/>
      <c r="K17" s="29"/>
      <c r="L17" s="1"/>
      <c r="M17" s="47"/>
      <c r="N17" s="35"/>
      <c r="O17" s="1"/>
      <c r="P17" s="55">
        <v>44209</v>
      </c>
      <c r="Q17" s="35"/>
      <c r="R17" s="138"/>
      <c r="S17" s="139"/>
      <c r="T17" s="138"/>
      <c r="U17" s="139"/>
      <c r="V17" s="138"/>
      <c r="W17" s="139"/>
      <c r="X17" s="138"/>
      <c r="Y17" s="138"/>
      <c r="Z17" s="139"/>
      <c r="AA17" s="138"/>
      <c r="AB17" s="139"/>
      <c r="AC17" s="138"/>
      <c r="AD17" s="151"/>
      <c r="AE17" s="138"/>
      <c r="AF17" s="149"/>
      <c r="AG17" s="138"/>
      <c r="AH17" s="149"/>
      <c r="AI17" s="138"/>
      <c r="AJ17" s="149"/>
      <c r="AK17" s="138"/>
      <c r="AL17" s="149"/>
      <c r="AM17" s="138"/>
      <c r="AN17" s="138"/>
      <c r="AO17" s="138"/>
      <c r="AP17" s="160"/>
      <c r="AQ17" s="168"/>
      <c r="AR17" s="158"/>
      <c r="AS17" s="158"/>
      <c r="AT17" s="158"/>
      <c r="AU17" s="158"/>
      <c r="AV17" s="145"/>
      <c r="AW17" s="138"/>
      <c r="AX17" s="2">
        <f t="shared" si="3"/>
        <v>0</v>
      </c>
    </row>
    <row r="18" spans="1:50">
      <c r="A18" s="21">
        <f t="shared" si="0"/>
        <v>44300</v>
      </c>
      <c r="B18" s="38">
        <v>0</v>
      </c>
      <c r="C18" s="23"/>
      <c r="D18" s="24">
        <f t="shared" si="1"/>
        <v>0</v>
      </c>
      <c r="E18" s="40"/>
      <c r="F18" s="35"/>
      <c r="G18" s="27"/>
      <c r="H18" s="216">
        <f t="shared" si="2"/>
        <v>0</v>
      </c>
      <c r="I18" s="35"/>
      <c r="J18" s="41"/>
      <c r="K18" s="29"/>
      <c r="L18" s="1"/>
      <c r="M18" s="47"/>
      <c r="N18" s="35"/>
      <c r="O18" s="1"/>
      <c r="P18" s="55">
        <v>44210</v>
      </c>
      <c r="Q18" s="35"/>
      <c r="R18" s="138"/>
      <c r="S18" s="139"/>
      <c r="T18" s="138"/>
      <c r="U18" s="139"/>
      <c r="V18" s="138"/>
      <c r="W18" s="139"/>
      <c r="X18" s="138"/>
      <c r="Y18" s="138"/>
      <c r="Z18" s="139"/>
      <c r="AA18" s="138"/>
      <c r="AB18" s="139"/>
      <c r="AC18" s="138"/>
      <c r="AD18" s="151"/>
      <c r="AE18" s="138"/>
      <c r="AF18" s="149"/>
      <c r="AG18" s="138"/>
      <c r="AH18" s="149"/>
      <c r="AI18" s="138"/>
      <c r="AJ18" s="149"/>
      <c r="AK18" s="138"/>
      <c r="AL18" s="149"/>
      <c r="AM18" s="138"/>
      <c r="AN18" s="138"/>
      <c r="AO18" s="138"/>
      <c r="AP18" s="160"/>
      <c r="AQ18" s="168"/>
      <c r="AR18" s="158"/>
      <c r="AS18" s="158"/>
      <c r="AT18" s="158"/>
      <c r="AU18" s="158"/>
      <c r="AV18" s="145"/>
      <c r="AW18" s="138"/>
      <c r="AX18" s="2">
        <f t="shared" si="3"/>
        <v>0</v>
      </c>
    </row>
    <row r="19" spans="1:50">
      <c r="A19" s="21">
        <f t="shared" si="0"/>
        <v>44301</v>
      </c>
      <c r="B19" s="38">
        <v>306000</v>
      </c>
      <c r="C19" s="23"/>
      <c r="D19" s="24">
        <f t="shared" si="1"/>
        <v>306000</v>
      </c>
      <c r="E19" s="40">
        <f>6192+9836</f>
        <v>16028</v>
      </c>
      <c r="F19" s="35"/>
      <c r="G19" s="27"/>
      <c r="H19" s="216">
        <f t="shared" si="2"/>
        <v>16028</v>
      </c>
      <c r="I19" s="35"/>
      <c r="J19" s="41"/>
      <c r="K19" s="29"/>
      <c r="L19" s="1"/>
      <c r="M19" s="49" t="s">
        <v>33</v>
      </c>
      <c r="N19" s="50">
        <f>SUM(N11:N18)</f>
        <v>56000</v>
      </c>
      <c r="O19" s="1"/>
      <c r="P19" s="55">
        <v>44211</v>
      </c>
      <c r="Q19" s="35"/>
      <c r="R19" s="138"/>
      <c r="S19" s="139"/>
      <c r="T19" s="138"/>
      <c r="U19" s="139">
        <v>44000</v>
      </c>
      <c r="V19" s="138"/>
      <c r="W19" s="139">
        <v>4000</v>
      </c>
      <c r="X19" s="138"/>
      <c r="Y19" s="138"/>
      <c r="Z19" s="139"/>
      <c r="AA19" s="138"/>
      <c r="AB19" s="139"/>
      <c r="AC19" s="138"/>
      <c r="AD19" s="151"/>
      <c r="AE19" s="138"/>
      <c r="AF19" s="149">
        <v>108000</v>
      </c>
      <c r="AG19" s="138">
        <v>150000</v>
      </c>
      <c r="AH19" s="149"/>
      <c r="AI19" s="138"/>
      <c r="AJ19" s="149"/>
      <c r="AK19" s="138"/>
      <c r="AL19" s="149"/>
      <c r="AM19" s="138"/>
      <c r="AN19" s="138"/>
      <c r="AO19" s="138"/>
      <c r="AP19" s="160"/>
      <c r="AQ19" s="168"/>
      <c r="AR19" s="158"/>
      <c r="AS19" s="158"/>
      <c r="AT19" s="158"/>
      <c r="AU19" s="158"/>
      <c r="AV19" s="145"/>
      <c r="AW19" s="138"/>
      <c r="AX19" s="2">
        <f t="shared" si="3"/>
        <v>306000</v>
      </c>
    </row>
    <row r="20" spans="1:50">
      <c r="A20" s="21">
        <f t="shared" si="0"/>
        <v>44302</v>
      </c>
      <c r="B20" s="38">
        <v>106000</v>
      </c>
      <c r="C20" s="38">
        <v>55000</v>
      </c>
      <c r="D20" s="24">
        <f t="shared" si="1"/>
        <v>161000</v>
      </c>
      <c r="E20" s="40"/>
      <c r="F20" s="35"/>
      <c r="G20" s="27">
        <v>895</v>
      </c>
      <c r="H20" s="216">
        <f t="shared" si="2"/>
        <v>895</v>
      </c>
      <c r="I20" s="35"/>
      <c r="J20" s="41"/>
      <c r="K20" s="29"/>
      <c r="L20" s="1"/>
      <c r="M20" s="51"/>
      <c r="N20" s="7"/>
      <c r="O20" s="1"/>
      <c r="P20" s="55">
        <v>44212</v>
      </c>
      <c r="Q20" s="35"/>
      <c r="R20" s="138"/>
      <c r="S20" s="139"/>
      <c r="T20" s="138"/>
      <c r="U20" s="139">
        <v>119000</v>
      </c>
      <c r="V20" s="138"/>
      <c r="W20" s="139">
        <v>42000</v>
      </c>
      <c r="X20" s="138"/>
      <c r="Y20" s="138"/>
      <c r="Z20" s="139"/>
      <c r="AA20" s="138"/>
      <c r="AB20" s="139"/>
      <c r="AC20" s="138"/>
      <c r="AD20" s="151"/>
      <c r="AE20" s="138"/>
      <c r="AF20" s="149"/>
      <c r="AG20" s="138"/>
      <c r="AH20" s="149"/>
      <c r="AI20" s="138"/>
      <c r="AJ20" s="149"/>
      <c r="AK20" s="138"/>
      <c r="AL20" s="149"/>
      <c r="AM20" s="138"/>
      <c r="AN20" s="138"/>
      <c r="AO20" s="138"/>
      <c r="AP20" s="160"/>
      <c r="AQ20" s="168"/>
      <c r="AR20" s="158"/>
      <c r="AS20" s="158"/>
      <c r="AT20" s="158"/>
      <c r="AU20" s="158"/>
      <c r="AV20" s="145"/>
      <c r="AW20" s="138"/>
      <c r="AX20" s="2">
        <f t="shared" si="3"/>
        <v>161000</v>
      </c>
    </row>
    <row r="21" spans="1:50">
      <c r="A21" s="21">
        <f t="shared" si="0"/>
        <v>44303</v>
      </c>
      <c r="B21" s="38">
        <v>140000</v>
      </c>
      <c r="C21" s="38">
        <v>18000</v>
      </c>
      <c r="D21" s="24">
        <f t="shared" si="1"/>
        <v>158000</v>
      </c>
      <c r="E21" s="40"/>
      <c r="F21" s="35"/>
      <c r="G21" s="27"/>
      <c r="H21" s="216">
        <f t="shared" si="2"/>
        <v>0</v>
      </c>
      <c r="I21" s="35"/>
      <c r="J21" s="41"/>
      <c r="K21" s="29"/>
      <c r="L21" s="1"/>
      <c r="M21" s="1"/>
      <c r="N21" s="1"/>
      <c r="O21" s="1"/>
      <c r="P21" s="55">
        <v>44213</v>
      </c>
      <c r="Q21" s="35"/>
      <c r="R21" s="138"/>
      <c r="S21" s="139"/>
      <c r="T21" s="138"/>
      <c r="U21" s="139">
        <v>18000</v>
      </c>
      <c r="V21" s="138"/>
      <c r="W21" s="139">
        <v>10000</v>
      </c>
      <c r="X21" s="138"/>
      <c r="Y21" s="138"/>
      <c r="Z21" s="139">
        <v>39000</v>
      </c>
      <c r="AA21" s="138">
        <v>20000</v>
      </c>
      <c r="AB21" s="139"/>
      <c r="AC21" s="138"/>
      <c r="AD21" s="151">
        <v>63000</v>
      </c>
      <c r="AE21" s="138"/>
      <c r="AF21" s="149"/>
      <c r="AG21" s="138"/>
      <c r="AH21" s="149"/>
      <c r="AI21" s="138"/>
      <c r="AJ21" s="149">
        <v>8000</v>
      </c>
      <c r="AK21" s="138"/>
      <c r="AL21" s="149"/>
      <c r="AM21" s="138"/>
      <c r="AN21" s="138"/>
      <c r="AO21" s="138"/>
      <c r="AP21" s="138"/>
      <c r="AQ21" s="169"/>
      <c r="AR21" s="158"/>
      <c r="AS21" s="158"/>
      <c r="AT21" s="158"/>
      <c r="AU21" s="158"/>
      <c r="AV21" s="145"/>
      <c r="AW21" s="138"/>
      <c r="AX21" s="2">
        <f t="shared" si="3"/>
        <v>158000</v>
      </c>
    </row>
    <row r="22" spans="1:50">
      <c r="A22" s="21">
        <f t="shared" si="0"/>
        <v>44304</v>
      </c>
      <c r="B22" s="38">
        <v>185000</v>
      </c>
      <c r="C22" s="38"/>
      <c r="D22" s="24">
        <f t="shared" si="1"/>
        <v>185000</v>
      </c>
      <c r="E22" s="40">
        <f>18820+582+9600</f>
        <v>29002</v>
      </c>
      <c r="F22" s="35"/>
      <c r="G22" s="27">
        <v>1434</v>
      </c>
      <c r="H22" s="216">
        <f t="shared" si="2"/>
        <v>30436</v>
      </c>
      <c r="I22" s="35"/>
      <c r="J22" s="41"/>
      <c r="K22" s="29"/>
      <c r="L22" s="1"/>
      <c r="M22" s="1"/>
      <c r="N22" s="1"/>
      <c r="O22" s="1"/>
      <c r="P22" s="55">
        <v>44214</v>
      </c>
      <c r="Q22" s="35"/>
      <c r="R22" s="138"/>
      <c r="S22" s="139"/>
      <c r="T22" s="138"/>
      <c r="U22" s="139">
        <v>155000</v>
      </c>
      <c r="V22" s="138"/>
      <c r="W22" s="139"/>
      <c r="X22" s="138"/>
      <c r="Y22" s="375"/>
      <c r="Z22" s="153"/>
      <c r="AA22" s="138"/>
      <c r="AB22" s="139"/>
      <c r="AC22" s="138"/>
      <c r="AD22" s="151"/>
      <c r="AE22" s="138"/>
      <c r="AF22" s="139"/>
      <c r="AG22" s="138"/>
      <c r="AH22" s="139"/>
      <c r="AI22" s="138"/>
      <c r="AJ22" s="149"/>
      <c r="AK22" s="138"/>
      <c r="AL22" s="149">
        <v>5000</v>
      </c>
      <c r="AM22" s="138">
        <v>25000</v>
      </c>
      <c r="AN22" s="138"/>
      <c r="AO22" s="138"/>
      <c r="AP22" s="138"/>
      <c r="AQ22" s="160"/>
      <c r="AR22" s="158"/>
      <c r="AS22" s="158"/>
      <c r="AT22" s="158"/>
      <c r="AU22" s="158"/>
      <c r="AV22" s="145"/>
      <c r="AW22" s="138"/>
      <c r="AX22" s="2">
        <f t="shared" si="3"/>
        <v>185000</v>
      </c>
    </row>
    <row r="23" spans="1:50">
      <c r="A23" s="21">
        <f t="shared" si="0"/>
        <v>44305</v>
      </c>
      <c r="B23" s="38">
        <v>71000</v>
      </c>
      <c r="C23" s="38">
        <v>18000</v>
      </c>
      <c r="D23" s="24">
        <f t="shared" si="1"/>
        <v>89000</v>
      </c>
      <c r="E23" s="40"/>
      <c r="F23" s="35"/>
      <c r="G23" s="27"/>
      <c r="H23" s="216">
        <f t="shared" si="2"/>
        <v>0</v>
      </c>
      <c r="I23" s="35"/>
      <c r="J23" s="41"/>
      <c r="K23" s="29"/>
      <c r="L23" s="1"/>
      <c r="M23" s="1"/>
      <c r="N23" s="1"/>
      <c r="O23" s="1"/>
      <c r="P23" s="55">
        <v>44215</v>
      </c>
      <c r="Q23" s="35"/>
      <c r="R23" s="138"/>
      <c r="S23" s="139"/>
      <c r="T23" s="138"/>
      <c r="U23" s="139">
        <v>26000</v>
      </c>
      <c r="V23" s="138"/>
      <c r="W23" s="139">
        <v>33000</v>
      </c>
      <c r="X23" s="138"/>
      <c r="Y23" s="138"/>
      <c r="Z23" s="139">
        <v>30000</v>
      </c>
      <c r="AA23" s="138"/>
      <c r="AB23" s="139"/>
      <c r="AC23" s="138"/>
      <c r="AD23" s="151"/>
      <c r="AE23" s="138"/>
      <c r="AF23" s="149"/>
      <c r="AG23" s="138"/>
      <c r="AH23" s="149"/>
      <c r="AI23" s="138"/>
      <c r="AJ23" s="149"/>
      <c r="AK23" s="138"/>
      <c r="AL23" s="149"/>
      <c r="AM23" s="138"/>
      <c r="AN23" s="138"/>
      <c r="AO23" s="138"/>
      <c r="AP23" s="138"/>
      <c r="AQ23" s="160"/>
      <c r="AR23" s="158"/>
      <c r="AS23" s="158"/>
      <c r="AT23" s="158"/>
      <c r="AU23" s="158"/>
      <c r="AV23" s="145"/>
      <c r="AW23" s="138"/>
      <c r="AX23" s="2">
        <f t="shared" si="3"/>
        <v>89000</v>
      </c>
    </row>
    <row r="24" spans="1:50">
      <c r="A24" s="21">
        <f t="shared" si="0"/>
        <v>44306</v>
      </c>
      <c r="B24" s="38">
        <v>48000</v>
      </c>
      <c r="C24" s="38">
        <v>11000</v>
      </c>
      <c r="D24" s="24">
        <f t="shared" si="1"/>
        <v>59000</v>
      </c>
      <c r="E24" s="40"/>
      <c r="F24" s="35"/>
      <c r="G24" s="27">
        <v>1369</v>
      </c>
      <c r="H24" s="216">
        <f t="shared" si="2"/>
        <v>1369</v>
      </c>
      <c r="I24" s="35"/>
      <c r="J24" s="41"/>
      <c r="K24" s="29"/>
      <c r="L24" s="1"/>
      <c r="M24" s="53" t="s">
        <v>34</v>
      </c>
      <c r="N24" s="38">
        <f>D37</f>
        <v>3515000</v>
      </c>
      <c r="O24" s="1"/>
      <c r="P24" s="55">
        <v>44216</v>
      </c>
      <c r="Q24" s="35"/>
      <c r="R24" s="138"/>
      <c r="S24" s="139"/>
      <c r="T24" s="138"/>
      <c r="U24" s="139">
        <v>51000</v>
      </c>
      <c r="V24" s="138"/>
      <c r="W24" s="139">
        <v>8000</v>
      </c>
      <c r="X24" s="138"/>
      <c r="Y24" s="138"/>
      <c r="Z24" s="139"/>
      <c r="AA24" s="138"/>
      <c r="AB24" s="139"/>
      <c r="AC24" s="138"/>
      <c r="AD24" s="151"/>
      <c r="AE24" s="138"/>
      <c r="AF24" s="149"/>
      <c r="AG24" s="138"/>
      <c r="AH24" s="149"/>
      <c r="AI24" s="138"/>
      <c r="AJ24" s="149"/>
      <c r="AK24" s="138"/>
      <c r="AL24" s="149"/>
      <c r="AM24" s="138"/>
      <c r="AN24" s="138"/>
      <c r="AO24" s="138"/>
      <c r="AP24" s="138"/>
      <c r="AQ24" s="160"/>
      <c r="AR24" s="158"/>
      <c r="AS24" s="158"/>
      <c r="AT24" s="158"/>
      <c r="AU24" s="158"/>
      <c r="AV24" s="145"/>
      <c r="AW24" s="138"/>
      <c r="AX24" s="2">
        <f t="shared" si="3"/>
        <v>59000</v>
      </c>
    </row>
    <row r="25" spans="1:50">
      <c r="A25" s="21">
        <f t="shared" si="0"/>
        <v>44307</v>
      </c>
      <c r="B25" s="38">
        <v>98000</v>
      </c>
      <c r="C25" s="38"/>
      <c r="D25" s="24">
        <f t="shared" si="1"/>
        <v>98000</v>
      </c>
      <c r="E25" s="40"/>
      <c r="F25" s="35"/>
      <c r="G25" s="27"/>
      <c r="H25" s="216">
        <f t="shared" si="2"/>
        <v>0</v>
      </c>
      <c r="I25" s="35"/>
      <c r="J25" s="41"/>
      <c r="K25" s="29"/>
      <c r="L25" s="1"/>
      <c r="M25" s="53" t="s">
        <v>35</v>
      </c>
      <c r="N25" s="38">
        <f>H37</f>
        <v>352676</v>
      </c>
      <c r="O25" s="1"/>
      <c r="P25" s="55">
        <v>44217</v>
      </c>
      <c r="Q25" s="35"/>
      <c r="R25" s="138"/>
      <c r="S25" s="139"/>
      <c r="T25" s="138"/>
      <c r="U25" s="139">
        <v>59000</v>
      </c>
      <c r="V25" s="138"/>
      <c r="W25" s="139"/>
      <c r="X25" s="138"/>
      <c r="Y25" s="138"/>
      <c r="Z25" s="139"/>
      <c r="AA25" s="138"/>
      <c r="AB25" s="139">
        <v>17000</v>
      </c>
      <c r="AC25" s="138"/>
      <c r="AD25" s="151"/>
      <c r="AE25" s="138"/>
      <c r="AF25" s="149"/>
      <c r="AG25" s="138"/>
      <c r="AH25" s="149"/>
      <c r="AI25" s="138"/>
      <c r="AJ25" s="149"/>
      <c r="AK25" s="138"/>
      <c r="AL25" s="149"/>
      <c r="AM25" s="138"/>
      <c r="AN25" s="138">
        <v>22000</v>
      </c>
      <c r="AO25" s="138"/>
      <c r="AP25" s="138"/>
      <c r="AQ25" s="160"/>
      <c r="AR25" s="158"/>
      <c r="AS25" s="158"/>
      <c r="AT25" s="158"/>
      <c r="AU25" s="158"/>
      <c r="AV25" s="145"/>
      <c r="AW25" s="138"/>
      <c r="AX25" s="2">
        <f t="shared" si="3"/>
        <v>98000</v>
      </c>
    </row>
    <row r="26" spans="1:50">
      <c r="A26" s="21">
        <f t="shared" si="0"/>
        <v>44308</v>
      </c>
      <c r="B26" s="38">
        <v>53000</v>
      </c>
      <c r="C26" s="38">
        <v>49000</v>
      </c>
      <c r="D26" s="24">
        <f t="shared" si="1"/>
        <v>102000</v>
      </c>
      <c r="E26" s="40">
        <v>16800</v>
      </c>
      <c r="F26" s="35">
        <f>7007+3828</f>
        <v>10835</v>
      </c>
      <c r="G26" s="27">
        <v>660</v>
      </c>
      <c r="H26" s="216">
        <f t="shared" si="2"/>
        <v>28295</v>
      </c>
      <c r="I26" s="35"/>
      <c r="J26" s="41"/>
      <c r="K26" s="29"/>
      <c r="L26" s="1"/>
      <c r="M26" s="53" t="s">
        <v>36</v>
      </c>
      <c r="N26" s="38">
        <f>N19</f>
        <v>56000</v>
      </c>
      <c r="O26" s="1"/>
      <c r="P26" s="55">
        <v>44218</v>
      </c>
      <c r="Q26" s="35"/>
      <c r="R26" s="138"/>
      <c r="S26" s="139"/>
      <c r="T26" s="138"/>
      <c r="U26" s="139">
        <v>46000</v>
      </c>
      <c r="V26" s="138">
        <v>20000</v>
      </c>
      <c r="W26" s="139"/>
      <c r="X26" s="138"/>
      <c r="Y26" s="138"/>
      <c r="Z26" s="139">
        <v>36000</v>
      </c>
      <c r="AA26" s="138"/>
      <c r="AB26" s="139"/>
      <c r="AC26" s="138"/>
      <c r="AD26" s="151"/>
      <c r="AE26" s="138"/>
      <c r="AF26" s="149"/>
      <c r="AG26" s="138"/>
      <c r="AH26" s="149"/>
      <c r="AI26" s="138"/>
      <c r="AJ26" s="149"/>
      <c r="AK26" s="138"/>
      <c r="AL26" s="149"/>
      <c r="AM26" s="138"/>
      <c r="AN26" s="138"/>
      <c r="AO26" s="138"/>
      <c r="AP26" s="138"/>
      <c r="AQ26" s="160"/>
      <c r="AR26" s="158"/>
      <c r="AS26" s="158"/>
      <c r="AT26" s="158"/>
      <c r="AU26" s="158"/>
      <c r="AV26" s="145"/>
      <c r="AW26" s="138"/>
      <c r="AX26" s="2">
        <f t="shared" si="3"/>
        <v>102000</v>
      </c>
    </row>
    <row r="27" spans="1:50">
      <c r="A27" s="21">
        <f t="shared" si="0"/>
        <v>44309</v>
      </c>
      <c r="B27" s="38">
        <v>192000</v>
      </c>
      <c r="C27" s="38">
        <v>12000</v>
      </c>
      <c r="D27" s="24">
        <f t="shared" si="1"/>
        <v>204000</v>
      </c>
      <c r="E27" s="40">
        <v>12366</v>
      </c>
      <c r="F27" s="35"/>
      <c r="G27" s="27"/>
      <c r="H27" s="216">
        <f t="shared" si="2"/>
        <v>12366</v>
      </c>
      <c r="I27" s="35"/>
      <c r="J27" s="41"/>
      <c r="K27" s="29"/>
      <c r="L27" s="1"/>
      <c r="M27" s="60" t="s">
        <v>37</v>
      </c>
      <c r="N27" s="61">
        <f>IFERROR(N24-N25-N26, "")</f>
        <v>3106324</v>
      </c>
      <c r="O27" s="1"/>
      <c r="P27" s="55">
        <v>44219</v>
      </c>
      <c r="Q27" s="35"/>
      <c r="R27" s="138"/>
      <c r="S27" s="139">
        <v>67000</v>
      </c>
      <c r="T27" s="138">
        <v>50000</v>
      </c>
      <c r="U27" s="139">
        <v>35000</v>
      </c>
      <c r="V27" s="138">
        <v>20000</v>
      </c>
      <c r="W27" s="139"/>
      <c r="X27" s="138"/>
      <c r="Y27" s="138"/>
      <c r="Z27" s="139">
        <v>3000</v>
      </c>
      <c r="AA27" s="138"/>
      <c r="AB27" s="139">
        <v>5000</v>
      </c>
      <c r="AC27" s="138"/>
      <c r="AD27" s="151">
        <v>24000</v>
      </c>
      <c r="AE27" s="138"/>
      <c r="AF27" s="149"/>
      <c r="AG27" s="138"/>
      <c r="AH27" s="149"/>
      <c r="AI27" s="138"/>
      <c r="AJ27" s="149"/>
      <c r="AK27" s="138"/>
      <c r="AL27" s="149"/>
      <c r="AM27" s="138"/>
      <c r="AN27" s="138"/>
      <c r="AO27" s="138"/>
      <c r="AP27" s="138"/>
      <c r="AQ27" s="160"/>
      <c r="AR27" s="158"/>
      <c r="AS27" s="158"/>
      <c r="AT27" s="158"/>
      <c r="AU27" s="158"/>
      <c r="AV27" s="145"/>
      <c r="AW27" s="138"/>
      <c r="AX27" s="2">
        <f t="shared" si="3"/>
        <v>204000</v>
      </c>
    </row>
    <row r="28" spans="1:50">
      <c r="A28" s="21">
        <f t="shared" si="0"/>
        <v>44310</v>
      </c>
      <c r="B28" s="38">
        <v>59000</v>
      </c>
      <c r="C28" s="38"/>
      <c r="D28" s="24">
        <f t="shared" si="1"/>
        <v>59000</v>
      </c>
      <c r="E28" s="299"/>
      <c r="F28" s="35"/>
      <c r="G28" s="27"/>
      <c r="H28" s="216">
        <f t="shared" si="2"/>
        <v>0</v>
      </c>
      <c r="I28" s="35"/>
      <c r="J28" s="41"/>
      <c r="K28" s="29"/>
      <c r="L28" s="1"/>
      <c r="M28" s="1"/>
      <c r="N28" s="1"/>
      <c r="O28" s="1"/>
      <c r="P28" s="55">
        <v>44220</v>
      </c>
      <c r="Q28" s="35"/>
      <c r="R28" s="138"/>
      <c r="S28" s="139"/>
      <c r="T28" s="138"/>
      <c r="U28" s="139"/>
      <c r="V28" s="138"/>
      <c r="W28" s="139">
        <v>22000</v>
      </c>
      <c r="X28" s="138"/>
      <c r="Y28" s="138"/>
      <c r="Z28" s="139">
        <v>19000</v>
      </c>
      <c r="AA28" s="138"/>
      <c r="AB28" s="139"/>
      <c r="AC28" s="138"/>
      <c r="AD28" s="151"/>
      <c r="AE28" s="138"/>
      <c r="AF28" s="149">
        <v>18000</v>
      </c>
      <c r="AG28" s="138"/>
      <c r="AH28" s="149"/>
      <c r="AI28" s="138"/>
      <c r="AJ28" s="149"/>
      <c r="AK28" s="138"/>
      <c r="AL28" s="149"/>
      <c r="AM28" s="138"/>
      <c r="AN28" s="138"/>
      <c r="AO28" s="138"/>
      <c r="AP28" s="138"/>
      <c r="AQ28" s="138"/>
      <c r="AR28" s="159"/>
      <c r="AS28" s="159"/>
      <c r="AT28" s="159"/>
      <c r="AU28" s="159"/>
      <c r="AV28" s="149"/>
      <c r="AW28" s="138"/>
      <c r="AX28" s="2">
        <f t="shared" si="3"/>
        <v>59000</v>
      </c>
    </row>
    <row r="29" spans="1:50">
      <c r="A29" s="21">
        <f t="shared" si="0"/>
        <v>44311</v>
      </c>
      <c r="B29" s="38">
        <v>97000</v>
      </c>
      <c r="C29" s="38"/>
      <c r="D29" s="24">
        <f t="shared" si="1"/>
        <v>97000</v>
      </c>
      <c r="E29" s="40">
        <v>6302</v>
      </c>
      <c r="F29" s="35"/>
      <c r="G29" s="27"/>
      <c r="H29" s="216">
        <f t="shared" si="2"/>
        <v>6302</v>
      </c>
      <c r="I29" s="35"/>
      <c r="J29" s="41"/>
      <c r="K29" s="29"/>
      <c r="L29" s="1"/>
      <c r="M29" s="1"/>
      <c r="N29" s="1"/>
      <c r="O29" s="1"/>
      <c r="P29" s="55">
        <v>44221</v>
      </c>
      <c r="Q29" s="35"/>
      <c r="R29" s="138"/>
      <c r="S29" s="139"/>
      <c r="T29" s="138"/>
      <c r="U29" s="139">
        <v>30000</v>
      </c>
      <c r="V29" s="138"/>
      <c r="W29" s="139">
        <v>7000</v>
      </c>
      <c r="X29" s="138"/>
      <c r="Y29" s="138"/>
      <c r="Z29" s="139"/>
      <c r="AA29" s="138"/>
      <c r="AB29" s="139"/>
      <c r="AC29" s="138"/>
      <c r="AD29" s="151"/>
      <c r="AE29" s="138"/>
      <c r="AF29" s="149">
        <v>60000</v>
      </c>
      <c r="AG29" s="138"/>
      <c r="AH29" s="149"/>
      <c r="AI29" s="138"/>
      <c r="AJ29" s="149"/>
      <c r="AK29" s="138"/>
      <c r="AL29" s="149"/>
      <c r="AM29" s="138"/>
      <c r="AN29" s="138"/>
      <c r="AO29" s="138"/>
      <c r="AP29" s="138"/>
      <c r="AQ29" s="138"/>
      <c r="AR29" s="138"/>
      <c r="AS29" s="138"/>
      <c r="AT29" s="138"/>
      <c r="AU29" s="138"/>
      <c r="AV29" s="149"/>
      <c r="AW29" s="138"/>
      <c r="AX29" s="2">
        <f t="shared" si="3"/>
        <v>97000</v>
      </c>
    </row>
    <row r="30" spans="1:50">
      <c r="A30" s="21">
        <f t="shared" si="0"/>
        <v>44312</v>
      </c>
      <c r="B30" s="38">
        <v>257000</v>
      </c>
      <c r="C30" s="38"/>
      <c r="D30" s="24">
        <f t="shared" si="1"/>
        <v>257000</v>
      </c>
      <c r="E30" s="40"/>
      <c r="F30" s="35">
        <f>32780+27775</f>
        <v>60555</v>
      </c>
      <c r="G30" s="27">
        <v>1984</v>
      </c>
      <c r="H30" s="216">
        <f t="shared" si="2"/>
        <v>62539</v>
      </c>
      <c r="I30" s="35"/>
      <c r="J30" s="41"/>
      <c r="K30" s="29"/>
      <c r="L30" s="1"/>
      <c r="M30" s="1"/>
      <c r="N30" s="1"/>
      <c r="O30" s="1"/>
      <c r="P30" s="55">
        <v>44222</v>
      </c>
      <c r="Q30" s="35"/>
      <c r="R30" s="138"/>
      <c r="S30" s="139"/>
      <c r="T30" s="138"/>
      <c r="U30" s="139">
        <v>48000</v>
      </c>
      <c r="V30" s="138"/>
      <c r="W30" s="139">
        <v>43000</v>
      </c>
      <c r="X30" s="138"/>
      <c r="Y30" s="138"/>
      <c r="Z30" s="139">
        <v>50000</v>
      </c>
      <c r="AA30" s="138">
        <v>70000</v>
      </c>
      <c r="AB30" s="139"/>
      <c r="AC30" s="138"/>
      <c r="AD30" s="151"/>
      <c r="AE30" s="138"/>
      <c r="AF30" s="149">
        <v>46000</v>
      </c>
      <c r="AG30" s="138"/>
      <c r="AH30" s="149"/>
      <c r="AI30" s="138"/>
      <c r="AJ30" s="149"/>
      <c r="AK30" s="138"/>
      <c r="AL30" s="149"/>
      <c r="AM30" s="138"/>
      <c r="AN30" s="138"/>
      <c r="AO30" s="138"/>
      <c r="AP30" s="138"/>
      <c r="AQ30" s="138"/>
      <c r="AR30" s="138"/>
      <c r="AS30" s="138"/>
      <c r="AT30" s="138"/>
      <c r="AU30" s="138"/>
      <c r="AV30" s="149"/>
      <c r="AW30" s="138"/>
      <c r="AX30" s="2">
        <f t="shared" si="3"/>
        <v>257000</v>
      </c>
    </row>
    <row r="31" spans="1:50">
      <c r="A31" s="21">
        <f t="shared" si="0"/>
        <v>44313</v>
      </c>
      <c r="B31" s="38">
        <v>51000</v>
      </c>
      <c r="C31" s="38">
        <v>30000</v>
      </c>
      <c r="D31" s="24">
        <f t="shared" si="1"/>
        <v>81000</v>
      </c>
      <c r="E31" s="40">
        <v>10760</v>
      </c>
      <c r="F31" s="35"/>
      <c r="G31" s="27"/>
      <c r="H31" s="216">
        <f t="shared" si="2"/>
        <v>10760</v>
      </c>
      <c r="I31" s="35"/>
      <c r="J31" s="41"/>
      <c r="K31" s="29"/>
      <c r="L31" s="1"/>
      <c r="M31" s="1"/>
      <c r="N31" s="1"/>
      <c r="O31" s="1"/>
      <c r="P31" s="55">
        <v>44223</v>
      </c>
      <c r="Q31" s="35"/>
      <c r="R31" s="138"/>
      <c r="S31" s="139"/>
      <c r="T31" s="138"/>
      <c r="U31" s="139">
        <v>43000</v>
      </c>
      <c r="V31" s="138"/>
      <c r="W31" s="139">
        <v>22000</v>
      </c>
      <c r="X31" s="138"/>
      <c r="Y31" s="138"/>
      <c r="Z31" s="139">
        <v>11000</v>
      </c>
      <c r="AA31" s="138"/>
      <c r="AB31" s="139"/>
      <c r="AC31" s="138"/>
      <c r="AD31" s="151"/>
      <c r="AE31" s="138"/>
      <c r="AF31" s="149">
        <v>5000</v>
      </c>
      <c r="AG31" s="138"/>
      <c r="AH31" s="149"/>
      <c r="AI31" s="138"/>
      <c r="AJ31" s="149"/>
      <c r="AK31" s="138"/>
      <c r="AL31" s="149"/>
      <c r="AM31" s="138"/>
      <c r="AN31" s="138"/>
      <c r="AO31" s="138"/>
      <c r="AP31" s="138"/>
      <c r="AQ31" s="138"/>
      <c r="AR31" s="138"/>
      <c r="AS31" s="138"/>
      <c r="AT31" s="138"/>
      <c r="AU31" s="138"/>
      <c r="AV31" s="149"/>
      <c r="AW31" s="138"/>
      <c r="AX31" s="2">
        <f t="shared" si="3"/>
        <v>81000</v>
      </c>
    </row>
    <row r="32" spans="1:50">
      <c r="A32" s="21">
        <f t="shared" si="0"/>
        <v>44314</v>
      </c>
      <c r="B32" s="38">
        <v>136000</v>
      </c>
      <c r="C32" s="38">
        <v>13000</v>
      </c>
      <c r="D32" s="24">
        <f t="shared" si="1"/>
        <v>149000</v>
      </c>
      <c r="E32" s="40">
        <f>810+1080</f>
        <v>1890</v>
      </c>
      <c r="F32" s="35"/>
      <c r="G32" s="27"/>
      <c r="H32" s="216">
        <f t="shared" si="2"/>
        <v>1890</v>
      </c>
      <c r="I32" s="35"/>
      <c r="J32" s="41"/>
      <c r="K32" s="29"/>
      <c r="L32" s="1"/>
      <c r="M32" s="1"/>
      <c r="N32" s="1"/>
      <c r="O32" s="1"/>
      <c r="P32" s="55">
        <v>44224</v>
      </c>
      <c r="Q32" s="35"/>
      <c r="R32" s="138"/>
      <c r="S32" s="139"/>
      <c r="T32" s="138"/>
      <c r="U32" s="139">
        <v>29000</v>
      </c>
      <c r="V32" s="138"/>
      <c r="W32" s="139"/>
      <c r="X32" s="138"/>
      <c r="Y32" s="138"/>
      <c r="Z32" s="139">
        <v>72000</v>
      </c>
      <c r="AA32" s="138"/>
      <c r="AB32" s="139"/>
      <c r="AC32" s="138"/>
      <c r="AD32" s="151">
        <v>18000</v>
      </c>
      <c r="AE32" s="138"/>
      <c r="AF32" s="149">
        <v>30000</v>
      </c>
      <c r="AG32" s="138"/>
      <c r="AH32" s="149"/>
      <c r="AI32" s="138"/>
      <c r="AJ32" s="149"/>
      <c r="AK32" s="138"/>
      <c r="AL32" s="149"/>
      <c r="AM32" s="138"/>
      <c r="AN32" s="138"/>
      <c r="AO32" s="138"/>
      <c r="AP32" s="138"/>
      <c r="AQ32" s="138"/>
      <c r="AR32" s="138"/>
      <c r="AS32" s="138"/>
      <c r="AT32" s="138"/>
      <c r="AU32" s="138"/>
      <c r="AV32" s="149"/>
      <c r="AW32" s="138"/>
      <c r="AX32" s="2">
        <f t="shared" si="3"/>
        <v>149000</v>
      </c>
    </row>
    <row r="33" spans="1:50">
      <c r="A33" s="21">
        <f t="shared" si="0"/>
        <v>44315</v>
      </c>
      <c r="B33" s="38">
        <v>111000</v>
      </c>
      <c r="C33" s="38"/>
      <c r="D33" s="24">
        <f t="shared" si="1"/>
        <v>111000</v>
      </c>
      <c r="E33" s="40"/>
      <c r="F33" s="35"/>
      <c r="G33" s="27"/>
      <c r="H33" s="216">
        <f t="shared" si="2"/>
        <v>0</v>
      </c>
      <c r="I33" s="35"/>
      <c r="J33" s="41"/>
      <c r="K33" s="29"/>
      <c r="L33" s="1"/>
      <c r="M33" s="1"/>
      <c r="N33" s="1"/>
      <c r="O33" s="1"/>
      <c r="P33" s="55">
        <v>44225</v>
      </c>
      <c r="Q33" s="56"/>
      <c r="R33" s="138"/>
      <c r="S33" s="139"/>
      <c r="T33" s="138"/>
      <c r="U33" s="139">
        <v>45000</v>
      </c>
      <c r="V33" s="138"/>
      <c r="W33" s="139">
        <v>3000</v>
      </c>
      <c r="X33" s="138"/>
      <c r="Y33" s="138"/>
      <c r="Z33" s="139"/>
      <c r="AA33" s="138"/>
      <c r="AB33" s="139"/>
      <c r="AC33" s="138"/>
      <c r="AD33" s="151">
        <v>11000</v>
      </c>
      <c r="AE33" s="138"/>
      <c r="AF33" s="149">
        <v>52000</v>
      </c>
      <c r="AG33" s="138"/>
      <c r="AH33" s="149"/>
      <c r="AI33" s="138"/>
      <c r="AJ33" s="149"/>
      <c r="AK33" s="138"/>
      <c r="AL33" s="149"/>
      <c r="AM33" s="138"/>
      <c r="AN33" s="138"/>
      <c r="AO33" s="138"/>
      <c r="AP33" s="138"/>
      <c r="AQ33" s="138"/>
      <c r="AR33" s="138"/>
      <c r="AS33" s="138"/>
      <c r="AT33" s="138"/>
      <c r="AU33" s="138"/>
      <c r="AV33" s="149"/>
      <c r="AW33" s="138"/>
      <c r="AX33" s="2">
        <f t="shared" si="3"/>
        <v>111000</v>
      </c>
    </row>
    <row r="34" spans="1:50">
      <c r="A34" s="21">
        <f t="shared" si="0"/>
        <v>44316</v>
      </c>
      <c r="B34" s="38">
        <v>212000</v>
      </c>
      <c r="C34" s="38">
        <v>184000</v>
      </c>
      <c r="D34" s="24">
        <f t="shared" si="1"/>
        <v>396000</v>
      </c>
      <c r="E34" s="40">
        <v>1746</v>
      </c>
      <c r="F34" s="35">
        <v>28358</v>
      </c>
      <c r="G34" s="27">
        <f>654+2002</f>
        <v>2656</v>
      </c>
      <c r="H34" s="216">
        <f t="shared" si="2"/>
        <v>32760</v>
      </c>
      <c r="I34" s="35"/>
      <c r="J34" s="41"/>
      <c r="K34" s="29"/>
      <c r="L34" s="1"/>
      <c r="M34" s="1"/>
      <c r="N34" s="1"/>
      <c r="O34" s="1"/>
      <c r="P34" s="55">
        <v>44226</v>
      </c>
      <c r="Q34" s="137"/>
      <c r="R34" s="154"/>
      <c r="S34" s="155"/>
      <c r="T34" s="154"/>
      <c r="U34" s="155">
        <v>71000</v>
      </c>
      <c r="V34" s="154"/>
      <c r="W34" s="155">
        <v>42000</v>
      </c>
      <c r="X34" s="154"/>
      <c r="Y34" s="154">
        <v>2000</v>
      </c>
      <c r="Z34" s="155">
        <v>72000</v>
      </c>
      <c r="AA34" s="154"/>
      <c r="AB34" s="155"/>
      <c r="AC34" s="154"/>
      <c r="AD34" s="156">
        <v>17000</v>
      </c>
      <c r="AE34" s="154"/>
      <c r="AF34" s="157">
        <v>67000</v>
      </c>
      <c r="AG34" s="154">
        <v>125000</v>
      </c>
      <c r="AH34" s="157"/>
      <c r="AI34" s="154"/>
      <c r="AJ34" s="157"/>
      <c r="AK34" s="154"/>
      <c r="AL34" s="157"/>
      <c r="AM34" s="154"/>
      <c r="AN34" s="154"/>
      <c r="AO34" s="154"/>
      <c r="AP34" s="154"/>
      <c r="AQ34" s="154"/>
      <c r="AR34" s="154"/>
      <c r="AS34" s="154"/>
      <c r="AT34" s="154"/>
      <c r="AU34" s="154"/>
      <c r="AV34" s="157"/>
      <c r="AW34" s="154"/>
      <c r="AX34" s="2">
        <f t="shared" si="3"/>
        <v>396000</v>
      </c>
    </row>
    <row r="35" spans="1:50" ht="21" thickBot="1">
      <c r="A35" s="21" t="str">
        <f t="shared" si="0"/>
        <v/>
      </c>
      <c r="B35" s="38"/>
      <c r="C35" s="38"/>
      <c r="D35" s="24">
        <f t="shared" si="1"/>
        <v>0</v>
      </c>
      <c r="E35" s="40"/>
      <c r="F35" s="35"/>
      <c r="G35" s="27">
        <v>4400</v>
      </c>
      <c r="H35" s="216">
        <f t="shared" si="2"/>
        <v>4400</v>
      </c>
      <c r="I35" s="57"/>
      <c r="J35" s="58"/>
      <c r="K35" s="59"/>
      <c r="L35" s="1"/>
      <c r="M35" s="1"/>
      <c r="N35" s="1"/>
      <c r="O35" s="1"/>
      <c r="P35" s="55">
        <v>44227</v>
      </c>
      <c r="Q35" s="115"/>
      <c r="R35" s="158"/>
      <c r="S35" s="147"/>
      <c r="T35" s="158"/>
      <c r="U35" s="147"/>
      <c r="V35" s="158"/>
      <c r="W35" s="147"/>
      <c r="X35" s="158"/>
      <c r="Y35" s="158"/>
      <c r="Z35" s="147"/>
      <c r="AA35" s="158"/>
      <c r="AB35" s="147"/>
      <c r="AC35" s="158"/>
      <c r="AD35" s="147"/>
      <c r="AE35" s="158"/>
      <c r="AF35" s="147"/>
      <c r="AG35" s="158"/>
      <c r="AH35" s="147"/>
      <c r="AI35" s="158"/>
      <c r="AJ35" s="147"/>
      <c r="AK35" s="158"/>
      <c r="AL35" s="147"/>
      <c r="AM35" s="158"/>
      <c r="AN35" s="158"/>
      <c r="AO35" s="158"/>
      <c r="AP35" s="158"/>
      <c r="AQ35" s="158"/>
      <c r="AR35" s="158"/>
      <c r="AS35" s="158"/>
      <c r="AT35" s="158"/>
      <c r="AU35" s="158"/>
      <c r="AV35" s="147"/>
      <c r="AW35" s="158"/>
      <c r="AX35" s="2">
        <f t="shared" si="3"/>
        <v>0</v>
      </c>
    </row>
    <row r="36" spans="1:50" ht="21" thickBot="1">
      <c r="A36" s="65"/>
      <c r="B36" s="66" t="s">
        <v>38</v>
      </c>
      <c r="C36" s="66" t="s">
        <v>39</v>
      </c>
      <c r="D36" s="67" t="s">
        <v>34</v>
      </c>
      <c r="E36" s="68" t="str">
        <f>E4</f>
        <v>酒屋(カード)</v>
      </c>
      <c r="F36" s="69" t="str">
        <f>F4</f>
        <v>酒屋（現金）</v>
      </c>
      <c r="G36" s="70" t="str">
        <f>G4</f>
        <v>その他</v>
      </c>
      <c r="H36" s="71" t="s">
        <v>41</v>
      </c>
      <c r="I36" s="72" t="str">
        <f>I3</f>
        <v>キッシュ売上</v>
      </c>
      <c r="J36" s="72" t="s">
        <v>43</v>
      </c>
      <c r="K36" s="73"/>
      <c r="L36" s="1"/>
      <c r="M36" s="1"/>
      <c r="N36" s="1"/>
      <c r="O36" s="1"/>
      <c r="P36" s="80"/>
      <c r="Q36" s="115">
        <f t="shared" ref="Q36:AW36" si="4">SUM(Q5:Q35)</f>
        <v>0</v>
      </c>
      <c r="R36" s="115">
        <f t="shared" si="4"/>
        <v>0</v>
      </c>
      <c r="S36" s="115">
        <f t="shared" si="4"/>
        <v>76000</v>
      </c>
      <c r="T36" s="115">
        <f t="shared" si="4"/>
        <v>50000</v>
      </c>
      <c r="U36" s="115">
        <f t="shared" si="4"/>
        <v>1249000</v>
      </c>
      <c r="V36" s="115">
        <f t="shared" si="4"/>
        <v>40000</v>
      </c>
      <c r="W36" s="115">
        <f t="shared" si="4"/>
        <v>574000</v>
      </c>
      <c r="X36" s="115">
        <f t="shared" si="4"/>
        <v>0</v>
      </c>
      <c r="Y36" s="115">
        <f t="shared" si="4"/>
        <v>2000</v>
      </c>
      <c r="Z36" s="115">
        <f t="shared" si="4"/>
        <v>444000</v>
      </c>
      <c r="AA36" s="115">
        <f t="shared" si="4"/>
        <v>90000</v>
      </c>
      <c r="AB36" s="115">
        <f t="shared" si="4"/>
        <v>38000</v>
      </c>
      <c r="AC36" s="115">
        <f t="shared" si="4"/>
        <v>0</v>
      </c>
      <c r="AD36" s="115">
        <f t="shared" si="4"/>
        <v>183000</v>
      </c>
      <c r="AE36" s="115">
        <f t="shared" si="4"/>
        <v>0</v>
      </c>
      <c r="AF36" s="115">
        <f t="shared" si="4"/>
        <v>434000</v>
      </c>
      <c r="AG36" s="115">
        <f t="shared" si="4"/>
        <v>275000</v>
      </c>
      <c r="AH36" s="115">
        <f t="shared" si="4"/>
        <v>0</v>
      </c>
      <c r="AI36" s="115">
        <f t="shared" si="4"/>
        <v>0</v>
      </c>
      <c r="AJ36" s="115">
        <f t="shared" si="4"/>
        <v>8000</v>
      </c>
      <c r="AK36" s="115">
        <f t="shared" si="4"/>
        <v>0</v>
      </c>
      <c r="AL36" s="115">
        <f t="shared" si="4"/>
        <v>5000</v>
      </c>
      <c r="AM36" s="115">
        <f t="shared" si="4"/>
        <v>25000</v>
      </c>
      <c r="AN36" s="115">
        <f t="shared" si="4"/>
        <v>22000</v>
      </c>
      <c r="AO36" s="115">
        <f t="shared" si="4"/>
        <v>0</v>
      </c>
      <c r="AP36" s="115">
        <f t="shared" si="4"/>
        <v>0</v>
      </c>
      <c r="AQ36" s="115">
        <f t="shared" si="4"/>
        <v>0</v>
      </c>
      <c r="AR36" s="115">
        <f t="shared" si="4"/>
        <v>0</v>
      </c>
      <c r="AS36" s="115">
        <f t="shared" si="4"/>
        <v>0</v>
      </c>
      <c r="AT36" s="115">
        <f t="shared" si="4"/>
        <v>0</v>
      </c>
      <c r="AU36" s="115">
        <f t="shared" si="4"/>
        <v>0</v>
      </c>
      <c r="AV36" s="115">
        <f t="shared" si="4"/>
        <v>0</v>
      </c>
      <c r="AW36" s="115">
        <f t="shared" si="4"/>
        <v>0</v>
      </c>
      <c r="AX36" s="2">
        <f t="shared" si="3"/>
        <v>3515000</v>
      </c>
    </row>
    <row r="37" spans="1:50" ht="22" thickTop="1" thickBot="1">
      <c r="A37" s="81" t="s">
        <v>33</v>
      </c>
      <c r="B37" s="82">
        <f t="shared" ref="B37:I37" si="5">SUM(B5:B35)</f>
        <v>2991000</v>
      </c>
      <c r="C37" s="82">
        <f t="shared" si="5"/>
        <v>524000</v>
      </c>
      <c r="D37" s="82">
        <f t="shared" si="5"/>
        <v>3515000</v>
      </c>
      <c r="E37" s="83">
        <f t="shared" si="5"/>
        <v>236144</v>
      </c>
      <c r="F37" s="84">
        <f t="shared" si="5"/>
        <v>99748</v>
      </c>
      <c r="G37" s="84">
        <f t="shared" si="5"/>
        <v>16784</v>
      </c>
      <c r="H37" s="132">
        <f t="shared" si="5"/>
        <v>352676</v>
      </c>
      <c r="I37" s="86">
        <f t="shared" si="5"/>
        <v>0</v>
      </c>
      <c r="J37" s="86" t="str">
        <f>IFERROR(32/I37, "")</f>
        <v/>
      </c>
      <c r="K37" s="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1"/>
      <c r="B38" s="91"/>
      <c r="C38" s="1"/>
      <c r="D38" s="1"/>
      <c r="E38" s="2"/>
      <c r="F38" s="2"/>
      <c r="G38" s="2"/>
      <c r="H38" s="2"/>
      <c r="I38" s="2"/>
      <c r="J38" s="2"/>
      <c r="K38" s="1"/>
      <c r="L38" s="1"/>
      <c r="M38" s="1"/>
      <c r="N38" s="1"/>
      <c r="O38" s="182"/>
      <c r="P38" s="540" t="s">
        <v>228</v>
      </c>
      <c r="Q38" s="542">
        <f>Q36*0.35</f>
        <v>0</v>
      </c>
      <c r="R38" s="542">
        <f>R36*0.3</f>
        <v>0</v>
      </c>
      <c r="S38" s="544">
        <f>S36*0.35</f>
        <v>26600</v>
      </c>
      <c r="T38" s="544">
        <f>T36*0.3</f>
        <v>15000</v>
      </c>
      <c r="U38" s="532">
        <f>U36*0.35</f>
        <v>437150</v>
      </c>
      <c r="V38" s="532">
        <f>V36*0.3</f>
        <v>12000</v>
      </c>
      <c r="W38" s="534">
        <f>W36*0.35</f>
        <v>200900</v>
      </c>
      <c r="X38" s="534">
        <f>X36*0.3</f>
        <v>0</v>
      </c>
      <c r="Y38" s="538">
        <f>Y36</f>
        <v>2000</v>
      </c>
      <c r="Z38" s="536">
        <f>Z36*0.35</f>
        <v>155400</v>
      </c>
      <c r="AA38" s="530">
        <f>AA36*0.3</f>
        <v>27000</v>
      </c>
      <c r="AB38" s="530">
        <f>AB36*0.35</f>
        <v>13300</v>
      </c>
      <c r="AC38" s="530">
        <f>AC36*0.3</f>
        <v>0</v>
      </c>
      <c r="AD38" s="530">
        <f>AD36*0.35</f>
        <v>64049.999999999993</v>
      </c>
      <c r="AE38" s="530">
        <f>AE36*0.3</f>
        <v>0</v>
      </c>
      <c r="AF38" s="530">
        <f>AF36*0.35</f>
        <v>151900</v>
      </c>
      <c r="AG38" s="530">
        <f>AG36*0.3</f>
        <v>82500</v>
      </c>
      <c r="AH38" s="530">
        <f>AH36*0.35</f>
        <v>0</v>
      </c>
      <c r="AI38" s="530">
        <f>AI36*0.3</f>
        <v>0</v>
      </c>
      <c r="AJ38" s="530">
        <f>AJ36*0.35</f>
        <v>2800</v>
      </c>
      <c r="AK38" s="530">
        <f>AK36*0.3</f>
        <v>0</v>
      </c>
      <c r="AL38" s="530">
        <f>AL36*0.35</f>
        <v>1750</v>
      </c>
      <c r="AM38" s="530">
        <f>AM36*0.3</f>
        <v>7500</v>
      </c>
      <c r="AN38" s="536">
        <f t="shared" ref="AN38:AV38" si="6">AN36*0.35</f>
        <v>7699.9999999999991</v>
      </c>
      <c r="AO38" s="530">
        <f t="shared" si="6"/>
        <v>0</v>
      </c>
      <c r="AP38" s="530">
        <f t="shared" si="6"/>
        <v>0</v>
      </c>
      <c r="AQ38" s="530">
        <f t="shared" si="6"/>
        <v>0</v>
      </c>
      <c r="AR38" s="530">
        <f t="shared" si="6"/>
        <v>0</v>
      </c>
      <c r="AS38" s="530">
        <f t="shared" si="6"/>
        <v>0</v>
      </c>
      <c r="AT38" s="530">
        <f t="shared" si="6"/>
        <v>0</v>
      </c>
      <c r="AU38" s="530">
        <f t="shared" si="6"/>
        <v>0</v>
      </c>
      <c r="AV38" s="530">
        <f t="shared" si="6"/>
        <v>0</v>
      </c>
      <c r="AW38" s="530">
        <f>AW36*0.3</f>
        <v>0</v>
      </c>
      <c r="AX38" s="182"/>
    </row>
    <row r="39" spans="1:50">
      <c r="A39" s="1"/>
      <c r="B39" s="496" t="s">
        <v>309</v>
      </c>
      <c r="C39" s="496"/>
      <c r="D39" s="496" t="s">
        <v>245</v>
      </c>
      <c r="E39" s="496"/>
      <c r="F39" s="2"/>
      <c r="G39" s="1"/>
      <c r="H39" s="1"/>
      <c r="I39" s="2"/>
      <c r="J39" s="2"/>
      <c r="K39" s="1"/>
      <c r="L39" s="1"/>
      <c r="M39" s="1"/>
      <c r="N39" s="1"/>
      <c r="O39" s="182"/>
      <c r="P39" s="541"/>
      <c r="Q39" s="543"/>
      <c r="R39" s="543"/>
      <c r="S39" s="545"/>
      <c r="T39" s="545"/>
      <c r="U39" s="533"/>
      <c r="V39" s="533"/>
      <c r="W39" s="535"/>
      <c r="X39" s="535"/>
      <c r="Y39" s="539"/>
      <c r="Z39" s="537"/>
      <c r="AA39" s="531"/>
      <c r="AB39" s="531"/>
      <c r="AC39" s="531"/>
      <c r="AD39" s="531"/>
      <c r="AE39" s="531"/>
      <c r="AF39" s="531"/>
      <c r="AG39" s="531"/>
      <c r="AH39" s="531"/>
      <c r="AI39" s="531"/>
      <c r="AJ39" s="531"/>
      <c r="AK39" s="531"/>
      <c r="AL39" s="531"/>
      <c r="AM39" s="531"/>
      <c r="AN39" s="537"/>
      <c r="AO39" s="531"/>
      <c r="AP39" s="531"/>
      <c r="AQ39" s="531"/>
      <c r="AR39" s="531"/>
      <c r="AS39" s="531"/>
      <c r="AT39" s="531"/>
      <c r="AU39" s="531"/>
      <c r="AV39" s="531"/>
      <c r="AW39" s="531"/>
      <c r="AX39" s="182"/>
    </row>
    <row r="40" spans="1:50">
      <c r="A40" s="1"/>
      <c r="B40" s="552">
        <f>B1</f>
        <v>4</v>
      </c>
      <c r="C40" s="547"/>
      <c r="D40" s="548">
        <v>0</v>
      </c>
      <c r="E40" s="549"/>
      <c r="F40" s="1"/>
      <c r="G40" s="1"/>
      <c r="H40" s="1"/>
      <c r="I40" s="1"/>
      <c r="J40" s="1"/>
      <c r="K40" s="1"/>
      <c r="L40" s="1"/>
      <c r="M40" s="1"/>
      <c r="N40" s="1"/>
      <c r="O40" s="182"/>
      <c r="P40" s="182"/>
      <c r="Q40" s="376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7"/>
      <c r="AD40" s="377"/>
      <c r="AE40" s="377"/>
      <c r="AF40" s="377"/>
      <c r="AG40" s="377"/>
      <c r="AH40" s="377"/>
      <c r="AI40" s="377"/>
      <c r="AJ40" s="377"/>
      <c r="AK40" s="377"/>
      <c r="AL40" s="377"/>
      <c r="AM40" s="377"/>
      <c r="AN40" s="377"/>
      <c r="AO40" s="377"/>
      <c r="AP40" s="377"/>
      <c r="AQ40" s="377"/>
      <c r="AR40" s="377"/>
      <c r="AS40" s="377"/>
      <c r="AT40" s="377"/>
      <c r="AU40" s="377"/>
      <c r="AV40" s="377"/>
      <c r="AW40" s="377"/>
      <c r="AX40" s="377"/>
    </row>
    <row r="41" spans="1:50">
      <c r="A41" s="1"/>
      <c r="B41" s="182"/>
      <c r="C41" s="1"/>
      <c r="D41" s="1"/>
      <c r="E41" s="372"/>
      <c r="F41" s="1"/>
      <c r="G41" s="1"/>
      <c r="H41" s="1"/>
      <c r="I41" s="1"/>
      <c r="J41" s="1"/>
      <c r="K41" s="1"/>
      <c r="L41" s="1"/>
      <c r="M41" s="1"/>
      <c r="N41" s="1"/>
      <c r="O41" s="182"/>
      <c r="P41" s="182"/>
      <c r="Q41" s="376"/>
      <c r="R41" s="377"/>
      <c r="S41" s="377"/>
      <c r="T41" s="377"/>
      <c r="U41" s="377"/>
      <c r="V41" s="377"/>
      <c r="W41" s="377"/>
      <c r="X41" s="377"/>
      <c r="Y41" s="377"/>
      <c r="Z41" s="377"/>
      <c r="AA41" s="377"/>
      <c r="AB41" s="377"/>
      <c r="AC41" s="377"/>
      <c r="AD41" s="377"/>
      <c r="AE41" s="377"/>
      <c r="AF41" s="377"/>
      <c r="AG41" s="377"/>
      <c r="AH41" s="377"/>
      <c r="AI41" s="377"/>
      <c r="AJ41" s="377"/>
      <c r="AK41" s="377"/>
      <c r="AL41" s="377"/>
      <c r="AM41" s="377"/>
      <c r="AN41" s="377"/>
      <c r="AO41" s="377"/>
      <c r="AP41" s="377"/>
      <c r="AQ41" s="377"/>
      <c r="AR41" s="377"/>
      <c r="AS41" s="377"/>
      <c r="AT41" s="377"/>
      <c r="AU41" s="377"/>
      <c r="AV41" s="377"/>
      <c r="AW41" s="377"/>
      <c r="AX41" s="377"/>
    </row>
    <row r="42" spans="1:50">
      <c r="A42" s="1"/>
      <c r="B42" s="496" t="s">
        <v>307</v>
      </c>
      <c r="C42" s="496"/>
      <c r="D42" s="496" t="s">
        <v>308</v>
      </c>
      <c r="E42" s="49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>
      <c r="A43" s="1"/>
      <c r="B43" s="546">
        <f>B37-D40+D43</f>
        <v>2874468</v>
      </c>
      <c r="C43" s="547"/>
      <c r="D43" s="548">
        <f>D40-F37-G37</f>
        <v>-116532</v>
      </c>
      <c r="E43" s="54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</sheetData>
  <mergeCells count="86">
    <mergeCell ref="B43:C43"/>
    <mergeCell ref="D43:E43"/>
    <mergeCell ref="B39:C39"/>
    <mergeCell ref="D39:E39"/>
    <mergeCell ref="B40:C40"/>
    <mergeCell ref="D40:E40"/>
    <mergeCell ref="B42:C42"/>
    <mergeCell ref="D42:E42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M10:N10"/>
    <mergeCell ref="N11:N12"/>
    <mergeCell ref="P38:P39"/>
    <mergeCell ref="Q38:Q39"/>
    <mergeCell ref="R38:R39"/>
    <mergeCell ref="S38:S39"/>
    <mergeCell ref="AS3:AS4"/>
    <mergeCell ref="AT3:AT4"/>
    <mergeCell ref="AU3:AU4"/>
    <mergeCell ref="AV3:AV4"/>
    <mergeCell ref="AW3:AW4"/>
    <mergeCell ref="AX3:AX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AK3:AK4"/>
    <mergeCell ref="AL3:AL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J3:J4"/>
    <mergeCell ref="P3:P4"/>
    <mergeCell ref="Q3:Q4"/>
    <mergeCell ref="R3:R4"/>
    <mergeCell ref="S3:S4"/>
    <mergeCell ref="T3:T4"/>
    <mergeCell ref="A1:A2"/>
    <mergeCell ref="B1:B2"/>
    <mergeCell ref="A3:A4"/>
    <mergeCell ref="B3:D3"/>
    <mergeCell ref="E3:H3"/>
    <mergeCell ref="I3:I4"/>
  </mergeCells>
  <phoneticPr fontId="16"/>
  <dataValidations count="2">
    <dataValidation type="list" allowBlank="1" showErrorMessage="1" sqref="Q3:Q4 AD3:AD4 S3:S4 U3:U4 AL3:AL4 AH3:AH4 Z3:Z4 AF3:AF4 AJ3:AJ4 W3:W4 AB3:AB4 AV3:AV4 AN3:AN4 AO3:AU3" xr:uid="{0EF73093-3529-0642-AEF6-255E87DF7776}">
      <formula1>名前</formula1>
    </dataValidation>
    <dataValidation allowBlank="1" showErrorMessage="1" sqref="R3:R4 AI3:AI4 T3:T4 AC3:AC4 AA3:AA4 AE3:AE4 AG3:AG4 AK3:AK4 AW3:AW4 V3:V4 AM3:AM4 X3:X4 Y3" xr:uid="{057386E3-3F2D-5348-A48B-F6E83AF3D04E}"/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2EF3-B509-B845-9CF2-97DFE097B75F}">
  <dimension ref="A1"/>
  <sheetViews>
    <sheetView workbookViewId="0"/>
  </sheetViews>
  <sheetFormatPr baseColWidth="10" defaultColWidth="11.140625" defaultRowHeight="20"/>
  <sheetData/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CAA6-DAD2-9845-A38F-320BFC379A0B}">
  <dimension ref="A1:CF37"/>
  <sheetViews>
    <sheetView topLeftCell="AG1" zoomScale="75" workbookViewId="0">
      <selection activeCell="CC3" sqref="CC3:CC4"/>
    </sheetView>
  </sheetViews>
  <sheetFormatPr baseColWidth="10" defaultRowHeight="20"/>
  <cols>
    <col min="1" max="1" width="15.28515625" customWidth="1"/>
    <col min="59" max="59" width="14.28515625" style="1" customWidth="1"/>
    <col min="60" max="60" width="13.28515625" style="1" customWidth="1"/>
    <col min="61" max="61" width="9" style="1" customWidth="1"/>
    <col min="62" max="62" width="11" style="1" customWidth="1"/>
    <col min="63" max="63" width="10.42578125" style="1" customWidth="1"/>
    <col min="65" max="71" width="10.7109375" style="1"/>
    <col min="72" max="72" width="12.42578125" style="1" customWidth="1"/>
    <col min="73" max="75" width="10.7109375" style="1"/>
    <col min="76" max="76" width="15.28515625" style="1" customWidth="1"/>
    <col min="77" max="77" width="9" style="1" customWidth="1"/>
    <col min="78" max="81" width="11.85546875" style="1" customWidth="1"/>
    <col min="82" max="82" width="12.7109375" style="1" customWidth="1"/>
    <col min="83" max="83" width="10.7109375" style="1"/>
  </cols>
  <sheetData>
    <row r="1" spans="1:84">
      <c r="A1" s="498">
        <v>2020</v>
      </c>
      <c r="B1" s="500">
        <v>3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L1" s="1"/>
      <c r="CF1" s="1"/>
    </row>
    <row r="2" spans="1:84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81" t="s">
        <v>112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"/>
    </row>
    <row r="3" spans="1:84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574" t="s">
        <v>18</v>
      </c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115</v>
      </c>
      <c r="AV3" s="494">
        <v>0.3</v>
      </c>
      <c r="AW3" s="496" t="s">
        <v>139</v>
      </c>
      <c r="AX3" s="494">
        <v>0.3</v>
      </c>
      <c r="AY3" s="527" t="s">
        <v>83</v>
      </c>
      <c r="AZ3" s="494">
        <v>0.3</v>
      </c>
      <c r="BA3" s="492" t="s">
        <v>141</v>
      </c>
      <c r="BB3" s="494">
        <v>0.3</v>
      </c>
      <c r="BC3" s="496" t="s">
        <v>120</v>
      </c>
      <c r="BD3" s="494">
        <v>0.3</v>
      </c>
      <c r="BE3" s="566" t="s">
        <v>134</v>
      </c>
      <c r="BF3" s="571">
        <v>0.3</v>
      </c>
      <c r="BG3" s="496" t="s">
        <v>114</v>
      </c>
      <c r="BH3" s="520" t="s">
        <v>117</v>
      </c>
      <c r="BI3" s="520" t="s">
        <v>119</v>
      </c>
      <c r="BJ3" s="520" t="s">
        <v>137</v>
      </c>
      <c r="BK3" s="520" t="s">
        <v>131</v>
      </c>
      <c r="BL3" s="566" t="s">
        <v>143</v>
      </c>
      <c r="BM3" s="525" t="s">
        <v>126</v>
      </c>
      <c r="BN3" s="496" t="s">
        <v>135</v>
      </c>
      <c r="BO3" s="520" t="s">
        <v>127</v>
      </c>
      <c r="BP3" s="520" t="s">
        <v>145</v>
      </c>
      <c r="BQ3" s="520" t="s">
        <v>147</v>
      </c>
      <c r="BR3" s="520" t="s">
        <v>123</v>
      </c>
      <c r="BS3" s="520" t="s">
        <v>149</v>
      </c>
      <c r="BT3" s="520" t="s">
        <v>152</v>
      </c>
      <c r="BU3" s="520" t="s">
        <v>150</v>
      </c>
      <c r="BV3" s="520" t="s">
        <v>154</v>
      </c>
      <c r="BW3" s="520" t="s">
        <v>129</v>
      </c>
      <c r="BX3" s="520" t="s">
        <v>156</v>
      </c>
      <c r="BY3" s="520" t="s">
        <v>160</v>
      </c>
      <c r="BZ3" s="520" t="s">
        <v>74</v>
      </c>
      <c r="CA3" s="520" t="s">
        <v>162</v>
      </c>
      <c r="CB3" s="520" t="s">
        <v>165</v>
      </c>
      <c r="CC3" s="520" t="s">
        <v>166</v>
      </c>
      <c r="CD3" s="520" t="s">
        <v>158</v>
      </c>
      <c r="CE3" s="570" t="s">
        <v>70</v>
      </c>
      <c r="CF3" s="564">
        <v>0.3</v>
      </c>
    </row>
    <row r="4" spans="1:84" ht="21" thickBot="1">
      <c r="A4" s="502"/>
      <c r="B4" s="9"/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575"/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567"/>
      <c r="BF4" s="496"/>
      <c r="BG4" s="497"/>
      <c r="BH4" s="521"/>
      <c r="BI4" s="521"/>
      <c r="BJ4" s="521"/>
      <c r="BK4" s="521"/>
      <c r="BL4" s="567"/>
      <c r="BM4" s="526"/>
      <c r="BN4" s="496"/>
      <c r="BO4" s="521"/>
      <c r="BP4" s="521"/>
      <c r="BQ4" s="521"/>
      <c r="BR4" s="521"/>
      <c r="BS4" s="521"/>
      <c r="BT4" s="521"/>
      <c r="BU4" s="521"/>
      <c r="BV4" s="521"/>
      <c r="BW4" s="521"/>
      <c r="BX4" s="521"/>
      <c r="BY4" s="521"/>
      <c r="BZ4" s="521"/>
      <c r="CA4" s="521"/>
      <c r="CB4" s="521"/>
      <c r="CC4" s="521"/>
      <c r="CD4" s="521"/>
      <c r="CE4" s="570"/>
      <c r="CF4" s="565"/>
    </row>
    <row r="5" spans="1:84" ht="21" thickTop="1">
      <c r="A5" s="21">
        <f t="shared" ref="A5:A35" si="0">IF(DAY(DATE($A$1,$B$1,ROW()-4))=ROW()-4,DATE($A$1,$B$1,ROW()-4),"")</f>
        <v>43891</v>
      </c>
      <c r="B5" s="199">
        <v>90500</v>
      </c>
      <c r="C5" s="199"/>
      <c r="D5" s="200">
        <f t="shared" ref="D5:D34" si="1">B5+C5</f>
        <v>90500</v>
      </c>
      <c r="E5" s="201">
        <v>26101</v>
      </c>
      <c r="F5" s="199"/>
      <c r="G5" s="202"/>
      <c r="H5" s="200">
        <f t="shared" ref="H5:H35" si="2">E5+F5+G5</f>
        <v>26101</v>
      </c>
      <c r="I5" s="27">
        <v>21</v>
      </c>
      <c r="J5" s="216">
        <f t="shared" ref="J5:J34" si="3">IFERROR(B5/I5, "")</f>
        <v>4309.5238095238092</v>
      </c>
      <c r="K5" s="228"/>
      <c r="L5" s="5"/>
      <c r="M5" s="30" t="s">
        <v>22</v>
      </c>
      <c r="N5" s="31" t="s">
        <v>23</v>
      </c>
      <c r="O5" s="7"/>
      <c r="P5" s="32">
        <f t="shared" ref="P5:P35" si="4">A5</f>
        <v>43891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5" si="5">P5</f>
        <v>43891</v>
      </c>
      <c r="AK5" s="35"/>
      <c r="AL5" s="138"/>
      <c r="AM5" s="139"/>
      <c r="AN5" s="138"/>
      <c r="AO5" s="190">
        <v>15000</v>
      </c>
      <c r="AP5" s="138"/>
      <c r="AQ5" s="191">
        <v>37500</v>
      </c>
      <c r="AR5" s="138"/>
      <c r="AS5" s="142">
        <v>33000</v>
      </c>
      <c r="AT5" s="138"/>
      <c r="AU5" s="143"/>
      <c r="AV5" s="138"/>
      <c r="AW5" s="144"/>
      <c r="AX5" s="138"/>
      <c r="AY5" s="145"/>
      <c r="AZ5" s="138"/>
      <c r="BA5" s="146"/>
      <c r="BB5" s="138"/>
      <c r="BC5" s="144">
        <v>2000</v>
      </c>
      <c r="BD5" s="138"/>
      <c r="BE5" s="184">
        <v>3000</v>
      </c>
      <c r="BF5" s="158"/>
      <c r="BG5" s="158"/>
      <c r="BH5" s="158"/>
      <c r="BI5" s="158"/>
      <c r="BJ5" s="158"/>
      <c r="BK5" s="158"/>
      <c r="BL5" s="184"/>
      <c r="BM5" s="184"/>
      <c r="BN5" s="144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6"/>
    </row>
    <row r="6" spans="1:84">
      <c r="A6" s="21">
        <f t="shared" si="0"/>
        <v>43892</v>
      </c>
      <c r="B6" s="203">
        <v>81000</v>
      </c>
      <c r="C6" s="199"/>
      <c r="D6" s="204">
        <f t="shared" si="1"/>
        <v>81000</v>
      </c>
      <c r="E6" s="205">
        <v>7788</v>
      </c>
      <c r="F6" s="203"/>
      <c r="G6" s="202"/>
      <c r="H6" s="200">
        <f t="shared" si="2"/>
        <v>7788</v>
      </c>
      <c r="I6" s="35">
        <v>4</v>
      </c>
      <c r="J6" s="217">
        <f t="shared" si="3"/>
        <v>20250</v>
      </c>
      <c r="K6" s="29"/>
      <c r="L6" s="5"/>
      <c r="M6" s="30" t="s">
        <v>24</v>
      </c>
      <c r="N6" s="31" t="s">
        <v>25</v>
      </c>
      <c r="O6" s="7"/>
      <c r="P6" s="32">
        <f t="shared" si="4"/>
        <v>43892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43892</v>
      </c>
      <c r="AK6" s="35"/>
      <c r="AL6" s="138"/>
      <c r="AM6" s="139"/>
      <c r="AN6" s="138"/>
      <c r="AO6" s="143"/>
      <c r="AP6" s="138"/>
      <c r="AQ6" s="147">
        <v>30000</v>
      </c>
      <c r="AR6" s="138">
        <v>25000</v>
      </c>
      <c r="AS6" s="142">
        <v>26000</v>
      </c>
      <c r="AT6" s="138"/>
      <c r="AU6" s="143"/>
      <c r="AV6" s="138"/>
      <c r="AW6" s="147"/>
      <c r="AX6" s="138"/>
      <c r="AY6" s="145"/>
      <c r="AZ6" s="138"/>
      <c r="BA6" s="146"/>
      <c r="BB6" s="138"/>
      <c r="BC6" s="144"/>
      <c r="BD6" s="138"/>
      <c r="BE6" s="184"/>
      <c r="BF6" s="158"/>
      <c r="BG6" s="158"/>
      <c r="BH6" s="158"/>
      <c r="BI6" s="158"/>
      <c r="BJ6" s="158"/>
      <c r="BK6" s="158"/>
      <c r="BL6" s="184"/>
      <c r="BM6" s="184"/>
      <c r="BN6" s="144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6"/>
    </row>
    <row r="7" spans="1:84">
      <c r="A7" s="21">
        <f t="shared" si="0"/>
        <v>43893</v>
      </c>
      <c r="B7" s="203">
        <v>0</v>
      </c>
      <c r="C7" s="199"/>
      <c r="D7" s="204">
        <f t="shared" si="1"/>
        <v>0</v>
      </c>
      <c r="E7" s="205"/>
      <c r="F7" s="203"/>
      <c r="G7" s="202"/>
      <c r="H7" s="200">
        <f t="shared" si="2"/>
        <v>0</v>
      </c>
      <c r="I7" s="35"/>
      <c r="J7" s="217" t="str">
        <f t="shared" si="3"/>
        <v/>
      </c>
      <c r="K7" s="29"/>
      <c r="L7" s="5"/>
      <c r="M7" s="6"/>
      <c r="N7" s="7"/>
      <c r="O7" s="7"/>
      <c r="P7" s="32">
        <f t="shared" si="4"/>
        <v>43893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43893</v>
      </c>
      <c r="AK7" s="35"/>
      <c r="AL7" s="138"/>
      <c r="AM7" s="139"/>
      <c r="AN7" s="138"/>
      <c r="AO7" s="143"/>
      <c r="AP7" s="138"/>
      <c r="AQ7" s="147"/>
      <c r="AR7" s="138"/>
      <c r="AS7" s="142"/>
      <c r="AT7" s="138"/>
      <c r="AU7" s="139"/>
      <c r="AV7" s="138"/>
      <c r="AW7" s="148"/>
      <c r="AX7" s="138"/>
      <c r="AY7" s="149"/>
      <c r="AZ7" s="138"/>
      <c r="BA7" s="149"/>
      <c r="BB7" s="138"/>
      <c r="BC7" s="150"/>
      <c r="BD7" s="138"/>
      <c r="BE7" s="185"/>
      <c r="BF7" s="158"/>
      <c r="BG7" s="158"/>
      <c r="BH7" s="158"/>
      <c r="BI7" s="158"/>
      <c r="BJ7" s="158"/>
      <c r="BK7" s="158"/>
      <c r="BL7" s="184"/>
      <c r="BM7" s="184"/>
      <c r="BN7" s="144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6"/>
    </row>
    <row r="8" spans="1:84">
      <c r="A8" s="21">
        <f t="shared" si="0"/>
        <v>43894</v>
      </c>
      <c r="B8" s="203">
        <v>176500</v>
      </c>
      <c r="C8" s="199"/>
      <c r="D8" s="204">
        <f t="shared" si="1"/>
        <v>176500</v>
      </c>
      <c r="E8" s="205">
        <v>17792</v>
      </c>
      <c r="F8" s="203">
        <v>3880</v>
      </c>
      <c r="G8" s="202"/>
      <c r="H8" s="200">
        <f t="shared" si="2"/>
        <v>21672</v>
      </c>
      <c r="I8" s="35">
        <v>37</v>
      </c>
      <c r="J8" s="217">
        <f t="shared" si="3"/>
        <v>4770.27027027027</v>
      </c>
      <c r="K8" s="29"/>
      <c r="L8" s="5"/>
      <c r="M8" s="6"/>
      <c r="N8" s="7"/>
      <c r="O8" s="7"/>
      <c r="P8" s="32">
        <f t="shared" si="4"/>
        <v>43894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43894</v>
      </c>
      <c r="AK8" s="35"/>
      <c r="AL8" s="138"/>
      <c r="AM8" s="139"/>
      <c r="AN8" s="138"/>
      <c r="AO8" s="143">
        <v>45000</v>
      </c>
      <c r="AP8" s="138"/>
      <c r="AQ8" s="147">
        <v>3000</v>
      </c>
      <c r="AR8" s="138"/>
      <c r="AS8" s="142">
        <v>90000</v>
      </c>
      <c r="AT8" s="138"/>
      <c r="AU8" s="139">
        <v>15000</v>
      </c>
      <c r="AV8" s="138"/>
      <c r="AW8" s="151"/>
      <c r="AX8" s="138"/>
      <c r="AY8" s="149"/>
      <c r="AZ8" s="138"/>
      <c r="BA8" s="149">
        <v>17000</v>
      </c>
      <c r="BB8" s="138"/>
      <c r="BC8" s="149">
        <v>6500</v>
      </c>
      <c r="BD8" s="138"/>
      <c r="BE8" s="146"/>
      <c r="BF8" s="158"/>
      <c r="BG8" s="158"/>
      <c r="BH8" s="158"/>
      <c r="BI8" s="158"/>
      <c r="BJ8" s="158"/>
      <c r="BK8" s="158"/>
      <c r="BL8" s="184"/>
      <c r="BM8" s="184"/>
      <c r="BN8" s="144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6"/>
    </row>
    <row r="9" spans="1:84">
      <c r="A9" s="21">
        <f t="shared" si="0"/>
        <v>43895</v>
      </c>
      <c r="B9" s="203">
        <v>136500</v>
      </c>
      <c r="C9" s="199"/>
      <c r="D9" s="204">
        <f t="shared" si="1"/>
        <v>136500</v>
      </c>
      <c r="E9" s="205">
        <v>13487</v>
      </c>
      <c r="F9" s="203">
        <v>4225</v>
      </c>
      <c r="G9" s="202"/>
      <c r="H9" s="200">
        <f t="shared" si="2"/>
        <v>17712</v>
      </c>
      <c r="I9" s="35">
        <v>26</v>
      </c>
      <c r="J9" s="217">
        <f t="shared" si="3"/>
        <v>5250</v>
      </c>
      <c r="K9" s="29"/>
      <c r="L9" s="5"/>
      <c r="M9" s="6"/>
      <c r="N9" s="7"/>
      <c r="O9" s="7"/>
      <c r="P9" s="32">
        <f t="shared" si="4"/>
        <v>43895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43895</v>
      </c>
      <c r="AK9" s="35"/>
      <c r="AL9" s="138"/>
      <c r="AM9" s="139"/>
      <c r="AN9" s="138"/>
      <c r="AO9" s="139">
        <v>43000</v>
      </c>
      <c r="AP9" s="138"/>
      <c r="AQ9" s="152"/>
      <c r="AR9" s="138"/>
      <c r="AS9" s="139">
        <v>57500</v>
      </c>
      <c r="AT9" s="138"/>
      <c r="AU9" s="139"/>
      <c r="AV9" s="138"/>
      <c r="AW9" s="151"/>
      <c r="AX9" s="138"/>
      <c r="AY9" s="149"/>
      <c r="AZ9" s="138"/>
      <c r="BA9" s="149"/>
      <c r="BB9" s="138"/>
      <c r="BC9" s="149"/>
      <c r="BD9" s="138"/>
      <c r="BE9" s="146"/>
      <c r="BF9" s="158"/>
      <c r="BG9" s="158"/>
      <c r="BH9" s="158"/>
      <c r="BI9" s="158"/>
      <c r="BJ9" s="158"/>
      <c r="BK9" s="158"/>
      <c r="BL9" s="184"/>
      <c r="BM9" s="184"/>
      <c r="BN9" s="144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6"/>
    </row>
    <row r="10" spans="1:84">
      <c r="A10" s="21">
        <f t="shared" si="0"/>
        <v>43896</v>
      </c>
      <c r="B10" s="203">
        <v>128000</v>
      </c>
      <c r="C10" s="199"/>
      <c r="D10" s="204">
        <f t="shared" si="1"/>
        <v>128000</v>
      </c>
      <c r="E10" s="205"/>
      <c r="F10" s="203">
        <v>1613</v>
      </c>
      <c r="G10" s="202"/>
      <c r="H10" s="200">
        <f t="shared" si="2"/>
        <v>1613</v>
      </c>
      <c r="I10" s="35">
        <v>27</v>
      </c>
      <c r="J10" s="217">
        <f t="shared" si="3"/>
        <v>4740.7407407407409</v>
      </c>
      <c r="K10" s="29"/>
      <c r="L10" s="5"/>
      <c r="M10" s="6"/>
      <c r="N10" s="7"/>
      <c r="O10" s="7"/>
      <c r="P10" s="32">
        <f t="shared" si="4"/>
        <v>43896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43896</v>
      </c>
      <c r="AK10" s="35"/>
      <c r="AL10" s="138"/>
      <c r="AM10" s="139"/>
      <c r="AN10" s="138"/>
      <c r="AO10" s="139">
        <v>10000</v>
      </c>
      <c r="AP10" s="138">
        <v>25000</v>
      </c>
      <c r="AQ10" s="139"/>
      <c r="AR10" s="138"/>
      <c r="AS10" s="139">
        <v>45000</v>
      </c>
      <c r="AT10" s="138"/>
      <c r="AU10" s="139"/>
      <c r="AV10" s="138"/>
      <c r="AW10" s="151">
        <v>11000</v>
      </c>
      <c r="AX10" s="138"/>
      <c r="AY10" s="149"/>
      <c r="AZ10" s="138"/>
      <c r="BA10" s="149"/>
      <c r="BB10" s="138"/>
      <c r="BC10" s="149">
        <v>2000</v>
      </c>
      <c r="BD10" s="138"/>
      <c r="BE10" s="146"/>
      <c r="BF10" s="158"/>
      <c r="BG10" s="158"/>
      <c r="BH10" s="158"/>
      <c r="BI10" s="158"/>
      <c r="BJ10" s="158"/>
      <c r="BK10" s="158"/>
      <c r="BL10" s="184">
        <v>3000</v>
      </c>
      <c r="BM10" s="184"/>
      <c r="BN10" s="144"/>
      <c r="BO10" s="161"/>
      <c r="BP10" s="161"/>
      <c r="BQ10" s="161"/>
      <c r="BR10" s="161"/>
      <c r="BS10" s="161"/>
      <c r="BT10" s="161"/>
      <c r="BU10" s="161"/>
      <c r="BV10" s="161"/>
      <c r="BW10" s="161"/>
      <c r="BX10" s="144"/>
      <c r="BY10" s="161"/>
      <c r="BZ10" s="161"/>
      <c r="CA10" s="161"/>
      <c r="CB10" s="161"/>
      <c r="CC10" s="161"/>
      <c r="CD10" s="161"/>
      <c r="CE10" s="161"/>
      <c r="CF10" s="166"/>
    </row>
    <row r="11" spans="1:84">
      <c r="A11" s="21">
        <f t="shared" si="0"/>
        <v>43897</v>
      </c>
      <c r="B11" s="203">
        <v>134500</v>
      </c>
      <c r="C11" s="199"/>
      <c r="D11" s="204">
        <f t="shared" si="1"/>
        <v>134500</v>
      </c>
      <c r="E11" s="205">
        <v>10998</v>
      </c>
      <c r="F11" s="203">
        <v>9994</v>
      </c>
      <c r="G11" s="202"/>
      <c r="H11" s="200">
        <f t="shared" si="2"/>
        <v>20992</v>
      </c>
      <c r="I11" s="35">
        <v>29</v>
      </c>
      <c r="J11" s="217">
        <f t="shared" si="3"/>
        <v>4637.9310344827591</v>
      </c>
      <c r="K11" s="29"/>
      <c r="L11" s="5"/>
      <c r="M11" s="6"/>
      <c r="N11" s="7"/>
      <c r="O11" s="7"/>
      <c r="P11" s="32">
        <f t="shared" si="4"/>
        <v>43897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43897</v>
      </c>
      <c r="AK11" s="35"/>
      <c r="AL11" s="138"/>
      <c r="AM11" s="139"/>
      <c r="AN11" s="138"/>
      <c r="AO11" s="139">
        <v>58500</v>
      </c>
      <c r="AP11" s="138">
        <v>25000</v>
      </c>
      <c r="AQ11" s="139">
        <v>2000</v>
      </c>
      <c r="AR11" s="138"/>
      <c r="AS11" s="139">
        <v>16000</v>
      </c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59"/>
      <c r="BG11" s="159">
        <v>1000</v>
      </c>
      <c r="BH11" s="159"/>
      <c r="BI11" s="159"/>
      <c r="BJ11" s="159"/>
      <c r="BK11" s="159"/>
      <c r="BL11" s="185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44"/>
      <c r="BX11" s="144"/>
      <c r="BY11" s="161"/>
      <c r="BZ11" s="161"/>
      <c r="CA11" s="161"/>
      <c r="CB11" s="161"/>
      <c r="CC11" s="161"/>
      <c r="CD11" s="161"/>
      <c r="CE11" s="161"/>
      <c r="CF11" s="166"/>
    </row>
    <row r="12" spans="1:84">
      <c r="A12" s="21">
        <f t="shared" si="0"/>
        <v>43898</v>
      </c>
      <c r="B12" s="203">
        <v>45000</v>
      </c>
      <c r="C12" s="199"/>
      <c r="D12" s="204">
        <f t="shared" si="1"/>
        <v>45000</v>
      </c>
      <c r="E12" s="205">
        <v>41591</v>
      </c>
      <c r="F12" s="203">
        <v>946</v>
      </c>
      <c r="G12" s="202"/>
      <c r="H12" s="200">
        <f t="shared" si="2"/>
        <v>42537</v>
      </c>
      <c r="I12" s="35">
        <v>20</v>
      </c>
      <c r="J12" s="217">
        <f t="shared" si="3"/>
        <v>2250</v>
      </c>
      <c r="K12" s="29"/>
      <c r="L12" s="5"/>
      <c r="M12" s="6"/>
      <c r="N12" s="7"/>
      <c r="O12" s="7"/>
      <c r="P12" s="32">
        <f t="shared" si="4"/>
        <v>43898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43898</v>
      </c>
      <c r="AK12" s="35"/>
      <c r="AL12" s="138"/>
      <c r="AM12" s="139"/>
      <c r="AN12" s="138"/>
      <c r="AO12" s="139">
        <v>8000</v>
      </c>
      <c r="AP12" s="138"/>
      <c r="AQ12" s="139">
        <v>20000</v>
      </c>
      <c r="AR12" s="138"/>
      <c r="AS12" s="139">
        <v>17000</v>
      </c>
      <c r="AT12" s="138"/>
      <c r="AU12" s="139"/>
      <c r="AV12" s="138"/>
      <c r="AW12" s="151"/>
      <c r="AX12" s="138"/>
      <c r="AY12" s="149"/>
      <c r="AZ12" s="138"/>
      <c r="BA12" s="149"/>
      <c r="BB12" s="138"/>
      <c r="BC12" s="149"/>
      <c r="BD12" s="138"/>
      <c r="BE12" s="149"/>
      <c r="BF12" s="138"/>
      <c r="BG12" s="138"/>
      <c r="BH12" s="138"/>
      <c r="BI12" s="138"/>
      <c r="BJ12" s="138"/>
      <c r="BK12" s="138"/>
      <c r="BL12" s="146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44"/>
      <c r="BX12" s="144"/>
      <c r="BY12" s="144"/>
      <c r="BZ12" s="144"/>
      <c r="CA12" s="144"/>
      <c r="CB12" s="144"/>
      <c r="CC12" s="144"/>
      <c r="CD12" s="144"/>
      <c r="CE12" s="161"/>
      <c r="CF12" s="166"/>
    </row>
    <row r="13" spans="1:84">
      <c r="A13" s="21">
        <f t="shared" si="0"/>
        <v>43899</v>
      </c>
      <c r="B13" s="203">
        <v>77000</v>
      </c>
      <c r="C13" s="199">
        <v>18550</v>
      </c>
      <c r="D13" s="204">
        <f t="shared" si="1"/>
        <v>95550</v>
      </c>
      <c r="E13" s="205">
        <v>32362</v>
      </c>
      <c r="F13" s="203">
        <v>289</v>
      </c>
      <c r="G13" s="202"/>
      <c r="H13" s="200">
        <f t="shared" si="2"/>
        <v>32651</v>
      </c>
      <c r="I13" s="35">
        <v>23</v>
      </c>
      <c r="J13" s="217">
        <f t="shared" si="3"/>
        <v>3347.8260869565215</v>
      </c>
      <c r="K13" s="29"/>
      <c r="L13" s="5"/>
      <c r="M13" s="6"/>
      <c r="N13" s="7"/>
      <c r="O13" s="7"/>
      <c r="P13" s="32">
        <f t="shared" si="4"/>
        <v>43899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43899</v>
      </c>
      <c r="AK13" s="35"/>
      <c r="AL13" s="138"/>
      <c r="AM13" s="139"/>
      <c r="AN13" s="138"/>
      <c r="AO13" s="139">
        <v>45000</v>
      </c>
      <c r="AP13" s="138"/>
      <c r="AQ13" s="139">
        <v>3000</v>
      </c>
      <c r="AR13" s="138"/>
      <c r="AS13" s="139"/>
      <c r="AT13" s="138"/>
      <c r="AU13" s="139">
        <v>2000</v>
      </c>
      <c r="AV13" s="138"/>
      <c r="AW13" s="151">
        <v>11550</v>
      </c>
      <c r="AX13" s="138"/>
      <c r="AY13" s="149"/>
      <c r="AZ13" s="138"/>
      <c r="BA13" s="149"/>
      <c r="BB13" s="138"/>
      <c r="BC13" s="149"/>
      <c r="BD13" s="138"/>
      <c r="BE13" s="149"/>
      <c r="BF13" s="138"/>
      <c r="BG13" s="138"/>
      <c r="BH13" s="138">
        <v>7000</v>
      </c>
      <c r="BI13" s="138">
        <v>3000</v>
      </c>
      <c r="BJ13" s="138"/>
      <c r="BK13" s="138"/>
      <c r="BL13" s="146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44"/>
      <c r="BX13" s="144"/>
      <c r="BY13" s="144"/>
      <c r="BZ13" s="144"/>
      <c r="CA13" s="144"/>
      <c r="CB13" s="144"/>
      <c r="CC13" s="144"/>
      <c r="CD13" s="144"/>
      <c r="CE13" s="162"/>
      <c r="CF13" s="138"/>
    </row>
    <row r="14" spans="1:84">
      <c r="A14" s="21">
        <f t="shared" si="0"/>
        <v>43900</v>
      </c>
      <c r="B14" s="203">
        <v>58500</v>
      </c>
      <c r="C14" s="199"/>
      <c r="D14" s="204">
        <f t="shared" si="1"/>
        <v>58500</v>
      </c>
      <c r="E14" s="205"/>
      <c r="F14" s="206"/>
      <c r="G14" s="202"/>
      <c r="H14" s="200">
        <f t="shared" si="2"/>
        <v>0</v>
      </c>
      <c r="I14" s="35">
        <v>14</v>
      </c>
      <c r="J14" s="217">
        <f t="shared" si="3"/>
        <v>4178.5714285714284</v>
      </c>
      <c r="K14" s="29"/>
      <c r="L14" s="5"/>
      <c r="M14" s="6"/>
      <c r="N14" s="7"/>
      <c r="O14" s="7"/>
      <c r="P14" s="32">
        <f t="shared" si="4"/>
        <v>43900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43900</v>
      </c>
      <c r="AK14" s="35"/>
      <c r="AL14" s="138"/>
      <c r="AM14" s="139"/>
      <c r="AN14" s="138"/>
      <c r="AO14" s="139"/>
      <c r="AP14" s="138"/>
      <c r="AQ14" s="139"/>
      <c r="AR14" s="138"/>
      <c r="AS14" s="139"/>
      <c r="AT14" s="138"/>
      <c r="AU14" s="139"/>
      <c r="AV14" s="138"/>
      <c r="AW14" s="151"/>
      <c r="AX14" s="138"/>
      <c r="AY14" s="149"/>
      <c r="AZ14" s="138"/>
      <c r="BA14" s="149"/>
      <c r="BB14" s="138"/>
      <c r="BC14" s="149"/>
      <c r="BD14" s="138"/>
      <c r="BE14" s="149"/>
      <c r="BF14" s="138"/>
      <c r="BG14" s="138"/>
      <c r="BH14" s="138"/>
      <c r="BI14" s="138"/>
      <c r="BJ14" s="138"/>
      <c r="BK14" s="138"/>
      <c r="BL14" s="146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44"/>
      <c r="BX14" s="144"/>
      <c r="BY14" s="144"/>
      <c r="BZ14" s="144"/>
      <c r="CA14" s="144"/>
      <c r="CB14" s="144"/>
      <c r="CC14" s="144"/>
      <c r="CD14" s="144"/>
      <c r="CE14" s="145"/>
      <c r="CF14" s="138"/>
    </row>
    <row r="15" spans="1:84">
      <c r="A15" s="21">
        <f t="shared" si="0"/>
        <v>43901</v>
      </c>
      <c r="B15" s="203">
        <v>0</v>
      </c>
      <c r="C15" s="199"/>
      <c r="D15" s="204">
        <f t="shared" si="1"/>
        <v>0</v>
      </c>
      <c r="E15" s="205"/>
      <c r="F15" s="203"/>
      <c r="G15" s="202"/>
      <c r="H15" s="200">
        <f t="shared" si="2"/>
        <v>0</v>
      </c>
      <c r="I15" s="35">
        <v>0</v>
      </c>
      <c r="J15" s="217" t="str">
        <f t="shared" si="3"/>
        <v/>
      </c>
      <c r="K15" s="29"/>
      <c r="L15" s="5"/>
      <c r="M15" s="6"/>
      <c r="N15" s="7"/>
      <c r="O15" s="7"/>
      <c r="P15" s="32">
        <f t="shared" si="4"/>
        <v>43901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43901</v>
      </c>
      <c r="AK15" s="35"/>
      <c r="AL15" s="138"/>
      <c r="AM15" s="139"/>
      <c r="AN15" s="138"/>
      <c r="AO15" s="139">
        <v>15000</v>
      </c>
      <c r="AP15" s="138"/>
      <c r="AQ15" s="139">
        <v>3000</v>
      </c>
      <c r="AR15" s="138"/>
      <c r="AS15" s="139">
        <v>23000</v>
      </c>
      <c r="AT15" s="138"/>
      <c r="AU15" s="139"/>
      <c r="AV15" s="138"/>
      <c r="AW15" s="151">
        <v>3000</v>
      </c>
      <c r="AX15" s="138"/>
      <c r="AY15" s="149"/>
      <c r="AZ15" s="138"/>
      <c r="BA15" s="149"/>
      <c r="BB15" s="138"/>
      <c r="BC15" s="149"/>
      <c r="BD15" s="138"/>
      <c r="BE15" s="149"/>
      <c r="BF15" s="138"/>
      <c r="BG15" s="138"/>
      <c r="BH15" s="138"/>
      <c r="BI15" s="138"/>
      <c r="BJ15" s="138">
        <v>5500</v>
      </c>
      <c r="BK15" s="138">
        <v>9000</v>
      </c>
      <c r="BL15" s="146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44"/>
      <c r="BX15" s="144"/>
      <c r="BY15" s="144"/>
      <c r="BZ15" s="144"/>
      <c r="CA15" s="144"/>
      <c r="CB15" s="144"/>
      <c r="CC15" s="144"/>
      <c r="CD15" s="144"/>
      <c r="CE15" s="145"/>
      <c r="CF15" s="138"/>
    </row>
    <row r="16" spans="1:84">
      <c r="A16" s="21">
        <f t="shared" si="0"/>
        <v>43902</v>
      </c>
      <c r="B16" s="203">
        <v>8000</v>
      </c>
      <c r="C16" s="199"/>
      <c r="D16" s="204">
        <f t="shared" si="1"/>
        <v>8000</v>
      </c>
      <c r="E16" s="205">
        <v>6894</v>
      </c>
      <c r="F16" s="203"/>
      <c r="G16" s="202"/>
      <c r="H16" s="200">
        <f t="shared" si="2"/>
        <v>6894</v>
      </c>
      <c r="I16" s="35">
        <v>4</v>
      </c>
      <c r="J16" s="217">
        <f t="shared" si="3"/>
        <v>2000</v>
      </c>
      <c r="K16" s="29"/>
      <c r="L16" s="5"/>
      <c r="M16" s="6"/>
      <c r="N16" s="7"/>
      <c r="O16" s="7"/>
      <c r="P16" s="32">
        <f t="shared" si="4"/>
        <v>43902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43902</v>
      </c>
      <c r="AK16" s="35"/>
      <c r="AL16" s="138"/>
      <c r="AM16" s="139"/>
      <c r="AN16" s="138"/>
      <c r="AO16" s="139"/>
      <c r="AP16" s="138"/>
      <c r="AQ16" s="139"/>
      <c r="AR16" s="138"/>
      <c r="AT16" s="138"/>
      <c r="AU16" s="139"/>
      <c r="AV16" s="138"/>
      <c r="AW16" s="151"/>
      <c r="AX16" s="138"/>
      <c r="AY16" s="149"/>
      <c r="AZ16" s="138"/>
      <c r="BA16" s="149"/>
      <c r="BB16" s="138"/>
      <c r="BC16" s="149"/>
      <c r="BD16" s="138"/>
      <c r="BE16" s="149">
        <v>8000</v>
      </c>
      <c r="BF16" s="138"/>
      <c r="BG16" s="138"/>
      <c r="BH16" s="138"/>
      <c r="BI16" s="138"/>
      <c r="BJ16" s="138"/>
      <c r="BK16" s="138"/>
      <c r="BL16" s="146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44"/>
      <c r="BX16" s="144"/>
      <c r="BY16" s="144"/>
      <c r="BZ16" s="144"/>
      <c r="CA16" s="144"/>
      <c r="CB16" s="144"/>
      <c r="CC16" s="144"/>
      <c r="CD16" s="144"/>
      <c r="CE16" s="145"/>
      <c r="CF16" s="138"/>
    </row>
    <row r="17" spans="1:84">
      <c r="A17" s="21">
        <f t="shared" si="0"/>
        <v>43903</v>
      </c>
      <c r="B17" s="203">
        <v>131500</v>
      </c>
      <c r="C17" s="199"/>
      <c r="D17" s="204">
        <f t="shared" si="1"/>
        <v>131500</v>
      </c>
      <c r="E17" s="205">
        <v>6512</v>
      </c>
      <c r="F17" s="203">
        <v>12517</v>
      </c>
      <c r="G17" s="202"/>
      <c r="H17" s="200">
        <f t="shared" si="2"/>
        <v>19029</v>
      </c>
      <c r="I17" s="35">
        <v>47</v>
      </c>
      <c r="J17" s="217">
        <f t="shared" si="3"/>
        <v>2797.872340425532</v>
      </c>
      <c r="K17" s="29"/>
      <c r="L17" s="5"/>
      <c r="M17" s="6"/>
      <c r="N17" s="7"/>
      <c r="O17" s="7"/>
      <c r="P17" s="32">
        <f t="shared" si="4"/>
        <v>43903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43903</v>
      </c>
      <c r="AK17" s="35">
        <v>5000</v>
      </c>
      <c r="AL17" s="138"/>
      <c r="AM17" s="139"/>
      <c r="AN17" s="138"/>
      <c r="AO17" s="139">
        <v>50000</v>
      </c>
      <c r="AP17" s="138"/>
      <c r="AQ17" s="139">
        <v>16500</v>
      </c>
      <c r="AR17" s="138"/>
      <c r="AS17" s="139">
        <v>20000</v>
      </c>
      <c r="AT17" s="138"/>
      <c r="AU17" s="139"/>
      <c r="AV17" s="138"/>
      <c r="AW17" s="151"/>
      <c r="AX17" s="138"/>
      <c r="AY17" s="149"/>
      <c r="AZ17" s="138"/>
      <c r="BA17" s="149"/>
      <c r="BB17" s="138"/>
      <c r="BC17" s="149">
        <v>13000</v>
      </c>
      <c r="BD17" s="138"/>
      <c r="BE17" s="149"/>
      <c r="BF17" s="138"/>
      <c r="BG17" s="138"/>
      <c r="BH17" s="138"/>
      <c r="BI17" s="138"/>
      <c r="BJ17" s="138"/>
      <c r="BK17" s="138"/>
      <c r="BL17" s="146"/>
      <c r="BM17" s="184">
        <v>17000</v>
      </c>
      <c r="BN17" s="18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5">
        <v>10000</v>
      </c>
      <c r="CF17" s="138"/>
    </row>
    <row r="18" spans="1:84">
      <c r="A18" s="21">
        <f t="shared" si="0"/>
        <v>43904</v>
      </c>
      <c r="B18" s="203">
        <v>106000</v>
      </c>
      <c r="C18" s="199"/>
      <c r="D18" s="204">
        <f t="shared" si="1"/>
        <v>106000</v>
      </c>
      <c r="E18" s="205"/>
      <c r="F18" s="203">
        <v>990</v>
      </c>
      <c r="G18" s="202"/>
      <c r="H18" s="200">
        <f t="shared" si="2"/>
        <v>990</v>
      </c>
      <c r="I18" s="35">
        <v>38</v>
      </c>
      <c r="J18" s="217">
        <f t="shared" si="3"/>
        <v>2789.4736842105262</v>
      </c>
      <c r="K18" s="29"/>
      <c r="L18" s="5"/>
      <c r="M18" s="45"/>
      <c r="N18" s="46"/>
      <c r="O18" s="7"/>
      <c r="P18" s="32">
        <f t="shared" si="4"/>
        <v>43904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43904</v>
      </c>
      <c r="AK18" s="35"/>
      <c r="AL18" s="138"/>
      <c r="AM18" s="139"/>
      <c r="AN18" s="138"/>
      <c r="AO18" s="139">
        <v>7000</v>
      </c>
      <c r="AP18" s="138"/>
      <c r="AQ18" s="139">
        <v>26000</v>
      </c>
      <c r="AR18" s="138"/>
      <c r="AS18" s="139"/>
      <c r="AT18" s="138"/>
      <c r="AU18" s="139"/>
      <c r="AV18" s="138"/>
      <c r="AW18" s="151"/>
      <c r="AX18" s="138"/>
      <c r="AY18" s="149"/>
      <c r="AZ18" s="138"/>
      <c r="BA18" s="149"/>
      <c r="BB18" s="138"/>
      <c r="BC18" s="149"/>
      <c r="BD18" s="138"/>
      <c r="BE18" s="149">
        <v>16000</v>
      </c>
      <c r="BF18" s="138"/>
      <c r="BG18" s="138"/>
      <c r="BH18" s="138"/>
      <c r="BI18" s="138"/>
      <c r="BJ18" s="138"/>
      <c r="BK18" s="138"/>
      <c r="BL18" s="149"/>
      <c r="BM18" s="185"/>
      <c r="BN18" s="184">
        <v>10000</v>
      </c>
      <c r="BO18" s="144">
        <v>1000</v>
      </c>
      <c r="BP18" s="144"/>
      <c r="BQ18" s="144"/>
      <c r="BR18" s="144"/>
      <c r="BS18" s="144"/>
      <c r="BT18" s="144"/>
      <c r="BU18" s="144"/>
      <c r="BV18" s="144"/>
      <c r="BW18" s="144">
        <v>5000</v>
      </c>
      <c r="BX18" s="144"/>
      <c r="BY18" s="144"/>
      <c r="BZ18" s="144">
        <v>1000</v>
      </c>
      <c r="CA18" s="144"/>
      <c r="CB18" s="144"/>
      <c r="CC18" s="144"/>
      <c r="CD18" s="144"/>
      <c r="CE18" s="145"/>
      <c r="CF18" s="138"/>
    </row>
    <row r="19" spans="1:84">
      <c r="A19" s="21">
        <f t="shared" si="0"/>
        <v>43905</v>
      </c>
      <c r="B19" s="203">
        <v>69000</v>
      </c>
      <c r="C19" s="199"/>
      <c r="D19" s="204">
        <f t="shared" si="1"/>
        <v>69000</v>
      </c>
      <c r="E19" s="205">
        <v>23782</v>
      </c>
      <c r="F19" s="203"/>
      <c r="G19" s="202">
        <v>3000</v>
      </c>
      <c r="H19" s="200">
        <f t="shared" si="2"/>
        <v>26782</v>
      </c>
      <c r="I19" s="35">
        <v>18</v>
      </c>
      <c r="J19" s="217">
        <f t="shared" si="3"/>
        <v>3833.3333333333335</v>
      </c>
      <c r="K19" s="29"/>
      <c r="L19" s="5"/>
      <c r="M19" s="572" t="s">
        <v>26</v>
      </c>
      <c r="N19" s="573"/>
      <c r="O19" s="6"/>
      <c r="P19" s="32">
        <f t="shared" si="4"/>
        <v>43905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43905</v>
      </c>
      <c r="AK19" s="35"/>
      <c r="AL19" s="138"/>
      <c r="AM19" s="139"/>
      <c r="AN19" s="138"/>
      <c r="AO19" s="139"/>
      <c r="AP19" s="138"/>
      <c r="AQ19" s="139">
        <v>10000</v>
      </c>
      <c r="AR19" s="138"/>
      <c r="AS19" s="139"/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>
        <v>7000</v>
      </c>
      <c r="BK19" s="138"/>
      <c r="BL19" s="149"/>
      <c r="BM19" s="146"/>
      <c r="BN19" s="18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5"/>
      <c r="CF19" s="138"/>
    </row>
    <row r="20" spans="1:84">
      <c r="A20" s="21">
        <f t="shared" si="0"/>
        <v>43906</v>
      </c>
      <c r="B20" s="203">
        <v>115000</v>
      </c>
      <c r="C20" s="203"/>
      <c r="D20" s="204">
        <f t="shared" si="1"/>
        <v>115000</v>
      </c>
      <c r="E20" s="205"/>
      <c r="F20" s="203"/>
      <c r="G20" s="202"/>
      <c r="H20" s="200">
        <f t="shared" si="2"/>
        <v>0</v>
      </c>
      <c r="I20" s="35"/>
      <c r="J20" s="217" t="str">
        <f t="shared" si="3"/>
        <v/>
      </c>
      <c r="K20" s="29"/>
      <c r="L20" s="5"/>
      <c r="M20" s="47" t="s">
        <v>27</v>
      </c>
      <c r="N20" s="518">
        <v>310000</v>
      </c>
      <c r="O20" s="6"/>
      <c r="P20" s="32">
        <f t="shared" si="4"/>
        <v>43906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43906</v>
      </c>
      <c r="AK20" s="35"/>
      <c r="AL20" s="138"/>
      <c r="AM20" s="139"/>
      <c r="AN20" s="138"/>
      <c r="AO20" s="139"/>
      <c r="AP20" s="138"/>
      <c r="AQ20" s="139"/>
      <c r="AR20" s="138"/>
      <c r="AS20" s="139">
        <v>52000</v>
      </c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>
        <v>3000</v>
      </c>
      <c r="BF20" s="138"/>
      <c r="BG20" s="138"/>
      <c r="BH20" s="138"/>
      <c r="BI20" s="138">
        <v>20000</v>
      </c>
      <c r="BJ20" s="138">
        <v>7000</v>
      </c>
      <c r="BK20" s="138"/>
      <c r="BL20" s="149"/>
      <c r="BM20" s="146"/>
      <c r="BN20" s="184"/>
      <c r="BO20" s="144"/>
      <c r="BP20" s="144">
        <v>33000</v>
      </c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5"/>
      <c r="CF20" s="138"/>
    </row>
    <row r="21" spans="1:84">
      <c r="A21" s="21">
        <f t="shared" si="0"/>
        <v>43907</v>
      </c>
      <c r="B21" s="203">
        <v>240000</v>
      </c>
      <c r="C21" s="203"/>
      <c r="D21" s="204">
        <f t="shared" si="1"/>
        <v>240000</v>
      </c>
      <c r="E21" s="205">
        <v>12428</v>
      </c>
      <c r="F21" s="203"/>
      <c r="G21" s="202"/>
      <c r="H21" s="200">
        <f t="shared" si="2"/>
        <v>12428</v>
      </c>
      <c r="I21" s="35">
        <v>4</v>
      </c>
      <c r="J21" s="217">
        <f t="shared" si="3"/>
        <v>60000</v>
      </c>
      <c r="K21" s="29"/>
      <c r="L21" s="5"/>
      <c r="M21" s="47" t="s">
        <v>28</v>
      </c>
      <c r="N21" s="519"/>
      <c r="O21" s="6"/>
      <c r="P21" s="32">
        <f t="shared" si="4"/>
        <v>43907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43907</v>
      </c>
      <c r="AK21" s="35"/>
      <c r="AL21" s="138"/>
      <c r="AM21" s="139"/>
      <c r="AN21" s="138"/>
      <c r="AO21" s="139"/>
      <c r="AP21" s="138"/>
      <c r="AQ21" s="139"/>
      <c r="AR21" s="138"/>
      <c r="AS21" s="139">
        <v>240000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/>
      <c r="BF21" s="138"/>
      <c r="BG21" s="138"/>
      <c r="BH21" s="138"/>
      <c r="BI21" s="138"/>
      <c r="BJ21" s="138"/>
      <c r="BK21" s="138"/>
      <c r="BL21" s="149"/>
      <c r="BM21" s="146"/>
      <c r="BN21" s="18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5"/>
      <c r="CF21" s="138"/>
    </row>
    <row r="22" spans="1:84">
      <c r="A22" s="21">
        <f t="shared" si="0"/>
        <v>43908</v>
      </c>
      <c r="B22" s="203">
        <v>87000</v>
      </c>
      <c r="C22" s="203"/>
      <c r="D22" s="204">
        <f t="shared" si="1"/>
        <v>87000</v>
      </c>
      <c r="E22" s="205">
        <v>21912</v>
      </c>
      <c r="F22" s="203">
        <v>6388</v>
      </c>
      <c r="G22" s="202"/>
      <c r="H22" s="200">
        <f t="shared" si="2"/>
        <v>28300</v>
      </c>
      <c r="I22" s="35">
        <v>23</v>
      </c>
      <c r="J22" s="217">
        <f t="shared" si="3"/>
        <v>3782.608695652174</v>
      </c>
      <c r="K22" s="29"/>
      <c r="L22" s="5"/>
      <c r="M22" s="47" t="s">
        <v>29</v>
      </c>
      <c r="N22" s="35">
        <v>7000</v>
      </c>
      <c r="O22" s="6"/>
      <c r="P22" s="32">
        <f t="shared" si="4"/>
        <v>43908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43908</v>
      </c>
      <c r="AK22" s="35"/>
      <c r="AL22" s="138"/>
      <c r="AM22" s="139">
        <v>2000</v>
      </c>
      <c r="AN22" s="138"/>
      <c r="AO22" s="139">
        <v>8000</v>
      </c>
      <c r="AP22" s="138"/>
      <c r="AQ22" s="139"/>
      <c r="AR22" s="138"/>
      <c r="AS22" s="153">
        <v>11000</v>
      </c>
      <c r="AT22" s="138"/>
      <c r="AU22" s="139"/>
      <c r="AV22" s="138"/>
      <c r="AW22" s="151">
        <v>9000</v>
      </c>
      <c r="AX22" s="138"/>
      <c r="AY22" s="139"/>
      <c r="AZ22" s="138"/>
      <c r="BA22" s="139"/>
      <c r="BB22" s="138"/>
      <c r="BC22" s="149"/>
      <c r="BD22" s="138"/>
      <c r="BE22" s="149"/>
      <c r="BF22" s="138"/>
      <c r="BG22" s="138"/>
      <c r="BH22" s="138"/>
      <c r="BI22" s="138"/>
      <c r="BJ22" s="138"/>
      <c r="BK22" s="138"/>
      <c r="BL22" s="149"/>
      <c r="BM22" s="146"/>
      <c r="BN22" s="18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5"/>
      <c r="CF22" s="138"/>
    </row>
    <row r="23" spans="1:84">
      <c r="A23" s="21">
        <f t="shared" si="0"/>
        <v>43909</v>
      </c>
      <c r="B23" s="203">
        <v>177500</v>
      </c>
      <c r="C23" s="203">
        <v>3000</v>
      </c>
      <c r="D23" s="204">
        <f t="shared" si="1"/>
        <v>180500</v>
      </c>
      <c r="E23" s="205"/>
      <c r="F23" s="203">
        <v>3938</v>
      </c>
      <c r="G23" s="202"/>
      <c r="H23" s="200">
        <f t="shared" si="2"/>
        <v>3938</v>
      </c>
      <c r="I23" s="192">
        <v>24</v>
      </c>
      <c r="J23" s="217">
        <f t="shared" si="3"/>
        <v>7395.833333333333</v>
      </c>
      <c r="K23" s="29"/>
      <c r="L23" s="5"/>
      <c r="M23" s="47" t="s">
        <v>31</v>
      </c>
      <c r="N23" s="35">
        <v>200000</v>
      </c>
      <c r="O23" s="6"/>
      <c r="P23" s="32">
        <f t="shared" si="4"/>
        <v>43909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43909</v>
      </c>
      <c r="AK23" s="35"/>
      <c r="AL23" s="138"/>
      <c r="AM23" s="139"/>
      <c r="AN23" s="138"/>
      <c r="AO23" s="139">
        <v>20000</v>
      </c>
      <c r="AP23" s="138"/>
      <c r="AQ23" s="139">
        <v>17000</v>
      </c>
      <c r="AR23" s="138"/>
      <c r="AS23" s="138">
        <v>42000</v>
      </c>
      <c r="AT23" s="138"/>
      <c r="AU23" s="139"/>
      <c r="AV23" s="138"/>
      <c r="AW23" s="151">
        <v>25000</v>
      </c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/>
      <c r="BK23" s="138"/>
      <c r="BL23" s="149"/>
      <c r="BM23" s="146"/>
      <c r="BN23" s="184">
        <v>15000</v>
      </c>
      <c r="BO23" s="144">
        <v>4000</v>
      </c>
      <c r="BP23" s="144"/>
      <c r="BQ23" s="144">
        <v>3000</v>
      </c>
      <c r="BR23" s="144">
        <v>4500</v>
      </c>
      <c r="BS23" s="144"/>
      <c r="BT23" s="144">
        <v>2000</v>
      </c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5"/>
      <c r="CF23" s="138"/>
    </row>
    <row r="24" spans="1:84">
      <c r="A24" s="21">
        <f t="shared" si="0"/>
        <v>43910</v>
      </c>
      <c r="B24" s="203">
        <v>76000</v>
      </c>
      <c r="C24" s="203">
        <v>32000</v>
      </c>
      <c r="D24" s="204">
        <f t="shared" si="1"/>
        <v>108000</v>
      </c>
      <c r="E24" s="205">
        <v>46755</v>
      </c>
      <c r="F24" s="203"/>
      <c r="G24" s="202"/>
      <c r="H24" s="200">
        <f t="shared" si="2"/>
        <v>46755</v>
      </c>
      <c r="I24" s="35">
        <v>15</v>
      </c>
      <c r="J24" s="217">
        <f t="shared" si="3"/>
        <v>5066.666666666667</v>
      </c>
      <c r="K24" s="29"/>
      <c r="L24" s="5"/>
      <c r="M24" s="47" t="s">
        <v>32</v>
      </c>
      <c r="N24" s="35">
        <v>35000</v>
      </c>
      <c r="O24" s="6"/>
      <c r="P24" s="32">
        <f t="shared" si="4"/>
        <v>43910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43910</v>
      </c>
      <c r="AK24" s="35"/>
      <c r="AL24" s="138"/>
      <c r="AM24" s="139">
        <v>13000</v>
      </c>
      <c r="AN24" s="138"/>
      <c r="AO24" s="139"/>
      <c r="AP24" s="138"/>
      <c r="AQ24" s="139">
        <v>50000</v>
      </c>
      <c r="AR24" s="138"/>
      <c r="AS24" s="139">
        <v>18000</v>
      </c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/>
      <c r="BF24" s="138"/>
      <c r="BG24" s="138"/>
      <c r="BH24" s="138"/>
      <c r="BI24" s="138"/>
      <c r="BJ24" s="138"/>
      <c r="BK24" s="138"/>
      <c r="BL24" s="149"/>
      <c r="BM24" s="149"/>
      <c r="BN24" s="185"/>
      <c r="BO24" s="144"/>
      <c r="BP24" s="144"/>
      <c r="BQ24" s="144"/>
      <c r="BR24" s="144"/>
      <c r="BS24" s="144">
        <v>27000</v>
      </c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5"/>
      <c r="CF24" s="138"/>
    </row>
    <row r="25" spans="1:84">
      <c r="A25" s="21">
        <f t="shared" si="0"/>
        <v>43911</v>
      </c>
      <c r="B25" s="203">
        <v>183000</v>
      </c>
      <c r="C25" s="203"/>
      <c r="D25" s="204">
        <f t="shared" si="1"/>
        <v>183000</v>
      </c>
      <c r="E25" s="205">
        <v>27153</v>
      </c>
      <c r="F25" s="203">
        <v>5482</v>
      </c>
      <c r="G25" s="202"/>
      <c r="H25" s="200">
        <f t="shared" si="2"/>
        <v>32635</v>
      </c>
      <c r="I25" s="35">
        <v>33</v>
      </c>
      <c r="J25" s="217">
        <f t="shared" si="3"/>
        <v>5545.454545454545</v>
      </c>
      <c r="K25" s="29"/>
      <c r="L25" s="5"/>
      <c r="M25" s="47" t="s">
        <v>80</v>
      </c>
      <c r="N25" s="35">
        <v>22700</v>
      </c>
      <c r="O25" s="6"/>
      <c r="P25" s="32">
        <f t="shared" si="4"/>
        <v>43911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43911</v>
      </c>
      <c r="AK25" s="35">
        <v>14000</v>
      </c>
      <c r="AL25" s="138"/>
      <c r="AM25" s="139"/>
      <c r="AN25" s="138"/>
      <c r="AO25" s="139">
        <v>18000</v>
      </c>
      <c r="AP25" s="138"/>
      <c r="AQ25" s="139">
        <v>8000</v>
      </c>
      <c r="AR25" s="138"/>
      <c r="AS25" s="139">
        <v>33000</v>
      </c>
      <c r="AT25" s="138"/>
      <c r="AU25" s="139"/>
      <c r="AV25" s="138"/>
      <c r="AW25" s="151"/>
      <c r="AX25" s="138"/>
      <c r="AY25" s="149"/>
      <c r="AZ25" s="138"/>
      <c r="BA25" s="149">
        <v>10000</v>
      </c>
      <c r="BB25" s="138"/>
      <c r="BC25" s="149">
        <v>9000</v>
      </c>
      <c r="BD25" s="138"/>
      <c r="BE25" s="149"/>
      <c r="BF25" s="138"/>
      <c r="BG25" s="138"/>
      <c r="BH25" s="138"/>
      <c r="BI25" s="138"/>
      <c r="BJ25" s="138"/>
      <c r="BK25" s="138"/>
      <c r="BL25" s="149"/>
      <c r="BM25" s="149"/>
      <c r="BN25" s="146"/>
      <c r="BO25" s="144">
        <v>2000</v>
      </c>
      <c r="BP25" s="144"/>
      <c r="BQ25" s="144"/>
      <c r="BR25" s="144"/>
      <c r="BS25" s="144"/>
      <c r="BT25" s="144"/>
      <c r="BU25" s="144">
        <v>15000</v>
      </c>
      <c r="BV25" s="144">
        <v>14000</v>
      </c>
      <c r="BW25" s="144"/>
      <c r="BX25" s="144"/>
      <c r="BY25" s="144"/>
      <c r="BZ25" s="144"/>
      <c r="CA25" s="144"/>
      <c r="CB25" s="144"/>
      <c r="CC25" s="144"/>
      <c r="CD25" s="144"/>
      <c r="CE25" s="145"/>
      <c r="CF25" s="138"/>
    </row>
    <row r="26" spans="1:84">
      <c r="A26" s="21">
        <f t="shared" si="0"/>
        <v>43912</v>
      </c>
      <c r="B26" s="203">
        <v>7000</v>
      </c>
      <c r="C26" s="203"/>
      <c r="D26" s="204">
        <f t="shared" si="1"/>
        <v>7000</v>
      </c>
      <c r="E26" s="205">
        <v>875</v>
      </c>
      <c r="F26" s="203">
        <v>327</v>
      </c>
      <c r="G26" s="202"/>
      <c r="H26" s="200">
        <f t="shared" si="2"/>
        <v>1202</v>
      </c>
      <c r="I26" s="35">
        <v>2</v>
      </c>
      <c r="J26" s="217">
        <f t="shared" si="3"/>
        <v>3500</v>
      </c>
      <c r="K26" s="29"/>
      <c r="L26" s="5"/>
      <c r="M26" s="47"/>
      <c r="N26" s="35"/>
      <c r="O26" s="7"/>
      <c r="P26" s="32">
        <f t="shared" si="4"/>
        <v>43912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43912</v>
      </c>
      <c r="AK26" s="35"/>
      <c r="AL26" s="138"/>
      <c r="AM26" s="139"/>
      <c r="AN26" s="138"/>
      <c r="AO26" s="139"/>
      <c r="AP26" s="138"/>
      <c r="AQ26" s="139">
        <v>5000</v>
      </c>
      <c r="AR26" s="138"/>
      <c r="AS26" s="139"/>
      <c r="AT26" s="138"/>
      <c r="AU26" s="139"/>
      <c r="AV26" s="138"/>
      <c r="AW26" s="151"/>
      <c r="AX26" s="138"/>
      <c r="AY26" s="149"/>
      <c r="AZ26" s="138"/>
      <c r="BA26" s="149"/>
      <c r="BB26" s="138"/>
      <c r="BC26" s="149">
        <v>2000</v>
      </c>
      <c r="BD26" s="138"/>
      <c r="BE26" s="149"/>
      <c r="BF26" s="138"/>
      <c r="BG26" s="138"/>
      <c r="BH26" s="138"/>
      <c r="BI26" s="138"/>
      <c r="BJ26" s="138"/>
      <c r="BK26" s="138"/>
      <c r="BL26" s="149"/>
      <c r="BM26" s="149"/>
      <c r="BN26" s="146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5"/>
      <c r="CF26" s="138"/>
    </row>
    <row r="27" spans="1:84">
      <c r="A27" s="21">
        <f t="shared" si="0"/>
        <v>43913</v>
      </c>
      <c r="B27" s="203">
        <v>91500</v>
      </c>
      <c r="C27" s="203">
        <v>68000</v>
      </c>
      <c r="D27" s="204">
        <f t="shared" si="1"/>
        <v>159500</v>
      </c>
      <c r="E27" s="205">
        <v>128337</v>
      </c>
      <c r="F27" s="203">
        <v>3994</v>
      </c>
      <c r="G27" s="202"/>
      <c r="H27" s="200">
        <f t="shared" si="2"/>
        <v>132331</v>
      </c>
      <c r="I27" s="35">
        <v>17</v>
      </c>
      <c r="J27" s="217">
        <f t="shared" si="3"/>
        <v>5382.3529411764703</v>
      </c>
      <c r="K27" s="29"/>
      <c r="L27" s="5"/>
      <c r="M27" s="49" t="s">
        <v>33</v>
      </c>
      <c r="N27" s="50">
        <f>SUM(N20:N26)</f>
        <v>574700</v>
      </c>
      <c r="O27" s="7"/>
      <c r="P27" s="32">
        <f t="shared" si="4"/>
        <v>43913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43913</v>
      </c>
      <c r="AK27" s="35"/>
      <c r="AL27" s="138"/>
      <c r="AM27" s="139"/>
      <c r="AN27" s="138"/>
      <c r="AO27" s="139">
        <v>5000</v>
      </c>
      <c r="AP27" s="138"/>
      <c r="AQ27" s="139">
        <v>11000</v>
      </c>
      <c r="AR27" s="138"/>
      <c r="AS27" s="139">
        <v>63000</v>
      </c>
      <c r="AT27" s="138">
        <v>40000</v>
      </c>
      <c r="AU27" s="139"/>
      <c r="AV27" s="138"/>
      <c r="AW27" s="151"/>
      <c r="AX27" s="138"/>
      <c r="AY27" s="149"/>
      <c r="AZ27" s="138"/>
      <c r="BA27" s="149"/>
      <c r="BB27" s="138"/>
      <c r="BC27" s="149">
        <v>7000</v>
      </c>
      <c r="BD27" s="138"/>
      <c r="BE27" s="149"/>
      <c r="BF27" s="138"/>
      <c r="BG27" s="138"/>
      <c r="BH27" s="138"/>
      <c r="BI27" s="138"/>
      <c r="BJ27" s="138"/>
      <c r="BK27" s="138"/>
      <c r="BL27" s="149"/>
      <c r="BM27" s="149"/>
      <c r="BN27" s="146"/>
      <c r="BO27" s="144">
        <v>4000</v>
      </c>
      <c r="BP27" s="144"/>
      <c r="BQ27" s="144"/>
      <c r="BR27" s="144"/>
      <c r="BS27" s="144"/>
      <c r="BT27" s="144"/>
      <c r="BU27" s="144"/>
      <c r="BV27" s="144"/>
      <c r="BW27" s="144"/>
      <c r="BX27" s="144">
        <v>4500</v>
      </c>
      <c r="BY27" s="144"/>
      <c r="BZ27" s="144"/>
      <c r="CA27" s="144"/>
      <c r="CB27" s="144"/>
      <c r="CC27" s="144"/>
      <c r="CD27" s="144">
        <v>1000</v>
      </c>
      <c r="CE27" s="145"/>
      <c r="CF27" s="138"/>
    </row>
    <row r="28" spans="1:84">
      <c r="A28" s="21">
        <f t="shared" si="0"/>
        <v>43914</v>
      </c>
      <c r="B28" s="203">
        <v>5000</v>
      </c>
      <c r="C28" s="203"/>
      <c r="D28" s="204">
        <f t="shared" si="1"/>
        <v>5000</v>
      </c>
      <c r="E28" s="205"/>
      <c r="F28" s="203"/>
      <c r="G28" s="202"/>
      <c r="H28" s="200">
        <f t="shared" si="2"/>
        <v>0</v>
      </c>
      <c r="I28" s="35"/>
      <c r="J28" s="217" t="str">
        <f t="shared" si="3"/>
        <v/>
      </c>
      <c r="K28" s="29"/>
      <c r="L28" s="5"/>
      <c r="M28" s="51"/>
      <c r="N28" s="7"/>
      <c r="O28" s="7"/>
      <c r="P28" s="32">
        <f t="shared" si="4"/>
        <v>43914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43914</v>
      </c>
      <c r="AK28" s="35"/>
      <c r="AL28" s="138"/>
      <c r="AM28" s="139"/>
      <c r="AN28" s="138"/>
      <c r="AO28" s="139"/>
      <c r="AP28" s="138"/>
      <c r="AQ28" s="139"/>
      <c r="AR28" s="138"/>
      <c r="AS28" s="139"/>
      <c r="AT28" s="138"/>
      <c r="AU28" s="139"/>
      <c r="AV28" s="138"/>
      <c r="AW28" s="151"/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38"/>
      <c r="BL28" s="149"/>
      <c r="BM28" s="149"/>
      <c r="BN28" s="146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5"/>
      <c r="CF28" s="138"/>
    </row>
    <row r="29" spans="1:84">
      <c r="A29" s="21">
        <f t="shared" si="0"/>
        <v>43915</v>
      </c>
      <c r="B29" s="203">
        <v>164000</v>
      </c>
      <c r="C29" s="203"/>
      <c r="D29" s="204">
        <f t="shared" si="1"/>
        <v>164000</v>
      </c>
      <c r="E29" s="205">
        <v>5912</v>
      </c>
      <c r="F29" s="203">
        <v>1419</v>
      </c>
      <c r="G29" s="202"/>
      <c r="H29" s="200">
        <f t="shared" si="2"/>
        <v>7331</v>
      </c>
      <c r="I29" s="35">
        <v>28</v>
      </c>
      <c r="J29" s="217">
        <f t="shared" si="3"/>
        <v>5857.1428571428569</v>
      </c>
      <c r="K29" s="29"/>
      <c r="L29" s="5"/>
      <c r="M29" s="45"/>
      <c r="N29" s="7"/>
      <c r="O29" s="7"/>
      <c r="P29" s="32">
        <f t="shared" si="4"/>
        <v>43915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43915</v>
      </c>
      <c r="AK29" s="35"/>
      <c r="AL29" s="138"/>
      <c r="AM29" s="139"/>
      <c r="AN29" s="138"/>
      <c r="AO29" s="139">
        <v>34000</v>
      </c>
      <c r="AP29" s="138"/>
      <c r="AQ29" s="139">
        <v>52000</v>
      </c>
      <c r="AR29" s="138"/>
      <c r="AS29" s="139">
        <v>59000</v>
      </c>
      <c r="AT29" s="138"/>
      <c r="AU29" s="139"/>
      <c r="AV29" s="138"/>
      <c r="AW29" s="151"/>
      <c r="AX29" s="138"/>
      <c r="AY29" s="149"/>
      <c r="AZ29" s="138"/>
      <c r="BA29" s="149"/>
      <c r="BB29" s="138"/>
      <c r="BC29" s="149">
        <v>7000</v>
      </c>
      <c r="BD29" s="138"/>
      <c r="BE29" s="149"/>
      <c r="BF29" s="138"/>
      <c r="BG29" s="138"/>
      <c r="BH29" s="138"/>
      <c r="BI29" s="138"/>
      <c r="BJ29" s="138">
        <v>10000</v>
      </c>
      <c r="BK29" s="138"/>
      <c r="BL29" s="149"/>
      <c r="BM29" s="149"/>
      <c r="BN29" s="146"/>
      <c r="BO29" s="144">
        <v>2000</v>
      </c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5"/>
      <c r="CF29" s="138"/>
    </row>
    <row r="30" spans="1:84">
      <c r="A30" s="21">
        <f t="shared" si="0"/>
        <v>43916</v>
      </c>
      <c r="B30" s="203">
        <v>172000</v>
      </c>
      <c r="C30" s="203"/>
      <c r="D30" s="204">
        <f t="shared" si="1"/>
        <v>172000</v>
      </c>
      <c r="E30" s="205">
        <v>12068</v>
      </c>
      <c r="F30" s="203">
        <v>1038</v>
      </c>
      <c r="G30" s="202"/>
      <c r="H30" s="200">
        <f t="shared" si="2"/>
        <v>13106</v>
      </c>
      <c r="I30" s="35">
        <v>34</v>
      </c>
      <c r="J30" s="217">
        <f t="shared" si="3"/>
        <v>5058.8235294117649</v>
      </c>
      <c r="K30" s="29"/>
      <c r="L30" s="5"/>
      <c r="M30" s="45"/>
      <c r="N30" s="52"/>
      <c r="O30" s="7"/>
      <c r="P30" s="32">
        <f t="shared" si="4"/>
        <v>43916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43916</v>
      </c>
      <c r="AK30" s="35"/>
      <c r="AL30" s="138"/>
      <c r="AM30" s="139"/>
      <c r="AN30" s="138"/>
      <c r="AO30" s="139">
        <v>32000</v>
      </c>
      <c r="AP30" s="138"/>
      <c r="AQ30" s="139">
        <v>8000</v>
      </c>
      <c r="AR30" s="138"/>
      <c r="AS30" s="139">
        <v>95000</v>
      </c>
      <c r="AT30" s="138"/>
      <c r="AU30" s="139"/>
      <c r="AV30" s="138"/>
      <c r="AW30" s="151"/>
      <c r="AX30" s="138"/>
      <c r="AY30" s="149">
        <v>10000</v>
      </c>
      <c r="AZ30" s="138">
        <v>25000</v>
      </c>
      <c r="BA30" s="149"/>
      <c r="BB30" s="138"/>
      <c r="BC30" s="149"/>
      <c r="BD30" s="138"/>
      <c r="BE30" s="149"/>
      <c r="BF30" s="138"/>
      <c r="BG30" s="138"/>
      <c r="BH30" s="138"/>
      <c r="BI30" s="138"/>
      <c r="BJ30" s="138"/>
      <c r="BK30" s="138"/>
      <c r="BL30" s="149"/>
      <c r="BM30" s="149"/>
      <c r="BN30" s="146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>
        <v>2000</v>
      </c>
      <c r="BZ30" s="144"/>
      <c r="CA30" s="144"/>
      <c r="CB30" s="144"/>
      <c r="CC30" s="144"/>
      <c r="CD30" s="144"/>
      <c r="CE30" s="145"/>
      <c r="CF30" s="138"/>
    </row>
    <row r="31" spans="1:84">
      <c r="A31" s="21">
        <f t="shared" si="0"/>
        <v>43917</v>
      </c>
      <c r="B31" s="203">
        <v>141000</v>
      </c>
      <c r="C31" s="203">
        <v>25000</v>
      </c>
      <c r="D31" s="204">
        <f t="shared" si="1"/>
        <v>166000</v>
      </c>
      <c r="E31" s="205"/>
      <c r="F31" s="203">
        <v>4414</v>
      </c>
      <c r="G31" s="202"/>
      <c r="H31" s="200">
        <f t="shared" si="2"/>
        <v>4414</v>
      </c>
      <c r="I31" s="35">
        <v>24</v>
      </c>
      <c r="J31" s="217">
        <f t="shared" si="3"/>
        <v>5875</v>
      </c>
      <c r="K31" s="29"/>
      <c r="L31" s="5"/>
      <c r="M31" s="53" t="s">
        <v>34</v>
      </c>
      <c r="N31" s="38">
        <f>D37</f>
        <v>3057550</v>
      </c>
      <c r="O31" s="6"/>
      <c r="P31" s="32">
        <f t="shared" si="4"/>
        <v>43917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43917</v>
      </c>
      <c r="AK31" s="35"/>
      <c r="AL31" s="138"/>
      <c r="AM31" s="139"/>
      <c r="AN31" s="138"/>
      <c r="AO31" s="139">
        <v>69000</v>
      </c>
      <c r="AP31" s="138"/>
      <c r="AQ31" s="139">
        <v>13000</v>
      </c>
      <c r="AR31" s="138"/>
      <c r="AS31" s="139"/>
      <c r="AT31" s="138"/>
      <c r="AU31" s="139"/>
      <c r="AV31" s="138"/>
      <c r="AW31" s="151"/>
      <c r="AX31" s="138"/>
      <c r="AY31" s="149"/>
      <c r="AZ31" s="138"/>
      <c r="BA31" s="149"/>
      <c r="BB31" s="138"/>
      <c r="BC31" s="149">
        <v>10000</v>
      </c>
      <c r="BD31" s="138"/>
      <c r="BE31" s="149"/>
      <c r="BF31" s="138"/>
      <c r="BG31" s="138"/>
      <c r="BH31" s="138"/>
      <c r="BI31" s="138"/>
      <c r="BJ31" s="138"/>
      <c r="BK31" s="138"/>
      <c r="BL31" s="149"/>
      <c r="BM31" s="149">
        <v>7000</v>
      </c>
      <c r="BN31" s="146"/>
      <c r="BO31" s="144"/>
      <c r="BP31" s="187"/>
      <c r="BQ31" s="187"/>
      <c r="BR31" s="187"/>
      <c r="BS31" s="187"/>
      <c r="BT31" s="187"/>
      <c r="BU31" s="187"/>
      <c r="BV31" s="187"/>
      <c r="BW31" s="187"/>
      <c r="BX31" s="144"/>
      <c r="BY31" s="144">
        <v>3000</v>
      </c>
      <c r="BZ31" s="144"/>
      <c r="CA31" s="144"/>
      <c r="CB31" s="144">
        <v>2000</v>
      </c>
      <c r="CC31" s="144"/>
      <c r="CD31" s="144"/>
      <c r="CE31" s="175"/>
      <c r="CF31" s="138"/>
    </row>
    <row r="32" spans="1:84">
      <c r="A32" s="21">
        <f t="shared" si="0"/>
        <v>43918</v>
      </c>
      <c r="B32" s="203">
        <v>111000</v>
      </c>
      <c r="C32" s="203"/>
      <c r="D32" s="204">
        <f t="shared" si="1"/>
        <v>111000</v>
      </c>
      <c r="E32" s="205">
        <v>9110</v>
      </c>
      <c r="F32" s="203"/>
      <c r="G32" s="202"/>
      <c r="H32" s="200">
        <f t="shared" si="2"/>
        <v>9110</v>
      </c>
      <c r="I32" s="35">
        <v>37</v>
      </c>
      <c r="J32" s="217">
        <f t="shared" si="3"/>
        <v>3000</v>
      </c>
      <c r="K32" s="29"/>
      <c r="L32" s="5"/>
      <c r="M32" s="53" t="s">
        <v>35</v>
      </c>
      <c r="N32" s="38">
        <f>H37</f>
        <v>547310</v>
      </c>
      <c r="O32" s="6"/>
      <c r="P32" s="32">
        <f t="shared" si="4"/>
        <v>43918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34">
        <f t="shared" si="5"/>
        <v>43918</v>
      </c>
      <c r="AK32" s="56"/>
      <c r="AL32" s="138"/>
      <c r="AM32" s="139"/>
      <c r="AN32" s="138"/>
      <c r="AO32" s="139">
        <v>21000</v>
      </c>
      <c r="AP32" s="138"/>
      <c r="AQ32" s="139"/>
      <c r="AR32" s="138"/>
      <c r="AS32" s="139">
        <v>35000</v>
      </c>
      <c r="AT32" s="138"/>
      <c r="AU32" s="139"/>
      <c r="AV32" s="138"/>
      <c r="AW32" s="151"/>
      <c r="AX32" s="138"/>
      <c r="AY32" s="149"/>
      <c r="AZ32" s="138"/>
      <c r="BA32" s="149"/>
      <c r="BB32" s="138"/>
      <c r="BC32" s="149">
        <v>11000</v>
      </c>
      <c r="BD32" s="138"/>
      <c r="BE32" s="149"/>
      <c r="BF32" s="138"/>
      <c r="BG32" s="138"/>
      <c r="BH32" s="138"/>
      <c r="BI32" s="138"/>
      <c r="BJ32" s="138"/>
      <c r="BK32" s="138"/>
      <c r="BL32" s="149"/>
      <c r="BM32" s="149"/>
      <c r="BN32" s="146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>
        <v>8000</v>
      </c>
      <c r="CB32" s="144"/>
      <c r="CC32" s="144">
        <v>4000</v>
      </c>
      <c r="CD32" s="144"/>
      <c r="CE32" s="161"/>
      <c r="CF32" s="166"/>
    </row>
    <row r="33" spans="1:84">
      <c r="A33" s="21">
        <f t="shared" si="0"/>
        <v>43919</v>
      </c>
      <c r="B33" s="203">
        <v>99000</v>
      </c>
      <c r="C33" s="203"/>
      <c r="D33" s="204">
        <f t="shared" si="1"/>
        <v>99000</v>
      </c>
      <c r="E33" s="205">
        <v>10362</v>
      </c>
      <c r="F33" s="203"/>
      <c r="G33" s="202"/>
      <c r="H33" s="200">
        <f t="shared" si="2"/>
        <v>10362</v>
      </c>
      <c r="I33" s="193">
        <v>19</v>
      </c>
      <c r="J33" s="218">
        <f t="shared" si="3"/>
        <v>5210.5263157894733</v>
      </c>
      <c r="K33" s="194"/>
      <c r="L33" s="5"/>
      <c r="M33" s="53" t="s">
        <v>36</v>
      </c>
      <c r="N33" s="38">
        <f>N27</f>
        <v>574700</v>
      </c>
      <c r="O33" s="6"/>
      <c r="P33" s="32">
        <f t="shared" si="4"/>
        <v>43919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34">
        <f t="shared" si="5"/>
        <v>43919</v>
      </c>
      <c r="AK33" s="137"/>
      <c r="AL33" s="154"/>
      <c r="AM33" s="155"/>
      <c r="AN33" s="154"/>
      <c r="AO33" s="155">
        <v>50000</v>
      </c>
      <c r="AP33" s="154"/>
      <c r="AQ33" s="155">
        <v>6000</v>
      </c>
      <c r="AR33" s="154"/>
      <c r="AS33" s="155">
        <v>12000</v>
      </c>
      <c r="AT33" s="154"/>
      <c r="AU33" s="155"/>
      <c r="AV33" s="154"/>
      <c r="AW33" s="156">
        <v>11000</v>
      </c>
      <c r="AX33" s="154"/>
      <c r="AY33" s="157"/>
      <c r="AZ33" s="154"/>
      <c r="BA33" s="157"/>
      <c r="BB33" s="154"/>
      <c r="BC33" s="157"/>
      <c r="BD33" s="154"/>
      <c r="BE33" s="157"/>
      <c r="BF33" s="154"/>
      <c r="BG33" s="154"/>
      <c r="BH33" s="154"/>
      <c r="BI33" s="154"/>
      <c r="BJ33" s="154"/>
      <c r="BK33" s="154"/>
      <c r="BL33" s="157"/>
      <c r="BM33" s="157"/>
      <c r="BN33" s="170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>
        <v>20000</v>
      </c>
      <c r="CD33" s="144"/>
      <c r="CE33" s="144"/>
      <c r="CF33" s="186"/>
    </row>
    <row r="34" spans="1:84" ht="21" customHeight="1">
      <c r="A34" s="21">
        <f t="shared" si="0"/>
        <v>43920</v>
      </c>
      <c r="B34" s="203">
        <v>0</v>
      </c>
      <c r="C34" s="203"/>
      <c r="D34" s="204">
        <f t="shared" si="1"/>
        <v>0</v>
      </c>
      <c r="E34" s="205"/>
      <c r="F34" s="203"/>
      <c r="G34" s="202"/>
      <c r="H34" s="200">
        <f t="shared" si="2"/>
        <v>0</v>
      </c>
      <c r="I34" s="115"/>
      <c r="J34" s="220" t="str">
        <f t="shared" si="3"/>
        <v/>
      </c>
      <c r="K34" s="222"/>
      <c r="L34" s="5"/>
      <c r="M34" s="60" t="s">
        <v>37</v>
      </c>
      <c r="N34" s="61">
        <f>IFERROR(N31-N32-N33, "")</f>
        <v>1935540</v>
      </c>
      <c r="O34" s="6"/>
      <c r="P34" s="32">
        <f t="shared" si="4"/>
        <v>43920</v>
      </c>
      <c r="Q34" s="42"/>
      <c r="R34" s="33"/>
      <c r="S34" s="229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34">
        <f t="shared" si="5"/>
        <v>43920</v>
      </c>
      <c r="AK34" s="115"/>
      <c r="AL34" s="158"/>
      <c r="AM34" s="147"/>
      <c r="AN34" s="158"/>
      <c r="AO34" s="147"/>
      <c r="AP34" s="158"/>
      <c r="AQ34" s="147"/>
      <c r="AR34" s="158"/>
      <c r="AS34" s="147"/>
      <c r="AT34" s="158"/>
      <c r="AU34" s="147"/>
      <c r="AV34" s="158"/>
      <c r="AW34" s="147"/>
      <c r="AX34" s="158"/>
      <c r="AY34" s="147"/>
      <c r="AZ34" s="158"/>
      <c r="BA34" s="147"/>
      <c r="BB34" s="158"/>
      <c r="BC34" s="147"/>
      <c r="BD34" s="158"/>
      <c r="BE34" s="147"/>
      <c r="BF34" s="158"/>
      <c r="BG34" s="158"/>
      <c r="BH34" s="158"/>
      <c r="BI34" s="158"/>
      <c r="BJ34" s="158"/>
      <c r="BK34" s="158"/>
      <c r="BL34" s="147"/>
      <c r="BM34" s="147"/>
      <c r="BN34" s="171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72"/>
    </row>
    <row r="35" spans="1:84" s="1" customFormat="1" ht="21" customHeight="1" thickBot="1">
      <c r="A35" s="21">
        <f t="shared" si="0"/>
        <v>43921</v>
      </c>
      <c r="B35" s="207">
        <v>6000</v>
      </c>
      <c r="C35" s="207"/>
      <c r="D35" s="208"/>
      <c r="E35" s="209">
        <v>20637</v>
      </c>
      <c r="F35" s="207"/>
      <c r="G35" s="210"/>
      <c r="H35" s="200">
        <f t="shared" si="2"/>
        <v>20637</v>
      </c>
      <c r="I35" s="219"/>
      <c r="J35" s="221"/>
      <c r="K35" s="223"/>
      <c r="L35" s="5"/>
      <c r="M35" s="196"/>
      <c r="N35" s="197"/>
      <c r="O35" s="6"/>
      <c r="P35" s="32">
        <f t="shared" si="4"/>
        <v>43921</v>
      </c>
      <c r="Q35" s="198"/>
      <c r="R35" s="195"/>
      <c r="S35" s="231"/>
      <c r="T35" s="230"/>
      <c r="U35" s="195"/>
      <c r="V35" s="232"/>
      <c r="W35" s="198"/>
      <c r="X35" s="195"/>
      <c r="Y35" s="232"/>
      <c r="Z35" s="198"/>
      <c r="AA35" s="195"/>
      <c r="AB35" s="232"/>
      <c r="AC35" s="198"/>
      <c r="AD35" s="195"/>
      <c r="AE35" s="232"/>
      <c r="AF35" s="198"/>
      <c r="AG35" s="195"/>
      <c r="AH35" s="232"/>
      <c r="AI35" s="80"/>
      <c r="AJ35" s="235">
        <f t="shared" si="5"/>
        <v>43921</v>
      </c>
      <c r="AK35" s="236"/>
      <c r="AL35" s="237"/>
      <c r="AM35" s="238"/>
      <c r="AN35" s="237"/>
      <c r="AO35" s="238"/>
      <c r="AP35" s="237"/>
      <c r="AQ35" s="238"/>
      <c r="AR35" s="237"/>
      <c r="AS35" s="238"/>
      <c r="AT35" s="237"/>
      <c r="AU35" s="238"/>
      <c r="AV35" s="237"/>
      <c r="AW35" s="238"/>
      <c r="AX35" s="237"/>
      <c r="AY35" s="238"/>
      <c r="AZ35" s="237"/>
      <c r="BA35" s="238"/>
      <c r="BB35" s="237"/>
      <c r="BC35" s="238"/>
      <c r="BD35" s="237"/>
      <c r="BE35" s="238"/>
      <c r="BF35" s="237"/>
      <c r="BG35" s="237"/>
      <c r="BH35" s="237"/>
      <c r="BI35" s="237"/>
      <c r="BJ35" s="237"/>
      <c r="BK35" s="237"/>
      <c r="BL35" s="238"/>
      <c r="BM35" s="238"/>
      <c r="BN35" s="239"/>
      <c r="BO35" s="239"/>
      <c r="BP35" s="239"/>
      <c r="BQ35" s="239"/>
      <c r="BR35" s="239"/>
      <c r="BS35" s="239"/>
      <c r="BT35" s="239"/>
      <c r="BU35" s="239"/>
      <c r="BV35" s="239"/>
      <c r="BW35" s="238"/>
      <c r="BX35" s="238"/>
      <c r="BY35" s="238"/>
      <c r="BZ35" s="238"/>
      <c r="CA35" s="238"/>
      <c r="CB35" s="238"/>
      <c r="CC35" s="238"/>
      <c r="CD35" s="238"/>
      <c r="CE35" s="238"/>
      <c r="CF35" s="240"/>
    </row>
    <row r="36" spans="1:84" ht="22" thickTop="1" thickBot="1">
      <c r="A36" s="65"/>
      <c r="B36" s="211" t="s">
        <v>38</v>
      </c>
      <c r="C36" s="211" t="s">
        <v>39</v>
      </c>
      <c r="D36" s="212" t="s">
        <v>34</v>
      </c>
      <c r="E36" s="213" t="s">
        <v>40</v>
      </c>
      <c r="F36" s="211" t="s">
        <v>16</v>
      </c>
      <c r="G36" s="212" t="s">
        <v>5</v>
      </c>
      <c r="H36" s="214" t="s">
        <v>41</v>
      </c>
      <c r="I36" s="72" t="s">
        <v>42</v>
      </c>
      <c r="J36" s="225" t="s">
        <v>43</v>
      </c>
      <c r="K36" s="226"/>
      <c r="L36" s="5"/>
      <c r="M36" s="74"/>
      <c r="N36" s="75"/>
      <c r="O36" s="7"/>
      <c r="P36" s="557"/>
      <c r="Q36" s="76" t="s">
        <v>44</v>
      </c>
      <c r="R36" s="241"/>
      <c r="S36" s="242"/>
      <c r="T36" s="76" t="s">
        <v>44</v>
      </c>
      <c r="U36" s="241"/>
      <c r="V36" s="245"/>
      <c r="W36" s="76" t="s">
        <v>44</v>
      </c>
      <c r="X36" s="241"/>
      <c r="Y36" s="245"/>
      <c r="Z36" s="76" t="s">
        <v>44</v>
      </c>
      <c r="AA36" s="241"/>
      <c r="AB36" s="245"/>
      <c r="AC36" s="76" t="s">
        <v>44</v>
      </c>
      <c r="AD36" s="241"/>
      <c r="AE36" s="245"/>
      <c r="AF36" s="76" t="s">
        <v>44</v>
      </c>
      <c r="AG36" s="241"/>
      <c r="AH36" s="245"/>
      <c r="AI36" s="80"/>
      <c r="AJ36" s="233" t="s">
        <v>169</v>
      </c>
      <c r="AK36" s="234">
        <f>SUM(AK5:AK35)</f>
        <v>19000</v>
      </c>
      <c r="AL36" s="234">
        <f t="shared" ref="AL36:CF36" si="6">SUM(AL5:AL35)</f>
        <v>0</v>
      </c>
      <c r="AM36" s="234">
        <f t="shared" si="6"/>
        <v>15000</v>
      </c>
      <c r="AN36" s="234">
        <f t="shared" si="6"/>
        <v>0</v>
      </c>
      <c r="AO36" s="234">
        <f t="shared" si="6"/>
        <v>553500</v>
      </c>
      <c r="AP36" s="234">
        <f t="shared" si="6"/>
        <v>50000</v>
      </c>
      <c r="AQ36" s="234">
        <f t="shared" si="6"/>
        <v>321000</v>
      </c>
      <c r="AR36" s="234">
        <f t="shared" si="6"/>
        <v>25000</v>
      </c>
      <c r="AS36" s="234">
        <f t="shared" si="6"/>
        <v>987500</v>
      </c>
      <c r="AT36" s="234">
        <f t="shared" si="6"/>
        <v>40000</v>
      </c>
      <c r="AU36" s="234">
        <f t="shared" si="6"/>
        <v>17000</v>
      </c>
      <c r="AV36" s="234">
        <f t="shared" si="6"/>
        <v>0</v>
      </c>
      <c r="AW36" s="234">
        <f t="shared" si="6"/>
        <v>70550</v>
      </c>
      <c r="AX36" s="234">
        <f t="shared" si="6"/>
        <v>0</v>
      </c>
      <c r="AY36" s="234">
        <f t="shared" si="6"/>
        <v>10000</v>
      </c>
      <c r="AZ36" s="234">
        <f t="shared" si="6"/>
        <v>25000</v>
      </c>
      <c r="BA36" s="234">
        <f t="shared" si="6"/>
        <v>27000</v>
      </c>
      <c r="BB36" s="234">
        <f t="shared" si="6"/>
        <v>0</v>
      </c>
      <c r="BC36" s="234">
        <f t="shared" si="6"/>
        <v>69500</v>
      </c>
      <c r="BD36" s="234">
        <f t="shared" si="6"/>
        <v>0</v>
      </c>
      <c r="BE36" s="234">
        <f t="shared" si="6"/>
        <v>30000</v>
      </c>
      <c r="BF36" s="234">
        <f t="shared" si="6"/>
        <v>0</v>
      </c>
      <c r="BG36" s="234">
        <f t="shared" si="6"/>
        <v>1000</v>
      </c>
      <c r="BH36" s="234">
        <f t="shared" si="6"/>
        <v>7000</v>
      </c>
      <c r="BI36" s="234">
        <f t="shared" si="6"/>
        <v>23000</v>
      </c>
      <c r="BJ36" s="234">
        <f t="shared" si="6"/>
        <v>29500</v>
      </c>
      <c r="BK36" s="234">
        <f t="shared" si="6"/>
        <v>9000</v>
      </c>
      <c r="BL36" s="234">
        <f t="shared" si="6"/>
        <v>3000</v>
      </c>
      <c r="BM36" s="234">
        <f t="shared" si="6"/>
        <v>24000</v>
      </c>
      <c r="BN36" s="234">
        <f t="shared" si="6"/>
        <v>25000</v>
      </c>
      <c r="BO36" s="234">
        <f t="shared" si="6"/>
        <v>13000</v>
      </c>
      <c r="BP36" s="234">
        <f t="shared" si="6"/>
        <v>33000</v>
      </c>
      <c r="BQ36" s="234">
        <f t="shared" si="6"/>
        <v>3000</v>
      </c>
      <c r="BR36" s="234">
        <f t="shared" si="6"/>
        <v>4500</v>
      </c>
      <c r="BS36" s="234">
        <f t="shared" si="6"/>
        <v>27000</v>
      </c>
      <c r="BT36" s="234">
        <f t="shared" si="6"/>
        <v>2000</v>
      </c>
      <c r="BU36" s="234">
        <f t="shared" si="6"/>
        <v>15000</v>
      </c>
      <c r="BV36" s="234">
        <f t="shared" si="6"/>
        <v>14000</v>
      </c>
      <c r="BW36" s="234">
        <f t="shared" si="6"/>
        <v>5000</v>
      </c>
      <c r="BX36" s="234">
        <f t="shared" si="6"/>
        <v>4500</v>
      </c>
      <c r="BY36" s="234">
        <f t="shared" si="6"/>
        <v>5000</v>
      </c>
      <c r="BZ36" s="234">
        <f t="shared" si="6"/>
        <v>1000</v>
      </c>
      <c r="CA36" s="234">
        <f t="shared" si="6"/>
        <v>8000</v>
      </c>
      <c r="CB36" s="234">
        <f t="shared" si="6"/>
        <v>2000</v>
      </c>
      <c r="CC36" s="234">
        <f t="shared" si="6"/>
        <v>24000</v>
      </c>
      <c r="CD36" s="234">
        <f t="shared" si="6"/>
        <v>1000</v>
      </c>
      <c r="CE36" s="234">
        <f t="shared" si="6"/>
        <v>10000</v>
      </c>
      <c r="CF36" s="234">
        <f t="shared" si="6"/>
        <v>0</v>
      </c>
    </row>
    <row r="37" spans="1:84" ht="22" thickTop="1" thickBot="1">
      <c r="A37" s="81" t="s">
        <v>33</v>
      </c>
      <c r="B37" s="215">
        <f>SUM(B5:B35)</f>
        <v>2917000</v>
      </c>
      <c r="C37" s="215">
        <f t="shared" ref="C37:K37" si="7">SUM(C5:C35)</f>
        <v>146550</v>
      </c>
      <c r="D37" s="215">
        <f t="shared" si="7"/>
        <v>3057550</v>
      </c>
      <c r="E37" s="224">
        <f t="shared" si="7"/>
        <v>482856</v>
      </c>
      <c r="F37" s="215">
        <f t="shared" si="7"/>
        <v>61454</v>
      </c>
      <c r="G37" s="215">
        <f t="shared" si="7"/>
        <v>3000</v>
      </c>
      <c r="H37" s="215">
        <f t="shared" si="7"/>
        <v>547310</v>
      </c>
      <c r="I37" s="84">
        <f>SUM(I5:I35)</f>
        <v>568</v>
      </c>
      <c r="J37" s="82">
        <f t="shared" si="7"/>
        <v>180829.95161314224</v>
      </c>
      <c r="K37" s="227">
        <f t="shared" si="7"/>
        <v>0</v>
      </c>
      <c r="L37" s="5"/>
      <c r="M37" s="1"/>
      <c r="N37" s="1"/>
      <c r="O37" s="1"/>
      <c r="P37" s="554"/>
      <c r="Q37" s="87" t="s">
        <v>45</v>
      </c>
      <c r="R37" s="243">
        <f>SUM(R5:R34)-SUM(Q5:Q34)</f>
        <v>0</v>
      </c>
      <c r="S37" s="244"/>
      <c r="T37" s="87" t="s">
        <v>45</v>
      </c>
      <c r="U37" s="243">
        <f>SUM(U5:U34)-SUM(T5:T34)</f>
        <v>0</v>
      </c>
      <c r="V37" s="246"/>
      <c r="W37" s="87" t="s">
        <v>45</v>
      </c>
      <c r="X37" s="243">
        <f>SUM(X5:X34)-SUM(W5:W34)</f>
        <v>0</v>
      </c>
      <c r="Y37" s="246"/>
      <c r="Z37" s="87" t="s">
        <v>45</v>
      </c>
      <c r="AA37" s="243">
        <f>SUM(AA5:AA34)-SUM(Z5:Z34)</f>
        <v>0</v>
      </c>
      <c r="AB37" s="246"/>
      <c r="AC37" s="87" t="s">
        <v>45</v>
      </c>
      <c r="AD37" s="243">
        <f>SUM(AD5:AD34)-SUM(AC5:AC34)</f>
        <v>0</v>
      </c>
      <c r="AE37" s="246"/>
      <c r="AF37" s="87" t="s">
        <v>45</v>
      </c>
      <c r="AG37" s="243">
        <f>SUM(AG5:AG34)-SUM(AF5:AF34)</f>
        <v>0</v>
      </c>
      <c r="AH37" s="246"/>
      <c r="AI37" s="80"/>
      <c r="AJ37" s="80" t="s">
        <v>170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L37" s="1"/>
      <c r="CF37" s="1"/>
    </row>
  </sheetData>
  <mergeCells count="67">
    <mergeCell ref="CA3:CA4"/>
    <mergeCell ref="CC3:CC4"/>
    <mergeCell ref="BR3:BR4"/>
    <mergeCell ref="BQ3:BQ4"/>
    <mergeCell ref="BS3:BS4"/>
    <mergeCell ref="BU3:BU4"/>
    <mergeCell ref="BT3:BT4"/>
    <mergeCell ref="I3:I4"/>
    <mergeCell ref="A1:A2"/>
    <mergeCell ref="B1:B2"/>
    <mergeCell ref="A3:A4"/>
    <mergeCell ref="B3:D3"/>
    <mergeCell ref="E3:H3"/>
    <mergeCell ref="J3:J4"/>
    <mergeCell ref="P3:P4"/>
    <mergeCell ref="Q3:S3"/>
    <mergeCell ref="T3:V3"/>
    <mergeCell ref="W3:Y3"/>
    <mergeCell ref="K3:K4"/>
    <mergeCell ref="P36:P37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BF3:BF4"/>
    <mergeCell ref="BL3:BL4"/>
    <mergeCell ref="CF3:CF4"/>
    <mergeCell ref="M19:N19"/>
    <mergeCell ref="N20:N21"/>
    <mergeCell ref="BD3:BD4"/>
    <mergeCell ref="BE3:BE4"/>
    <mergeCell ref="AS3:AS4"/>
    <mergeCell ref="AC3:AE3"/>
    <mergeCell ref="AF3:AH3"/>
    <mergeCell ref="AJ3:AJ4"/>
    <mergeCell ref="AK3:AK4"/>
    <mergeCell ref="AL3:AL4"/>
    <mergeCell ref="AM3:AM4"/>
    <mergeCell ref="Z3:AB3"/>
    <mergeCell ref="BG3:BG4"/>
    <mergeCell ref="BH3:BH4"/>
    <mergeCell ref="BI3:BI4"/>
    <mergeCell ref="BJ3:BJ4"/>
    <mergeCell ref="BK3:BK4"/>
    <mergeCell ref="CE3:CE4"/>
    <mergeCell ref="BM3:BM4"/>
    <mergeCell ref="BN3:BN4"/>
    <mergeCell ref="BW3:BW4"/>
    <mergeCell ref="BO3:BO4"/>
    <mergeCell ref="BP3:BP4"/>
    <mergeCell ref="BV3:BV4"/>
    <mergeCell ref="BX3:BX4"/>
    <mergeCell ref="CD3:CD4"/>
    <mergeCell ref="BZ3:BZ4"/>
    <mergeCell ref="BY3:BY4"/>
    <mergeCell ref="CB3:CB4"/>
  </mergeCells>
  <phoneticPr fontId="7"/>
  <dataValidations count="6">
    <dataValidation type="list" allowBlank="1" showErrorMessage="1" sqref="Q5:Q6 AF5:AF35 AC5:AC35 Z5:Z35 W5:W35 T5:T35" xr:uid="{E515FD56-721A-7B46-8E13-D361AB0B52FD}">
      <formula1>入時間</formula1>
    </dataValidation>
    <dataValidation type="list" allowBlank="1" showErrorMessage="1" sqref="Q3:AH3 AK3:AK4 AW3:AW4 AM3:AM4 AO3:AO4 BE3:BE4 BA3:BA4 AS3:AS4 AY3:AY4 BC3:BC4 AQ3:AQ4 AU3:AU4 BG3:BG4 BH3:BK3 BL3:BL4 BM3:CE3" xr:uid="{F66CDBE3-ECF1-EF4B-B5D9-ED3BE24209F1}">
      <formula1>名前</formula1>
    </dataValidation>
    <dataValidation allowBlank="1" showErrorMessage="1" sqref="AL3:AL4 BB3:BB4 AN3:AN4 AV3:AV4 AT3:AT4 AX3:AX4 AZ3:AZ4 BD3:BD4 CF3:CF4 AP3:AP4 AR3:AR4 BF3:BF4" xr:uid="{AA1ABF60-DEA7-454D-A384-CF99C1178CF9}"/>
    <dataValidation type="list" allowBlank="1" showErrorMessage="1" sqref="AG5:AG35 AD5:AD35 AA5:AA35 X5:X35 U5:U35 R5:R35" xr:uid="{BEF8FE5C-B108-6D4B-88AE-46CE31A0860D}">
      <formula1>出時間</formula1>
    </dataValidation>
    <dataValidation type="list" allowBlank="1" showErrorMessage="1" sqref="Q7:Q35" xr:uid="{C07C3A38-D7AB-3D42-9EBB-A32BE9FFF73C}">
      <formula1>#REF!</formula1>
    </dataValidation>
    <dataValidation type="list" allowBlank="1" showErrorMessage="1" sqref="AH5:AH35 AE5:AE35 AB5:AB35 Y5:Y35 V5:V35 S5:S35" xr:uid="{BC716B7E-047F-224C-9315-94B32E6A62B1}">
      <formula1>"　,済"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CB78-96F4-054B-BA6F-7D2D5A5F3334}">
  <dimension ref="A1:BM39"/>
  <sheetViews>
    <sheetView topLeftCell="AK2" zoomScale="85" workbookViewId="0">
      <selection activeCell="N22" sqref="N22"/>
    </sheetView>
  </sheetViews>
  <sheetFormatPr baseColWidth="10" defaultRowHeight="20"/>
  <cols>
    <col min="1" max="1" width="15.5703125" customWidth="1"/>
    <col min="55" max="55" width="15.140625" bestFit="1" customWidth="1"/>
    <col min="59" max="59" width="10.7109375" style="1"/>
    <col min="60" max="60" width="15.140625" style="1" bestFit="1" customWidth="1"/>
    <col min="61" max="62" width="10.7109375" style="1"/>
    <col min="63" max="63" width="12.42578125" style="1" bestFit="1" customWidth="1"/>
    <col min="64" max="64" width="13" bestFit="1" customWidth="1"/>
  </cols>
  <sheetData>
    <row r="1" spans="1:65" ht="20" customHeight="1">
      <c r="A1" s="498">
        <v>2020</v>
      </c>
      <c r="B1" s="500">
        <v>4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L1" s="1"/>
      <c r="BM1" s="1"/>
    </row>
    <row r="2" spans="1:65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L2" s="1"/>
      <c r="BM2" s="1"/>
    </row>
    <row r="3" spans="1:65" ht="21" thickBot="1">
      <c r="A3" s="501" t="s">
        <v>0</v>
      </c>
      <c r="B3" s="503" t="s">
        <v>167</v>
      </c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120</v>
      </c>
      <c r="AV3" s="494">
        <v>0.3</v>
      </c>
      <c r="AW3" s="496" t="s">
        <v>141</v>
      </c>
      <c r="AX3" s="494">
        <v>0.3</v>
      </c>
      <c r="AY3" s="527" t="s">
        <v>74</v>
      </c>
      <c r="AZ3" s="494">
        <v>0.3</v>
      </c>
      <c r="BA3" s="492" t="s">
        <v>70</v>
      </c>
      <c r="BB3" s="494">
        <v>0.3</v>
      </c>
      <c r="BC3" s="496" t="s">
        <v>114</v>
      </c>
      <c r="BD3" s="494">
        <v>0.3</v>
      </c>
      <c r="BE3" s="496" t="s">
        <v>171</v>
      </c>
      <c r="BF3" s="494">
        <v>0.3</v>
      </c>
      <c r="BG3" s="496" t="s">
        <v>131</v>
      </c>
      <c r="BH3" s="496" t="s">
        <v>156</v>
      </c>
      <c r="BI3" s="496" t="s">
        <v>150</v>
      </c>
      <c r="BJ3" s="520" t="s">
        <v>9</v>
      </c>
      <c r="BK3" s="520" t="s">
        <v>137</v>
      </c>
      <c r="BL3" s="496" t="s">
        <v>173</v>
      </c>
      <c r="BM3" s="494">
        <v>0.3</v>
      </c>
    </row>
    <row r="4" spans="1:65" ht="21" thickBot="1">
      <c r="A4" s="502"/>
      <c r="B4" s="9" t="s">
        <v>168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497"/>
      <c r="BF4" s="495"/>
      <c r="BG4" s="497"/>
      <c r="BH4" s="496"/>
      <c r="BI4" s="497"/>
      <c r="BJ4" s="521"/>
      <c r="BK4" s="521"/>
      <c r="BL4" s="497"/>
      <c r="BM4" s="495"/>
    </row>
    <row r="5" spans="1:65" ht="21" thickTop="1">
      <c r="A5" s="21">
        <f t="shared" ref="A5:A35" si="0">IF(DAY(DATE($A$1,$B$1,ROW()-4))=ROW()-4,DATE($A$1,$B$1,ROW()-4),"")</f>
        <v>43922</v>
      </c>
      <c r="B5" s="259">
        <v>87000</v>
      </c>
      <c r="C5" s="259"/>
      <c r="D5" s="260">
        <f t="shared" ref="D5:D34" si="1">B5+C5</f>
        <v>87000</v>
      </c>
      <c r="E5" s="261">
        <v>0</v>
      </c>
      <c r="F5" s="262"/>
      <c r="G5" s="263"/>
      <c r="H5" s="264">
        <f t="shared" ref="H5:H34" si="2">E5+F5+G5</f>
        <v>0</v>
      </c>
      <c r="I5" s="265">
        <v>5</v>
      </c>
      <c r="J5" s="264">
        <f t="shared" ref="J5:J34" si="3">IFERROR(B5/I5, "")</f>
        <v>17400</v>
      </c>
      <c r="K5" s="266"/>
      <c r="L5" s="5"/>
      <c r="M5" s="30" t="s">
        <v>22</v>
      </c>
      <c r="N5" s="31" t="s">
        <v>23</v>
      </c>
      <c r="O5" s="7"/>
      <c r="P5" s="32">
        <f t="shared" ref="P5:P32" si="4">A5</f>
        <v>43922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43922</v>
      </c>
      <c r="AK5" s="35"/>
      <c r="AL5" s="138"/>
      <c r="AM5" s="139"/>
      <c r="AN5" s="138"/>
      <c r="AO5" s="140"/>
      <c r="AP5" s="138"/>
      <c r="AQ5" s="141"/>
      <c r="AR5" s="138"/>
      <c r="AS5" s="142">
        <v>45000</v>
      </c>
      <c r="AT5" s="138"/>
      <c r="AU5" s="143">
        <v>20000</v>
      </c>
      <c r="AV5" s="138"/>
      <c r="AW5" s="144">
        <v>22000</v>
      </c>
      <c r="AX5" s="138"/>
      <c r="AY5" s="145"/>
      <c r="AZ5" s="138"/>
      <c r="BA5" s="146"/>
      <c r="BB5" s="138"/>
      <c r="BC5" s="144"/>
      <c r="BD5" s="138"/>
      <c r="BE5" s="144"/>
      <c r="BF5" s="160"/>
      <c r="BG5" s="158"/>
      <c r="BH5" s="158"/>
      <c r="BI5" s="158"/>
      <c r="BJ5" s="158"/>
      <c r="BK5" s="158"/>
      <c r="BL5" s="161"/>
      <c r="BM5" s="138"/>
    </row>
    <row r="6" spans="1:65">
      <c r="A6" s="21">
        <f t="shared" si="0"/>
        <v>43923</v>
      </c>
      <c r="B6" s="267">
        <v>45000</v>
      </c>
      <c r="C6" s="259"/>
      <c r="D6" s="268">
        <f t="shared" si="1"/>
        <v>45000</v>
      </c>
      <c r="E6" s="269">
        <v>16353</v>
      </c>
      <c r="F6" s="270">
        <v>1089</v>
      </c>
      <c r="G6" s="263"/>
      <c r="H6" s="264">
        <f t="shared" si="2"/>
        <v>17442</v>
      </c>
      <c r="I6" s="271">
        <v>10</v>
      </c>
      <c r="J6" s="272">
        <f t="shared" si="3"/>
        <v>4500</v>
      </c>
      <c r="K6" s="266"/>
      <c r="L6" s="5"/>
      <c r="M6" s="30" t="s">
        <v>24</v>
      </c>
      <c r="N6" s="31" t="s">
        <v>25</v>
      </c>
      <c r="O6" s="7"/>
      <c r="P6" s="32">
        <f t="shared" si="4"/>
        <v>43923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43923</v>
      </c>
      <c r="AK6" s="35"/>
      <c r="AL6" s="138"/>
      <c r="AM6" s="139"/>
      <c r="AN6" s="138"/>
      <c r="AO6" s="143"/>
      <c r="AP6" s="138"/>
      <c r="AQ6" s="147">
        <v>10000</v>
      </c>
      <c r="AR6" s="138"/>
      <c r="AS6" s="142">
        <v>26000</v>
      </c>
      <c r="AT6" s="138"/>
      <c r="AU6" s="143"/>
      <c r="AV6" s="138"/>
      <c r="AW6" s="147"/>
      <c r="AX6" s="138"/>
      <c r="AY6" s="145"/>
      <c r="AZ6" s="138"/>
      <c r="BA6" s="146">
        <v>8000</v>
      </c>
      <c r="BB6" s="138"/>
      <c r="BC6" s="144"/>
      <c r="BD6" s="138"/>
      <c r="BE6" s="144"/>
      <c r="BF6" s="160"/>
      <c r="BG6" s="158"/>
      <c r="BH6" s="158"/>
      <c r="BI6" s="158"/>
      <c r="BJ6" s="158"/>
      <c r="BK6" s="158">
        <v>1000</v>
      </c>
      <c r="BL6" s="161"/>
      <c r="BM6" s="138"/>
    </row>
    <row r="7" spans="1:65">
      <c r="A7" s="21">
        <f t="shared" si="0"/>
        <v>43924</v>
      </c>
      <c r="B7" s="267">
        <v>29000</v>
      </c>
      <c r="C7" s="259">
        <v>20000</v>
      </c>
      <c r="D7" s="268">
        <f t="shared" si="1"/>
        <v>49000</v>
      </c>
      <c r="E7" s="273">
        <v>26549</v>
      </c>
      <c r="F7" s="270"/>
      <c r="G7" s="263"/>
      <c r="H7" s="264">
        <f t="shared" si="2"/>
        <v>26549</v>
      </c>
      <c r="I7" s="271">
        <v>4</v>
      </c>
      <c r="J7" s="272">
        <f t="shared" si="3"/>
        <v>7250</v>
      </c>
      <c r="K7" s="266"/>
      <c r="L7" s="5"/>
      <c r="M7" s="6"/>
      <c r="N7" s="7"/>
      <c r="O7" s="7"/>
      <c r="P7" s="32">
        <f t="shared" si="4"/>
        <v>43924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43924</v>
      </c>
      <c r="AK7" s="35"/>
      <c r="AL7" s="138"/>
      <c r="AM7" s="139"/>
      <c r="AN7" s="138"/>
      <c r="AO7" s="143">
        <v>24000</v>
      </c>
      <c r="AP7" s="138"/>
      <c r="AQ7" s="147"/>
      <c r="AR7" s="138"/>
      <c r="AS7" s="142"/>
      <c r="AT7" s="138"/>
      <c r="AU7" s="139">
        <v>25000</v>
      </c>
      <c r="AV7" s="138"/>
      <c r="AW7" s="148"/>
      <c r="AX7" s="138"/>
      <c r="AY7" s="149"/>
      <c r="AZ7" s="138"/>
      <c r="BA7" s="149"/>
      <c r="BB7" s="138"/>
      <c r="BC7" s="150"/>
      <c r="BD7" s="138"/>
      <c r="BE7" s="150"/>
      <c r="BF7" s="160"/>
      <c r="BG7" s="158"/>
      <c r="BH7" s="158"/>
      <c r="BI7" s="158"/>
      <c r="BJ7" s="158"/>
      <c r="BK7" s="158"/>
      <c r="BL7" s="162"/>
      <c r="BM7" s="138"/>
    </row>
    <row r="8" spans="1:65">
      <c r="A8" s="21">
        <f t="shared" si="0"/>
        <v>43925</v>
      </c>
      <c r="B8" s="267">
        <v>24500</v>
      </c>
      <c r="C8" s="259"/>
      <c r="D8" s="268">
        <f t="shared" si="1"/>
        <v>24500</v>
      </c>
      <c r="E8" s="269">
        <v>2717</v>
      </c>
      <c r="F8" s="270"/>
      <c r="G8" s="263"/>
      <c r="H8" s="264">
        <f t="shared" si="2"/>
        <v>2717</v>
      </c>
      <c r="I8" s="271">
        <v>7</v>
      </c>
      <c r="J8" s="272">
        <f t="shared" si="3"/>
        <v>3500</v>
      </c>
      <c r="K8" s="266"/>
      <c r="L8" s="5"/>
      <c r="M8" s="6"/>
      <c r="N8" s="7"/>
      <c r="O8" s="7"/>
      <c r="P8" s="32">
        <f t="shared" si="4"/>
        <v>43925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43925</v>
      </c>
      <c r="AK8" s="35"/>
      <c r="AL8" s="138"/>
      <c r="AM8" s="139"/>
      <c r="AN8" s="138"/>
      <c r="AO8" s="143">
        <v>2500</v>
      </c>
      <c r="AP8" s="138"/>
      <c r="AQ8" s="147"/>
      <c r="AR8" s="138"/>
      <c r="AS8" s="142"/>
      <c r="AT8" s="138"/>
      <c r="AU8" s="139">
        <v>5000</v>
      </c>
      <c r="AV8" s="138"/>
      <c r="AW8" s="151"/>
      <c r="AX8" s="138"/>
      <c r="AY8" s="149">
        <v>10000</v>
      </c>
      <c r="AZ8" s="138"/>
      <c r="BA8" s="149"/>
      <c r="BB8" s="138"/>
      <c r="BC8" s="149"/>
      <c r="BD8" s="138"/>
      <c r="BE8" s="149"/>
      <c r="BF8" s="160"/>
      <c r="BG8" s="158"/>
      <c r="BH8" s="158">
        <v>7000</v>
      </c>
      <c r="BI8" s="168"/>
      <c r="BJ8" s="158"/>
      <c r="BK8" s="172"/>
      <c r="BL8" s="145"/>
      <c r="BM8" s="138"/>
    </row>
    <row r="9" spans="1:65">
      <c r="A9" s="21">
        <f t="shared" si="0"/>
        <v>43926</v>
      </c>
      <c r="B9" s="267">
        <v>107000</v>
      </c>
      <c r="C9" s="259">
        <v>151000</v>
      </c>
      <c r="D9" s="268">
        <f t="shared" si="1"/>
        <v>258000</v>
      </c>
      <c r="E9" s="269">
        <v>2311</v>
      </c>
      <c r="F9" s="270"/>
      <c r="G9" s="263"/>
      <c r="H9" s="264">
        <f t="shared" si="2"/>
        <v>2311</v>
      </c>
      <c r="I9" s="271">
        <v>17</v>
      </c>
      <c r="J9" s="272">
        <f t="shared" si="3"/>
        <v>6294.1176470588234</v>
      </c>
      <c r="K9" s="266"/>
      <c r="L9" s="5"/>
      <c r="M9" s="6"/>
      <c r="N9" s="7"/>
      <c r="O9" s="7"/>
      <c r="P9" s="32">
        <f t="shared" si="4"/>
        <v>43926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43926</v>
      </c>
      <c r="AK9" s="35"/>
      <c r="AL9" s="138"/>
      <c r="AM9" s="139"/>
      <c r="AN9" s="138"/>
      <c r="AO9" s="139">
        <v>12000</v>
      </c>
      <c r="AP9" s="138"/>
      <c r="AQ9" s="152">
        <v>7000</v>
      </c>
      <c r="AR9" s="138"/>
      <c r="AS9" s="139">
        <v>78000</v>
      </c>
      <c r="AT9" s="138"/>
      <c r="AU9" s="139">
        <v>5000</v>
      </c>
      <c r="AV9" s="138"/>
      <c r="AW9" s="151"/>
      <c r="AX9" s="138"/>
      <c r="AY9" s="149"/>
      <c r="AZ9" s="138"/>
      <c r="BA9" s="149"/>
      <c r="BB9" s="138"/>
      <c r="BC9" s="149"/>
      <c r="BD9" s="138"/>
      <c r="BE9" s="149">
        <v>120000</v>
      </c>
      <c r="BF9" s="160">
        <v>30000</v>
      </c>
      <c r="BG9" s="168"/>
      <c r="BH9" s="158"/>
      <c r="BI9" s="168"/>
      <c r="BJ9" s="158"/>
      <c r="BK9" s="172"/>
      <c r="BL9" s="145">
        <v>6000</v>
      </c>
      <c r="BM9" s="138"/>
    </row>
    <row r="10" spans="1:65">
      <c r="A10" s="21">
        <f t="shared" si="0"/>
        <v>43927</v>
      </c>
      <c r="B10" s="267">
        <v>54000</v>
      </c>
      <c r="C10" s="259"/>
      <c r="D10" s="268">
        <f t="shared" si="1"/>
        <v>54000</v>
      </c>
      <c r="E10" s="269">
        <v>14156</v>
      </c>
      <c r="F10" s="270"/>
      <c r="G10" s="263"/>
      <c r="H10" s="264">
        <f t="shared" si="2"/>
        <v>14156</v>
      </c>
      <c r="I10" s="271">
        <v>4</v>
      </c>
      <c r="J10" s="272">
        <f t="shared" si="3"/>
        <v>13500</v>
      </c>
      <c r="K10" s="266"/>
      <c r="L10" s="5"/>
      <c r="M10" s="6"/>
      <c r="N10" s="7"/>
      <c r="O10" s="7"/>
      <c r="P10" s="32">
        <f t="shared" si="4"/>
        <v>43927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43927</v>
      </c>
      <c r="AK10" s="35"/>
      <c r="AL10" s="138"/>
      <c r="AM10" s="139"/>
      <c r="AN10" s="138"/>
      <c r="AO10" s="139">
        <v>2000</v>
      </c>
      <c r="AP10" s="138"/>
      <c r="AQ10" s="139"/>
      <c r="AR10" s="138"/>
      <c r="AS10" s="139">
        <v>30000</v>
      </c>
      <c r="AT10" s="138"/>
      <c r="AU10" s="139">
        <v>22000</v>
      </c>
      <c r="AV10" s="138"/>
      <c r="AW10" s="151"/>
      <c r="AX10" s="138"/>
      <c r="AY10" s="149"/>
      <c r="AZ10" s="138"/>
      <c r="BA10" s="149"/>
      <c r="BB10" s="138"/>
      <c r="BC10" s="149"/>
      <c r="BD10" s="138"/>
      <c r="BE10" s="149"/>
      <c r="BF10" s="160"/>
      <c r="BG10" s="168"/>
      <c r="BH10" s="158"/>
      <c r="BI10" s="168"/>
      <c r="BJ10" s="158"/>
      <c r="BK10" s="172"/>
      <c r="BL10" s="145"/>
      <c r="BM10" s="138"/>
    </row>
    <row r="11" spans="1:65">
      <c r="A11" s="21">
        <f t="shared" si="0"/>
        <v>43928</v>
      </c>
      <c r="B11" s="267">
        <v>0</v>
      </c>
      <c r="C11" s="259"/>
      <c r="D11" s="268">
        <f t="shared" si="1"/>
        <v>0</v>
      </c>
      <c r="E11" s="269">
        <v>0</v>
      </c>
      <c r="F11" s="270"/>
      <c r="G11" s="263"/>
      <c r="H11" s="264">
        <f t="shared" si="2"/>
        <v>0</v>
      </c>
      <c r="I11" s="271">
        <v>0</v>
      </c>
      <c r="J11" s="272">
        <v>0</v>
      </c>
      <c r="K11" s="266"/>
      <c r="L11" s="5"/>
      <c r="M11" s="566" t="s">
        <v>177</v>
      </c>
      <c r="N11" s="547"/>
      <c r="O11" s="7"/>
      <c r="P11" s="32">
        <f t="shared" si="4"/>
        <v>43928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43928</v>
      </c>
      <c r="AK11" s="35"/>
      <c r="AL11" s="138"/>
      <c r="AM11" s="139"/>
      <c r="AN11" s="138"/>
      <c r="AO11" s="139"/>
      <c r="AP11" s="138"/>
      <c r="AQ11" s="139"/>
      <c r="AR11" s="138"/>
      <c r="AS11" s="139"/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60"/>
      <c r="BG11" s="168"/>
      <c r="BH11" s="253"/>
      <c r="BI11" s="249"/>
      <c r="BJ11" s="158"/>
      <c r="BK11" s="172"/>
      <c r="BL11" s="145"/>
      <c r="BM11" s="138"/>
    </row>
    <row r="12" spans="1:65">
      <c r="A12" s="21">
        <f t="shared" si="0"/>
        <v>43929</v>
      </c>
      <c r="B12" s="267">
        <v>80000</v>
      </c>
      <c r="C12" s="259"/>
      <c r="D12" s="268">
        <f t="shared" si="1"/>
        <v>80000</v>
      </c>
      <c r="E12" s="269">
        <v>9644</v>
      </c>
      <c r="F12" s="270">
        <v>880</v>
      </c>
      <c r="G12" s="263"/>
      <c r="H12" s="264">
        <f t="shared" si="2"/>
        <v>10524</v>
      </c>
      <c r="I12" s="271">
        <v>8</v>
      </c>
      <c r="J12" s="272">
        <f t="shared" si="3"/>
        <v>10000</v>
      </c>
      <c r="K12" s="266"/>
      <c r="L12" s="5"/>
      <c r="M12" s="258" t="s">
        <v>80</v>
      </c>
      <c r="N12" s="193">
        <v>11530</v>
      </c>
      <c r="O12" s="7"/>
      <c r="P12" s="32">
        <f t="shared" si="4"/>
        <v>43929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43929</v>
      </c>
      <c r="AK12" s="35"/>
      <c r="AL12" s="138"/>
      <c r="AM12" s="139"/>
      <c r="AN12" s="138"/>
      <c r="AO12" s="139"/>
      <c r="AP12" s="138"/>
      <c r="AQ12" s="139">
        <v>10000</v>
      </c>
      <c r="AR12" s="138"/>
      <c r="AS12" s="139">
        <v>51000</v>
      </c>
      <c r="AT12" s="138"/>
      <c r="AU12" s="139"/>
      <c r="AV12" s="138"/>
      <c r="AW12" s="151"/>
      <c r="AX12" s="138"/>
      <c r="AY12" s="149"/>
      <c r="AZ12" s="138"/>
      <c r="BA12" s="149"/>
      <c r="BB12" s="138"/>
      <c r="BC12" s="149"/>
      <c r="BD12" s="138"/>
      <c r="BE12" s="149"/>
      <c r="BF12" s="160"/>
      <c r="BG12" s="168">
        <v>10000</v>
      </c>
      <c r="BH12" s="158"/>
      <c r="BI12" s="250">
        <v>9000</v>
      </c>
      <c r="BJ12" s="158"/>
      <c r="BK12" s="172"/>
      <c r="BL12" s="145"/>
      <c r="BM12" s="138"/>
    </row>
    <row r="13" spans="1:65">
      <c r="A13" s="21">
        <f t="shared" si="0"/>
        <v>43930</v>
      </c>
      <c r="B13" s="267">
        <v>61000</v>
      </c>
      <c r="C13" s="259"/>
      <c r="D13" s="268">
        <f t="shared" si="1"/>
        <v>61000</v>
      </c>
      <c r="E13" s="269">
        <v>0</v>
      </c>
      <c r="F13" s="270"/>
      <c r="G13" s="263"/>
      <c r="H13" s="264">
        <f t="shared" si="2"/>
        <v>0</v>
      </c>
      <c r="I13" s="271">
        <v>7</v>
      </c>
      <c r="J13" s="272">
        <f t="shared" si="3"/>
        <v>8714.2857142857138</v>
      </c>
      <c r="K13" s="266"/>
      <c r="L13" s="5"/>
      <c r="M13" s="566" t="s">
        <v>180</v>
      </c>
      <c r="N13" s="570"/>
      <c r="O13" s="6"/>
      <c r="P13" s="32">
        <f t="shared" si="4"/>
        <v>43930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43930</v>
      </c>
      <c r="AK13" s="35"/>
      <c r="AL13" s="138"/>
      <c r="AM13" s="139"/>
      <c r="AN13" s="138"/>
      <c r="AO13" s="139"/>
      <c r="AP13" s="138"/>
      <c r="AQ13" s="139">
        <v>13000</v>
      </c>
      <c r="AR13" s="138"/>
      <c r="AS13" s="139">
        <v>20000</v>
      </c>
      <c r="AT13" s="138"/>
      <c r="AU13" s="139">
        <v>26500</v>
      </c>
      <c r="AV13" s="138"/>
      <c r="AW13" s="151">
        <v>1500</v>
      </c>
      <c r="AX13" s="138"/>
      <c r="AY13" s="149"/>
      <c r="AZ13" s="138"/>
      <c r="BA13" s="149"/>
      <c r="BB13" s="138"/>
      <c r="BC13" s="149"/>
      <c r="BD13" s="138"/>
      <c r="BE13" s="149"/>
      <c r="BF13" s="160"/>
      <c r="BG13" s="168"/>
      <c r="BH13" s="158"/>
      <c r="BI13" s="250"/>
      <c r="BJ13" s="158"/>
      <c r="BK13" s="172"/>
      <c r="BL13" s="145"/>
      <c r="BM13" s="138"/>
    </row>
    <row r="14" spans="1:65">
      <c r="A14" s="21">
        <f t="shared" si="0"/>
        <v>43931</v>
      </c>
      <c r="B14" s="267">
        <v>21000</v>
      </c>
      <c r="C14" s="259"/>
      <c r="D14" s="268">
        <f t="shared" si="1"/>
        <v>21000</v>
      </c>
      <c r="E14" s="269">
        <v>0</v>
      </c>
      <c r="F14" s="274"/>
      <c r="G14" s="263"/>
      <c r="H14" s="264">
        <f t="shared" si="2"/>
        <v>0</v>
      </c>
      <c r="I14" s="271">
        <v>10</v>
      </c>
      <c r="J14" s="272">
        <f t="shared" si="3"/>
        <v>2100</v>
      </c>
      <c r="K14" s="266"/>
      <c r="L14" s="5"/>
      <c r="M14" s="256"/>
      <c r="N14" s="257"/>
      <c r="O14" s="7"/>
      <c r="P14" s="32">
        <f t="shared" si="4"/>
        <v>43931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43931</v>
      </c>
      <c r="AK14" s="35"/>
      <c r="AL14" s="138"/>
      <c r="AM14" s="139"/>
      <c r="AN14" s="138"/>
      <c r="AO14" s="139">
        <v>7000</v>
      </c>
      <c r="AP14" s="138"/>
      <c r="AQ14" s="139"/>
      <c r="AR14" s="138"/>
      <c r="AS14" s="139"/>
      <c r="AT14" s="138"/>
      <c r="AU14" s="139">
        <v>4000</v>
      </c>
      <c r="AV14" s="138"/>
      <c r="AW14" s="151"/>
      <c r="AX14" s="138"/>
      <c r="AY14" s="149"/>
      <c r="AZ14" s="138"/>
      <c r="BA14" s="149"/>
      <c r="BB14" s="138"/>
      <c r="BC14" s="149"/>
      <c r="BD14" s="138"/>
      <c r="BE14" s="149">
        <v>10000</v>
      </c>
      <c r="BF14" s="138"/>
      <c r="BG14" s="169"/>
      <c r="BH14" s="158"/>
      <c r="BI14" s="250"/>
      <c r="BJ14" s="158"/>
      <c r="BK14" s="173"/>
      <c r="BL14" s="149"/>
      <c r="BM14" s="138"/>
    </row>
    <row r="15" spans="1:65">
      <c r="A15" s="21">
        <f t="shared" si="0"/>
        <v>43932</v>
      </c>
      <c r="B15" s="267">
        <v>158000</v>
      </c>
      <c r="C15" s="259"/>
      <c r="D15" s="268">
        <f t="shared" si="1"/>
        <v>158000</v>
      </c>
      <c r="E15" s="269">
        <v>17452</v>
      </c>
      <c r="F15" s="270"/>
      <c r="G15" s="263"/>
      <c r="H15" s="264">
        <f t="shared" si="2"/>
        <v>17452</v>
      </c>
      <c r="I15" s="271">
        <v>9</v>
      </c>
      <c r="J15" s="272">
        <f t="shared" si="3"/>
        <v>17555.555555555555</v>
      </c>
      <c r="K15" s="266"/>
      <c r="L15" s="5"/>
      <c r="M15" s="6"/>
      <c r="N15" s="7"/>
      <c r="O15" s="7"/>
      <c r="P15" s="32">
        <f t="shared" si="4"/>
        <v>43932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43932</v>
      </c>
      <c r="AK15" s="35"/>
      <c r="AL15" s="138"/>
      <c r="AM15" s="139"/>
      <c r="AN15" s="138"/>
      <c r="AO15" s="139">
        <v>10000</v>
      </c>
      <c r="AP15" s="138"/>
      <c r="AQ15" s="139">
        <v>38000</v>
      </c>
      <c r="AR15" s="138"/>
      <c r="AS15" s="139">
        <v>110000</v>
      </c>
      <c r="AT15" s="138"/>
      <c r="AU15" s="139"/>
      <c r="AV15" s="138"/>
      <c r="AW15" s="151"/>
      <c r="AX15" s="138"/>
      <c r="AY15" s="149"/>
      <c r="AZ15" s="138"/>
      <c r="BA15" s="149"/>
      <c r="BB15" s="138"/>
      <c r="BC15" s="149"/>
      <c r="BD15" s="138"/>
      <c r="BE15" s="149"/>
      <c r="BF15" s="138"/>
      <c r="BG15" s="160"/>
      <c r="BH15" s="158"/>
      <c r="BI15" s="250"/>
      <c r="BJ15" s="158"/>
      <c r="BK15" s="166"/>
      <c r="BL15" s="149"/>
      <c r="BM15" s="138"/>
    </row>
    <row r="16" spans="1:65">
      <c r="A16" s="21">
        <f t="shared" si="0"/>
        <v>43933</v>
      </c>
      <c r="B16" s="267">
        <v>95500</v>
      </c>
      <c r="C16" s="259"/>
      <c r="D16" s="268">
        <f t="shared" si="1"/>
        <v>95500</v>
      </c>
      <c r="E16" s="269">
        <v>3562</v>
      </c>
      <c r="F16" s="270"/>
      <c r="G16" s="263"/>
      <c r="H16" s="264">
        <f t="shared" si="2"/>
        <v>3562</v>
      </c>
      <c r="I16" s="271">
        <v>6</v>
      </c>
      <c r="J16" s="272">
        <f t="shared" si="3"/>
        <v>15916.666666666666</v>
      </c>
      <c r="K16" s="266"/>
      <c r="L16" s="5"/>
      <c r="M16" s="6"/>
      <c r="N16" s="7"/>
      <c r="O16" s="7"/>
      <c r="P16" s="32">
        <f t="shared" si="4"/>
        <v>43933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43933</v>
      </c>
      <c r="AK16" s="35"/>
      <c r="AL16" s="138"/>
      <c r="AM16" s="139"/>
      <c r="AN16" s="138"/>
      <c r="AO16" s="139">
        <v>7500</v>
      </c>
      <c r="AP16" s="138"/>
      <c r="AQ16" s="139"/>
      <c r="AR16" s="138"/>
      <c r="AS16" s="139">
        <v>48000</v>
      </c>
      <c r="AT16" s="138"/>
      <c r="AU16" s="139">
        <v>40000</v>
      </c>
      <c r="AV16" s="138"/>
      <c r="AW16" s="151"/>
      <c r="AX16" s="138"/>
      <c r="AY16" s="149"/>
      <c r="AZ16" s="138"/>
      <c r="BA16" s="149"/>
      <c r="BB16" s="138"/>
      <c r="BC16" s="149"/>
      <c r="BD16" s="138"/>
      <c r="BE16" s="149"/>
      <c r="BF16" s="138"/>
      <c r="BG16" s="138"/>
      <c r="BH16" s="159"/>
      <c r="BI16" s="160"/>
      <c r="BJ16" s="158"/>
      <c r="BK16" s="166"/>
      <c r="BL16" s="149"/>
      <c r="BM16" s="138"/>
    </row>
    <row r="17" spans="1:65">
      <c r="A17" s="21">
        <f t="shared" si="0"/>
        <v>43934</v>
      </c>
      <c r="B17" s="267">
        <v>87000</v>
      </c>
      <c r="C17" s="259"/>
      <c r="D17" s="268">
        <f t="shared" si="1"/>
        <v>87000</v>
      </c>
      <c r="E17" s="269">
        <v>14765</v>
      </c>
      <c r="F17" s="270"/>
      <c r="G17" s="263"/>
      <c r="H17" s="264">
        <f t="shared" si="2"/>
        <v>14765</v>
      </c>
      <c r="I17" s="271">
        <v>12</v>
      </c>
      <c r="J17" s="272">
        <f t="shared" si="3"/>
        <v>7250</v>
      </c>
      <c r="K17" s="266"/>
      <c r="L17" s="5"/>
      <c r="M17" s="6"/>
      <c r="N17" s="7"/>
      <c r="O17" s="7"/>
      <c r="P17" s="32">
        <f t="shared" si="4"/>
        <v>43934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43934</v>
      </c>
      <c r="AK17" s="35"/>
      <c r="AL17" s="138"/>
      <c r="AM17" s="139"/>
      <c r="AN17" s="138"/>
      <c r="AO17" s="139">
        <v>7000</v>
      </c>
      <c r="AP17" s="138"/>
      <c r="AQ17" s="139">
        <v>7000</v>
      </c>
      <c r="AR17" s="138"/>
      <c r="AS17" s="139">
        <v>60000</v>
      </c>
      <c r="AT17" s="138"/>
      <c r="AU17" s="139"/>
      <c r="AV17" s="138"/>
      <c r="AW17" s="151"/>
      <c r="AX17" s="138"/>
      <c r="AY17" s="149">
        <v>13000</v>
      </c>
      <c r="AZ17" s="138"/>
      <c r="BA17" s="149"/>
      <c r="BB17" s="138"/>
      <c r="BC17" s="149"/>
      <c r="BD17" s="138"/>
      <c r="BE17" s="149"/>
      <c r="BF17" s="138"/>
      <c r="BG17" s="138"/>
      <c r="BH17" s="138"/>
      <c r="BI17" s="138"/>
      <c r="BJ17" s="159"/>
      <c r="BK17" s="138"/>
      <c r="BL17" s="149"/>
      <c r="BM17" s="138"/>
    </row>
    <row r="18" spans="1:65">
      <c r="A18" s="21">
        <f t="shared" si="0"/>
        <v>43935</v>
      </c>
      <c r="B18" s="267">
        <v>5000</v>
      </c>
      <c r="C18" s="259"/>
      <c r="D18" s="268">
        <f t="shared" si="1"/>
        <v>5000</v>
      </c>
      <c r="E18" s="269">
        <v>0</v>
      </c>
      <c r="F18" s="270"/>
      <c r="G18" s="263"/>
      <c r="H18" s="264">
        <f t="shared" si="2"/>
        <v>0</v>
      </c>
      <c r="I18" s="271">
        <v>10</v>
      </c>
      <c r="J18" s="272">
        <f t="shared" si="3"/>
        <v>500</v>
      </c>
      <c r="K18" s="266"/>
      <c r="L18" s="5"/>
      <c r="M18" s="45"/>
      <c r="N18" s="46"/>
      <c r="O18" s="7"/>
      <c r="P18" s="32">
        <f t="shared" si="4"/>
        <v>43935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43935</v>
      </c>
      <c r="AK18" s="35"/>
      <c r="AL18" s="138"/>
      <c r="AM18" s="139"/>
      <c r="AN18" s="138"/>
      <c r="AO18" s="139"/>
      <c r="AP18" s="138"/>
      <c r="AQ18" s="139"/>
      <c r="AR18" s="138"/>
      <c r="AS18" s="139"/>
      <c r="AT18" s="138"/>
      <c r="AU18" s="139"/>
      <c r="AV18" s="138"/>
      <c r="AW18" s="151"/>
      <c r="AX18" s="138"/>
      <c r="AY18" s="149">
        <v>5000</v>
      </c>
      <c r="AZ18" s="138"/>
      <c r="BA18" s="149"/>
      <c r="BB18" s="138"/>
      <c r="BC18" s="149"/>
      <c r="BD18" s="138"/>
      <c r="BE18" s="149"/>
      <c r="BF18" s="138"/>
      <c r="BG18" s="138"/>
      <c r="BH18" s="138"/>
      <c r="BI18" s="138"/>
      <c r="BJ18" s="138"/>
      <c r="BK18" s="138"/>
      <c r="BL18" s="149"/>
      <c r="BM18" s="138"/>
    </row>
    <row r="19" spans="1:65">
      <c r="A19" s="21">
        <f t="shared" si="0"/>
        <v>43936</v>
      </c>
      <c r="B19" s="267">
        <v>48000</v>
      </c>
      <c r="C19" s="259">
        <v>86000</v>
      </c>
      <c r="D19" s="268">
        <f t="shared" si="1"/>
        <v>134000</v>
      </c>
      <c r="E19" s="269">
        <v>13560</v>
      </c>
      <c r="F19" s="270"/>
      <c r="G19" s="263"/>
      <c r="H19" s="264">
        <f t="shared" si="2"/>
        <v>13560</v>
      </c>
      <c r="I19" s="271">
        <v>9</v>
      </c>
      <c r="J19" s="272">
        <f t="shared" si="3"/>
        <v>5333.333333333333</v>
      </c>
      <c r="K19" s="266"/>
      <c r="L19" s="5"/>
      <c r="M19" s="516" t="s">
        <v>26</v>
      </c>
      <c r="N19" s="517"/>
      <c r="O19" s="6"/>
      <c r="P19" s="32">
        <f t="shared" si="4"/>
        <v>43936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43936</v>
      </c>
      <c r="AK19" s="35"/>
      <c r="AL19" s="138"/>
      <c r="AM19" s="139"/>
      <c r="AN19" s="138"/>
      <c r="AO19" s="139"/>
      <c r="AP19" s="138"/>
      <c r="AQ19" s="139"/>
      <c r="AR19" s="138"/>
      <c r="AS19" s="139">
        <v>86000</v>
      </c>
      <c r="AT19" s="138"/>
      <c r="AU19" s="138" t="s">
        <v>178</v>
      </c>
      <c r="AV19" s="138"/>
      <c r="AW19" s="151"/>
      <c r="AX19" s="138"/>
      <c r="AY19" s="149"/>
      <c r="AZ19" s="138"/>
      <c r="BA19" s="149"/>
      <c r="BB19" s="138"/>
      <c r="BC19" s="149">
        <v>10000</v>
      </c>
      <c r="BD19" s="138">
        <v>18000</v>
      </c>
      <c r="BE19" s="149"/>
      <c r="BF19" s="138"/>
      <c r="BG19" s="138"/>
      <c r="BH19" s="138"/>
      <c r="BI19" s="138"/>
      <c r="BJ19" s="138"/>
      <c r="BK19" s="138"/>
      <c r="BL19" s="149"/>
      <c r="BM19" s="138"/>
    </row>
    <row r="20" spans="1:65">
      <c r="A20" s="21">
        <f t="shared" si="0"/>
        <v>43937</v>
      </c>
      <c r="B20" s="267">
        <v>57000</v>
      </c>
      <c r="C20" s="267"/>
      <c r="D20" s="268">
        <f t="shared" si="1"/>
        <v>57000</v>
      </c>
      <c r="E20" s="269">
        <v>0</v>
      </c>
      <c r="F20" s="270"/>
      <c r="G20" s="263"/>
      <c r="H20" s="264">
        <f t="shared" si="2"/>
        <v>0</v>
      </c>
      <c r="I20" s="271">
        <v>8</v>
      </c>
      <c r="J20" s="272">
        <f t="shared" si="3"/>
        <v>7125</v>
      </c>
      <c r="K20" s="266"/>
      <c r="L20" s="5"/>
      <c r="M20" s="47" t="s">
        <v>27</v>
      </c>
      <c r="N20" s="578">
        <v>310000</v>
      </c>
      <c r="O20" s="6"/>
      <c r="P20" s="32">
        <f t="shared" si="4"/>
        <v>43937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43937</v>
      </c>
      <c r="AK20" s="35"/>
      <c r="AL20" s="138"/>
      <c r="AM20" s="139"/>
      <c r="AN20" s="138"/>
      <c r="AO20" s="139">
        <v>6000</v>
      </c>
      <c r="AP20" s="138"/>
      <c r="AQ20" s="139">
        <v>15000</v>
      </c>
      <c r="AR20" s="138"/>
      <c r="AS20" s="139">
        <v>32000</v>
      </c>
      <c r="AT20" s="138"/>
      <c r="AU20" s="139">
        <v>4000</v>
      </c>
      <c r="AV20" s="138"/>
      <c r="AW20" s="151"/>
      <c r="AX20" s="138"/>
      <c r="AY20" s="149"/>
      <c r="AZ20" s="138"/>
      <c r="BA20" s="149"/>
      <c r="BB20" s="138"/>
      <c r="BC20" s="149"/>
      <c r="BD20" s="138"/>
      <c r="BE20" s="149"/>
      <c r="BF20" s="138"/>
      <c r="BG20" s="138"/>
      <c r="BH20" s="138"/>
      <c r="BI20" s="138"/>
      <c r="BJ20" s="138"/>
      <c r="BK20" s="138"/>
      <c r="BL20" s="149"/>
      <c r="BM20" s="138"/>
    </row>
    <row r="21" spans="1:65">
      <c r="A21" s="21">
        <f t="shared" si="0"/>
        <v>43938</v>
      </c>
      <c r="B21" s="267">
        <v>18000</v>
      </c>
      <c r="C21" s="267">
        <v>60000</v>
      </c>
      <c r="D21" s="268">
        <f t="shared" si="1"/>
        <v>78000</v>
      </c>
      <c r="E21" s="269">
        <v>11669</v>
      </c>
      <c r="F21" s="270"/>
      <c r="G21" s="263"/>
      <c r="H21" s="264">
        <f t="shared" si="2"/>
        <v>11669</v>
      </c>
      <c r="I21" s="271">
        <v>4</v>
      </c>
      <c r="J21" s="272">
        <f t="shared" si="3"/>
        <v>4500</v>
      </c>
      <c r="K21" s="266"/>
      <c r="L21" s="5"/>
      <c r="M21" s="47" t="s">
        <v>28</v>
      </c>
      <c r="N21" s="579"/>
      <c r="O21" s="6"/>
      <c r="P21" s="32">
        <f t="shared" si="4"/>
        <v>43938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43938</v>
      </c>
      <c r="AK21" s="35"/>
      <c r="AL21" s="138"/>
      <c r="AM21" s="139"/>
      <c r="AN21" s="138"/>
      <c r="AO21" s="139">
        <v>18000</v>
      </c>
      <c r="AP21" s="138"/>
      <c r="AQ21" s="139"/>
      <c r="AR21" s="138"/>
      <c r="AS21" s="139">
        <v>60000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/>
      <c r="BF21" s="138"/>
      <c r="BG21" s="138"/>
      <c r="BH21" s="138"/>
      <c r="BI21" s="138"/>
      <c r="BJ21" s="138"/>
      <c r="BK21" s="138"/>
      <c r="BL21" s="149"/>
      <c r="BM21" s="138"/>
    </row>
    <row r="22" spans="1:65">
      <c r="A22" s="21">
        <f t="shared" si="0"/>
        <v>43939</v>
      </c>
      <c r="B22" s="275">
        <v>24000</v>
      </c>
      <c r="C22" s="267">
        <v>32000</v>
      </c>
      <c r="D22" s="268">
        <f t="shared" si="1"/>
        <v>56000</v>
      </c>
      <c r="E22" s="269">
        <v>0</v>
      </c>
      <c r="F22" s="270"/>
      <c r="G22" s="263"/>
      <c r="H22" s="264">
        <f t="shared" si="2"/>
        <v>0</v>
      </c>
      <c r="I22" s="271">
        <v>8</v>
      </c>
      <c r="J22" s="272">
        <f t="shared" si="3"/>
        <v>3000</v>
      </c>
      <c r="K22" s="266"/>
      <c r="L22" s="5"/>
      <c r="M22" s="47" t="s">
        <v>29</v>
      </c>
      <c r="N22" s="247">
        <v>7000</v>
      </c>
      <c r="O22" s="6"/>
      <c r="P22" s="32">
        <f t="shared" si="4"/>
        <v>43939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43939</v>
      </c>
      <c r="AK22" s="35"/>
      <c r="AL22" s="138"/>
      <c r="AM22" s="139"/>
      <c r="AN22" s="138"/>
      <c r="AO22" s="139"/>
      <c r="AP22" s="138"/>
      <c r="AQ22" s="139"/>
      <c r="AR22" s="138"/>
      <c r="AS22" s="153"/>
      <c r="AT22" s="138"/>
      <c r="AU22" s="139"/>
      <c r="AV22" s="138"/>
      <c r="AW22" s="151"/>
      <c r="AX22" s="138"/>
      <c r="AY22" s="139">
        <v>24000</v>
      </c>
      <c r="AZ22" s="138"/>
      <c r="BA22" s="139"/>
      <c r="BB22" s="138"/>
      <c r="BC22" s="149"/>
      <c r="BD22" s="138"/>
      <c r="BE22" s="149"/>
      <c r="BF22" s="138"/>
      <c r="BG22" s="138"/>
      <c r="BH22" s="138">
        <v>32000</v>
      </c>
      <c r="BI22" s="138"/>
      <c r="BJ22" s="138"/>
      <c r="BK22" s="138"/>
      <c r="BL22" s="149"/>
      <c r="BM22" s="138"/>
    </row>
    <row r="23" spans="1:65">
      <c r="A23" s="21">
        <f t="shared" si="0"/>
        <v>43940</v>
      </c>
      <c r="B23" s="267">
        <v>111000</v>
      </c>
      <c r="C23" s="267"/>
      <c r="D23" s="268">
        <f t="shared" si="1"/>
        <v>111000</v>
      </c>
      <c r="E23" s="269">
        <v>8690</v>
      </c>
      <c r="F23" s="270"/>
      <c r="G23" s="263"/>
      <c r="H23" s="264">
        <f t="shared" si="2"/>
        <v>8690</v>
      </c>
      <c r="I23" s="271">
        <v>9</v>
      </c>
      <c r="J23" s="272">
        <f t="shared" si="3"/>
        <v>12333.333333333334</v>
      </c>
      <c r="K23" s="266"/>
      <c r="L23" s="5"/>
      <c r="M23" s="47" t="s">
        <v>30</v>
      </c>
      <c r="N23" s="247">
        <v>0</v>
      </c>
      <c r="O23" s="6"/>
      <c r="P23" s="32">
        <f t="shared" si="4"/>
        <v>43940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43940</v>
      </c>
      <c r="AK23" s="35"/>
      <c r="AL23" s="138"/>
      <c r="AM23" s="139"/>
      <c r="AN23" s="138"/>
      <c r="AO23" s="139"/>
      <c r="AP23" s="138"/>
      <c r="AQ23" s="139"/>
      <c r="AR23" s="138"/>
      <c r="AS23" s="139">
        <v>81000</v>
      </c>
      <c r="AT23" s="138"/>
      <c r="AU23" s="139">
        <v>10000</v>
      </c>
      <c r="AV23" s="138"/>
      <c r="AW23" s="151"/>
      <c r="AX23" s="138"/>
      <c r="AY23" s="149">
        <v>20000</v>
      </c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/>
      <c r="BK23" s="138"/>
      <c r="BL23" s="149"/>
      <c r="BM23" s="138"/>
    </row>
    <row r="24" spans="1:65">
      <c r="A24" s="21">
        <f t="shared" si="0"/>
        <v>43941</v>
      </c>
      <c r="B24" s="267">
        <v>0</v>
      </c>
      <c r="C24" s="267"/>
      <c r="D24" s="268">
        <f t="shared" si="1"/>
        <v>0</v>
      </c>
      <c r="E24" s="269">
        <v>0</v>
      </c>
      <c r="F24" s="270"/>
      <c r="G24" s="263"/>
      <c r="H24" s="264">
        <f t="shared" si="2"/>
        <v>0</v>
      </c>
      <c r="I24" s="271">
        <v>0</v>
      </c>
      <c r="J24" s="272">
        <v>0</v>
      </c>
      <c r="K24" s="266"/>
      <c r="L24" s="5"/>
      <c r="M24" s="47" t="s">
        <v>31</v>
      </c>
      <c r="N24" s="247">
        <v>0</v>
      </c>
      <c r="O24" s="6"/>
      <c r="P24" s="32">
        <f t="shared" si="4"/>
        <v>43941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43941</v>
      </c>
      <c r="AK24" s="35"/>
      <c r="AL24" s="138"/>
      <c r="AM24" s="139"/>
      <c r="AN24" s="138"/>
      <c r="AO24" s="139"/>
      <c r="AP24" s="138"/>
      <c r="AQ24" s="139"/>
      <c r="AR24" s="138"/>
      <c r="AS24" s="139"/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/>
      <c r="BF24" s="138"/>
      <c r="BG24" s="138"/>
      <c r="BH24" s="138"/>
      <c r="BI24" s="138"/>
      <c r="BJ24" s="138"/>
      <c r="BK24" s="138"/>
      <c r="BL24" s="149"/>
      <c r="BM24" s="138"/>
    </row>
    <row r="25" spans="1:65">
      <c r="A25" s="21">
        <f t="shared" si="0"/>
        <v>43942</v>
      </c>
      <c r="B25" s="267">
        <v>0</v>
      </c>
      <c r="C25" s="267"/>
      <c r="D25" s="268">
        <f t="shared" si="1"/>
        <v>0</v>
      </c>
      <c r="E25" s="269">
        <v>0</v>
      </c>
      <c r="F25" s="270"/>
      <c r="G25" s="263"/>
      <c r="H25" s="264">
        <f t="shared" si="2"/>
        <v>0</v>
      </c>
      <c r="I25" s="271">
        <v>0</v>
      </c>
      <c r="J25" s="272">
        <v>0</v>
      </c>
      <c r="K25" s="266"/>
      <c r="L25" s="5"/>
      <c r="M25" s="47" t="s">
        <v>32</v>
      </c>
      <c r="N25" s="247">
        <v>35500</v>
      </c>
      <c r="O25" s="6"/>
      <c r="P25" s="32">
        <f t="shared" si="4"/>
        <v>43942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43942</v>
      </c>
      <c r="AK25" s="35"/>
      <c r="AL25" s="138"/>
      <c r="AM25" s="139"/>
      <c r="AN25" s="138"/>
      <c r="AO25" s="139"/>
      <c r="AP25" s="138"/>
      <c r="AQ25" s="139"/>
      <c r="AR25" s="138"/>
      <c r="AS25" s="139"/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/>
      <c r="BK25" s="138"/>
      <c r="BL25" s="149"/>
      <c r="BM25" s="138"/>
    </row>
    <row r="26" spans="1:65">
      <c r="A26" s="21">
        <f t="shared" si="0"/>
        <v>43943</v>
      </c>
      <c r="B26" s="267">
        <v>92500</v>
      </c>
      <c r="C26" s="267"/>
      <c r="D26" s="268">
        <f t="shared" si="1"/>
        <v>92500</v>
      </c>
      <c r="E26" s="269">
        <v>5245</v>
      </c>
      <c r="F26" s="270"/>
      <c r="G26" s="263"/>
      <c r="H26" s="264">
        <f t="shared" si="2"/>
        <v>5245</v>
      </c>
      <c r="I26" s="271">
        <v>9</v>
      </c>
      <c r="J26" s="272">
        <f t="shared" si="3"/>
        <v>10277.777777777777</v>
      </c>
      <c r="K26" s="266"/>
      <c r="L26" s="5"/>
      <c r="M26" s="47"/>
      <c r="N26" s="247"/>
      <c r="O26" s="6"/>
      <c r="P26" s="32">
        <f t="shared" si="4"/>
        <v>43943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43943</v>
      </c>
      <c r="AK26" s="35"/>
      <c r="AL26" s="138"/>
      <c r="AM26" s="139"/>
      <c r="AN26" s="138"/>
      <c r="AO26" s="139">
        <v>5500</v>
      </c>
      <c r="AP26" s="138"/>
      <c r="AQ26" s="139"/>
      <c r="AR26" s="138"/>
      <c r="AS26" s="139">
        <v>83000</v>
      </c>
      <c r="AT26" s="138"/>
      <c r="AU26" s="139">
        <v>4000</v>
      </c>
      <c r="AV26" s="138"/>
      <c r="AW26" s="151"/>
      <c r="AX26" s="138"/>
      <c r="AY26" s="149"/>
      <c r="AZ26" s="138"/>
      <c r="BA26" s="149"/>
      <c r="BB26" s="138"/>
      <c r="BC26" s="149"/>
      <c r="BD26" s="138"/>
      <c r="BE26" s="149"/>
      <c r="BF26" s="138"/>
      <c r="BG26" s="138"/>
      <c r="BH26" s="138"/>
      <c r="BI26" s="138"/>
      <c r="BJ26" s="138"/>
      <c r="BK26" s="138"/>
      <c r="BL26" s="149"/>
      <c r="BM26" s="138"/>
    </row>
    <row r="27" spans="1:65">
      <c r="A27" s="21">
        <f t="shared" si="0"/>
        <v>43944</v>
      </c>
      <c r="B27" s="267">
        <v>0</v>
      </c>
      <c r="C27" s="267"/>
      <c r="D27" s="268">
        <f t="shared" si="1"/>
        <v>0</v>
      </c>
      <c r="E27" s="269">
        <v>0</v>
      </c>
      <c r="F27" s="270"/>
      <c r="G27" s="263"/>
      <c r="H27" s="264">
        <f t="shared" si="2"/>
        <v>0</v>
      </c>
      <c r="I27" s="271">
        <v>0</v>
      </c>
      <c r="J27" s="272">
        <v>0</v>
      </c>
      <c r="K27" s="266"/>
      <c r="L27" s="5"/>
      <c r="M27" s="47" t="s">
        <v>175</v>
      </c>
      <c r="N27" s="247">
        <v>116000</v>
      </c>
      <c r="O27" s="7"/>
      <c r="P27" s="32">
        <f t="shared" si="4"/>
        <v>43944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43944</v>
      </c>
      <c r="AK27" s="35"/>
      <c r="AL27" s="138"/>
      <c r="AM27" s="139"/>
      <c r="AN27" s="138"/>
      <c r="AO27" s="139"/>
      <c r="AP27" s="138"/>
      <c r="AQ27" s="139"/>
      <c r="AR27" s="138"/>
      <c r="AS27" s="139"/>
      <c r="AT27" s="138"/>
      <c r="AU27" s="139"/>
      <c r="AV27" s="138"/>
      <c r="AW27" s="151"/>
      <c r="AX27" s="138"/>
      <c r="AY27" s="149"/>
      <c r="AZ27" s="138"/>
      <c r="BA27" s="149"/>
      <c r="BB27" s="138"/>
      <c r="BC27" s="149"/>
      <c r="BD27" s="138"/>
      <c r="BE27" s="149"/>
      <c r="BF27" s="138"/>
      <c r="BG27" s="138"/>
      <c r="BH27" s="138"/>
      <c r="BI27" s="138"/>
      <c r="BJ27" s="138"/>
      <c r="BK27" s="138"/>
      <c r="BL27" s="149"/>
      <c r="BM27" s="138"/>
    </row>
    <row r="28" spans="1:65">
      <c r="A28" s="21">
        <f t="shared" si="0"/>
        <v>43945</v>
      </c>
      <c r="B28" s="267">
        <v>3000</v>
      </c>
      <c r="C28" s="267">
        <v>41000</v>
      </c>
      <c r="D28" s="268">
        <f t="shared" si="1"/>
        <v>44000</v>
      </c>
      <c r="E28" s="269">
        <v>1252</v>
      </c>
      <c r="F28" s="270"/>
      <c r="G28" s="263"/>
      <c r="H28" s="264">
        <f t="shared" si="2"/>
        <v>1252</v>
      </c>
      <c r="I28" s="271">
        <v>3</v>
      </c>
      <c r="J28" s="272">
        <f t="shared" si="3"/>
        <v>1000</v>
      </c>
      <c r="K28" s="266"/>
      <c r="L28" s="5"/>
      <c r="M28" s="49" t="s">
        <v>33</v>
      </c>
      <c r="N28" s="248">
        <f>SUM(N20:N27)</f>
        <v>468500</v>
      </c>
      <c r="O28" s="7"/>
      <c r="P28" s="32">
        <f t="shared" si="4"/>
        <v>43945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43945</v>
      </c>
      <c r="AK28" s="35"/>
      <c r="AL28" s="138"/>
      <c r="AM28" s="139"/>
      <c r="AN28" s="138"/>
      <c r="AO28" s="139">
        <v>3000</v>
      </c>
      <c r="AP28" s="138"/>
      <c r="AQ28" s="139"/>
      <c r="AR28" s="138"/>
      <c r="AS28" s="139">
        <v>41000</v>
      </c>
      <c r="AT28" s="138"/>
      <c r="AU28" s="139"/>
      <c r="AV28" s="138"/>
      <c r="AW28" s="151"/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38"/>
      <c r="BL28" s="149"/>
      <c r="BM28" s="138"/>
    </row>
    <row r="29" spans="1:65">
      <c r="A29" s="21">
        <f t="shared" si="0"/>
        <v>43946</v>
      </c>
      <c r="B29" s="267">
        <v>0</v>
      </c>
      <c r="C29" s="267"/>
      <c r="D29" s="268">
        <f t="shared" si="1"/>
        <v>0</v>
      </c>
      <c r="E29" s="269">
        <v>0</v>
      </c>
      <c r="F29" s="270"/>
      <c r="G29" s="263"/>
      <c r="H29" s="264">
        <f t="shared" si="2"/>
        <v>0</v>
      </c>
      <c r="I29" s="271">
        <v>0</v>
      </c>
      <c r="J29" s="272">
        <v>0</v>
      </c>
      <c r="K29" s="266"/>
      <c r="L29" s="5"/>
      <c r="M29" s="51"/>
      <c r="N29" s="7"/>
      <c r="O29" s="7"/>
      <c r="P29" s="32">
        <f t="shared" si="4"/>
        <v>43946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43946</v>
      </c>
      <c r="AK29" s="35"/>
      <c r="AL29" s="138"/>
      <c r="AM29" s="139"/>
      <c r="AN29" s="138"/>
      <c r="AO29" s="139"/>
      <c r="AP29" s="138"/>
      <c r="AQ29" s="139"/>
      <c r="AR29" s="138"/>
      <c r="AS29" s="139"/>
      <c r="AT29" s="138"/>
      <c r="AU29" s="139"/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/>
      <c r="BI29" s="138"/>
      <c r="BJ29" s="138"/>
      <c r="BK29" s="138"/>
      <c r="BL29" s="149"/>
      <c r="BM29" s="138"/>
    </row>
    <row r="30" spans="1:65">
      <c r="A30" s="21">
        <f t="shared" si="0"/>
        <v>43947</v>
      </c>
      <c r="B30" s="267">
        <v>9000</v>
      </c>
      <c r="C30" s="267">
        <v>53000</v>
      </c>
      <c r="D30" s="268">
        <f t="shared" si="1"/>
        <v>62000</v>
      </c>
      <c r="E30" s="269">
        <v>0</v>
      </c>
      <c r="F30" s="270"/>
      <c r="G30" s="263"/>
      <c r="H30" s="264">
        <f t="shared" si="2"/>
        <v>0</v>
      </c>
      <c r="I30" s="271">
        <v>4</v>
      </c>
      <c r="J30" s="272">
        <f t="shared" si="3"/>
        <v>2250</v>
      </c>
      <c r="K30" s="266"/>
      <c r="L30" s="5"/>
      <c r="M30" s="45"/>
      <c r="N30" s="7"/>
      <c r="O30" s="7"/>
      <c r="P30" s="32">
        <f t="shared" si="4"/>
        <v>43947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43947</v>
      </c>
      <c r="AK30" s="35"/>
      <c r="AL30" s="138"/>
      <c r="AM30" s="139"/>
      <c r="AN30" s="138"/>
      <c r="AO30" s="139"/>
      <c r="AP30" s="138"/>
      <c r="AQ30" s="139"/>
      <c r="AR30" s="138"/>
      <c r="AS30" s="139">
        <v>53000</v>
      </c>
      <c r="AT30" s="138"/>
      <c r="AU30" s="139"/>
      <c r="AV30" s="138"/>
      <c r="AW30" s="151"/>
      <c r="AX30" s="138"/>
      <c r="AY30" s="149"/>
      <c r="AZ30" s="138"/>
      <c r="BA30" s="149"/>
      <c r="BB30" s="138"/>
      <c r="BC30" s="149"/>
      <c r="BD30" s="138"/>
      <c r="BE30" s="149"/>
      <c r="BF30" s="138"/>
      <c r="BG30" s="138"/>
      <c r="BH30" s="138">
        <v>5000</v>
      </c>
      <c r="BI30" s="138"/>
      <c r="BJ30" s="138">
        <v>4000</v>
      </c>
      <c r="BK30" s="138"/>
      <c r="BL30" s="149"/>
      <c r="BM30" s="138"/>
    </row>
    <row r="31" spans="1:65">
      <c r="A31" s="21">
        <f t="shared" si="0"/>
        <v>43948</v>
      </c>
      <c r="B31" s="267">
        <v>0</v>
      </c>
      <c r="C31" s="267"/>
      <c r="D31" s="268">
        <f t="shared" si="1"/>
        <v>0</v>
      </c>
      <c r="E31" s="269">
        <v>0</v>
      </c>
      <c r="F31" s="270"/>
      <c r="G31" s="263"/>
      <c r="H31" s="264">
        <f t="shared" si="2"/>
        <v>0</v>
      </c>
      <c r="I31" s="271">
        <v>0</v>
      </c>
      <c r="J31" s="272">
        <v>0</v>
      </c>
      <c r="K31" s="266"/>
      <c r="L31" s="5"/>
      <c r="M31" s="45"/>
      <c r="N31" s="52"/>
      <c r="O31" s="7"/>
      <c r="P31" s="32">
        <f t="shared" si="4"/>
        <v>43948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43948</v>
      </c>
      <c r="AK31" s="35"/>
      <c r="AL31" s="138"/>
      <c r="AM31" s="139"/>
      <c r="AN31" s="138"/>
      <c r="AO31" s="139"/>
      <c r="AP31" s="138"/>
      <c r="AQ31" s="139"/>
      <c r="AR31" s="138"/>
      <c r="AS31" s="139"/>
      <c r="AT31" s="138"/>
      <c r="AU31" s="139"/>
      <c r="AV31" s="138"/>
      <c r="AW31" s="151"/>
      <c r="AX31" s="138"/>
      <c r="AY31" s="149"/>
      <c r="AZ31" s="138"/>
      <c r="BA31" s="149"/>
      <c r="BB31" s="138"/>
      <c r="BC31" s="149"/>
      <c r="BD31" s="138"/>
      <c r="BE31" s="149"/>
      <c r="BF31" s="138"/>
      <c r="BG31" s="138"/>
      <c r="BH31" s="138"/>
      <c r="BI31" s="138"/>
      <c r="BJ31" s="138"/>
      <c r="BK31" s="138"/>
      <c r="BL31" s="149"/>
      <c r="BM31" s="138"/>
    </row>
    <row r="32" spans="1:65">
      <c r="A32" s="21">
        <f t="shared" si="0"/>
        <v>43949</v>
      </c>
      <c r="B32" s="267">
        <v>22000</v>
      </c>
      <c r="C32" s="267"/>
      <c r="D32" s="268">
        <f t="shared" si="1"/>
        <v>22000</v>
      </c>
      <c r="E32" s="269">
        <v>0</v>
      </c>
      <c r="F32" s="270"/>
      <c r="G32" s="263"/>
      <c r="H32" s="264">
        <f t="shared" si="2"/>
        <v>0</v>
      </c>
      <c r="I32" s="271">
        <v>9</v>
      </c>
      <c r="J32" s="272">
        <f t="shared" si="3"/>
        <v>2444.4444444444443</v>
      </c>
      <c r="K32" s="266"/>
      <c r="L32" s="5"/>
      <c r="M32" s="53" t="s">
        <v>34</v>
      </c>
      <c r="N32" s="38">
        <f>D37</f>
        <v>1798500</v>
      </c>
      <c r="O32" s="6"/>
      <c r="P32" s="32">
        <f t="shared" si="4"/>
        <v>43949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43949</v>
      </c>
      <c r="AK32" s="35"/>
      <c r="AL32" s="138"/>
      <c r="AM32" s="139"/>
      <c r="AN32" s="138"/>
      <c r="AO32" s="139"/>
      <c r="AP32" s="138"/>
      <c r="AQ32" s="139"/>
      <c r="AR32" s="138"/>
      <c r="AS32" s="139"/>
      <c r="AT32" s="138"/>
      <c r="AU32" s="139"/>
      <c r="AV32" s="138"/>
      <c r="AW32" s="151"/>
      <c r="AX32" s="138"/>
      <c r="AY32" s="149">
        <v>2000</v>
      </c>
      <c r="AZ32" s="138"/>
      <c r="BA32" s="149"/>
      <c r="BB32" s="138"/>
      <c r="BC32" s="149"/>
      <c r="BD32" s="138"/>
      <c r="BE32" s="149">
        <v>20000</v>
      </c>
      <c r="BF32" s="138"/>
      <c r="BG32" s="138"/>
      <c r="BH32" s="138"/>
      <c r="BI32" s="138"/>
      <c r="BJ32" s="138"/>
      <c r="BK32" s="138"/>
      <c r="BL32" s="149"/>
      <c r="BM32" s="138"/>
    </row>
    <row r="33" spans="1:65">
      <c r="A33" s="21">
        <f t="shared" si="0"/>
        <v>43950</v>
      </c>
      <c r="B33" s="267">
        <v>46000</v>
      </c>
      <c r="C33" s="267"/>
      <c r="D33" s="268">
        <f t="shared" si="1"/>
        <v>46000</v>
      </c>
      <c r="E33" s="269">
        <v>0</v>
      </c>
      <c r="F33" s="270"/>
      <c r="G33" s="263"/>
      <c r="H33" s="264">
        <f t="shared" si="2"/>
        <v>0</v>
      </c>
      <c r="I33" s="271">
        <v>3</v>
      </c>
      <c r="J33" s="272">
        <f t="shared" si="3"/>
        <v>15333.333333333334</v>
      </c>
      <c r="K33" s="266"/>
      <c r="L33" s="5"/>
      <c r="M33" s="53" t="s">
        <v>35</v>
      </c>
      <c r="N33" s="38">
        <f>H37</f>
        <v>149894</v>
      </c>
      <c r="O33" s="6"/>
      <c r="P33" s="32">
        <f>IF($A$33="","",$A$33)</f>
        <v>43950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43950</v>
      </c>
      <c r="AK33" s="56"/>
      <c r="AL33" s="138"/>
      <c r="AM33" s="139"/>
      <c r="AN33" s="138"/>
      <c r="AO33" s="139"/>
      <c r="AP33" s="138"/>
      <c r="AQ33" s="139"/>
      <c r="AS33" s="139">
        <v>46000</v>
      </c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/>
      <c r="BF33" s="138"/>
      <c r="BG33" s="138"/>
      <c r="BH33" s="138"/>
      <c r="BI33" s="138"/>
      <c r="BJ33" s="138"/>
      <c r="BK33" s="138"/>
      <c r="BL33" s="149"/>
      <c r="BM33" s="138"/>
    </row>
    <row r="34" spans="1:65">
      <c r="A34" s="21">
        <f t="shared" si="0"/>
        <v>43951</v>
      </c>
      <c r="B34" s="267">
        <v>71000</v>
      </c>
      <c r="C34" s="267"/>
      <c r="D34" s="268">
        <f t="shared" si="1"/>
        <v>71000</v>
      </c>
      <c r="E34" s="269">
        <v>0</v>
      </c>
      <c r="F34" s="270"/>
      <c r="G34" s="263"/>
      <c r="H34" s="264">
        <f t="shared" si="2"/>
        <v>0</v>
      </c>
      <c r="I34" s="271">
        <v>8</v>
      </c>
      <c r="J34" s="272">
        <f t="shared" si="3"/>
        <v>8875</v>
      </c>
      <c r="K34" s="266"/>
      <c r="L34" s="5"/>
      <c r="M34" s="53" t="s">
        <v>36</v>
      </c>
      <c r="N34" s="38">
        <f>N28</f>
        <v>468500</v>
      </c>
      <c r="O34" s="6"/>
      <c r="P34" s="32">
        <f>IF($A$34="","",$A$34)</f>
        <v>43951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43951</v>
      </c>
      <c r="AK34" s="137"/>
      <c r="AL34" s="154"/>
      <c r="AM34" s="155"/>
      <c r="AN34" s="154"/>
      <c r="AO34" s="155">
        <v>3000</v>
      </c>
      <c r="AP34" s="154"/>
      <c r="AQ34" s="155"/>
      <c r="AR34" s="154"/>
      <c r="AS34" s="155">
        <v>58000</v>
      </c>
      <c r="AT34" s="154"/>
      <c r="AU34" s="155"/>
      <c r="AV34" s="154"/>
      <c r="AW34" s="156"/>
      <c r="AX34" s="154"/>
      <c r="AY34" s="157">
        <v>10000</v>
      </c>
      <c r="AZ34" s="154"/>
      <c r="BA34" s="157"/>
      <c r="BB34" s="154"/>
      <c r="BC34" s="157"/>
      <c r="BD34" s="154"/>
      <c r="BE34" s="157"/>
      <c r="BF34" s="154"/>
      <c r="BG34" s="154"/>
      <c r="BH34" s="154"/>
      <c r="BI34" s="154"/>
      <c r="BJ34" s="154"/>
      <c r="BK34" s="154"/>
      <c r="BL34" s="157"/>
      <c r="BM34" s="154"/>
    </row>
    <row r="35" spans="1:65" ht="21" thickBot="1">
      <c r="A35" s="21" t="str">
        <f t="shared" si="0"/>
        <v/>
      </c>
      <c r="B35" s="267"/>
      <c r="C35" s="267"/>
      <c r="D35" s="268"/>
      <c r="E35" s="269"/>
      <c r="F35" s="270"/>
      <c r="G35" s="263"/>
      <c r="H35" s="264"/>
      <c r="I35" s="276"/>
      <c r="J35" s="277"/>
      <c r="K35" s="278"/>
      <c r="L35" s="5"/>
      <c r="M35" s="60" t="s">
        <v>37</v>
      </c>
      <c r="N35" s="61">
        <f>IFERROR(N32-N33-N34, "")</f>
        <v>1180106</v>
      </c>
      <c r="O35" s="6"/>
      <c r="P35" s="32" t="str">
        <f>IF($A$35="","",$A$35)</f>
        <v/>
      </c>
      <c r="Q35" s="42"/>
      <c r="R35" s="33"/>
      <c r="S35" s="232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 t="str">
        <f>IF($A$35="","",$A$35)</f>
        <v/>
      </c>
      <c r="AK35" s="115"/>
      <c r="AL35" s="158"/>
      <c r="AM35" s="147"/>
      <c r="AN35" s="158"/>
      <c r="AO35" s="147"/>
      <c r="AP35" s="158"/>
      <c r="AQ35" s="147"/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47"/>
      <c r="BM35" s="158"/>
    </row>
    <row r="36" spans="1:65" ht="22" thickTop="1" thickBot="1">
      <c r="A36" s="65"/>
      <c r="B36" s="279" t="s">
        <v>38</v>
      </c>
      <c r="C36" s="279" t="s">
        <v>39</v>
      </c>
      <c r="D36" s="280" t="s">
        <v>34</v>
      </c>
      <c r="E36" s="281" t="s">
        <v>40</v>
      </c>
      <c r="F36" s="282" t="s">
        <v>16</v>
      </c>
      <c r="G36" s="283" t="s">
        <v>5</v>
      </c>
      <c r="H36" s="284" t="s">
        <v>41</v>
      </c>
      <c r="I36" s="285" t="s">
        <v>42</v>
      </c>
      <c r="J36" s="285" t="s">
        <v>43</v>
      </c>
      <c r="K36" s="286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251"/>
      <c r="AI36" s="80"/>
      <c r="AJ36" s="80"/>
      <c r="AK36" s="115">
        <f>SUM(AK5:AK35)</f>
        <v>0</v>
      </c>
      <c r="AL36" s="115">
        <f>SUM(AL5:AL35)</f>
        <v>0</v>
      </c>
      <c r="AM36" s="115">
        <f t="shared" ref="AM36:BM36" si="6">SUM(AM5:AM35)</f>
        <v>0</v>
      </c>
      <c r="AN36" s="115">
        <f t="shared" si="6"/>
        <v>0</v>
      </c>
      <c r="AO36" s="115">
        <f t="shared" si="6"/>
        <v>107500</v>
      </c>
      <c r="AP36" s="115">
        <f t="shared" si="6"/>
        <v>0</v>
      </c>
      <c r="AQ36" s="115">
        <f t="shared" si="6"/>
        <v>100000</v>
      </c>
      <c r="AR36" s="115">
        <f t="shared" si="6"/>
        <v>0</v>
      </c>
      <c r="AS36" s="115">
        <f t="shared" si="6"/>
        <v>1008000</v>
      </c>
      <c r="AT36" s="115">
        <f t="shared" si="6"/>
        <v>0</v>
      </c>
      <c r="AU36" s="115">
        <f t="shared" si="6"/>
        <v>165500</v>
      </c>
      <c r="AV36" s="115">
        <f t="shared" si="6"/>
        <v>0</v>
      </c>
      <c r="AW36" s="115">
        <f t="shared" si="6"/>
        <v>23500</v>
      </c>
      <c r="AX36" s="115">
        <f t="shared" si="6"/>
        <v>0</v>
      </c>
      <c r="AY36" s="115">
        <f t="shared" si="6"/>
        <v>84000</v>
      </c>
      <c r="AZ36" s="115">
        <f t="shared" si="6"/>
        <v>0</v>
      </c>
      <c r="BA36" s="115">
        <f t="shared" si="6"/>
        <v>8000</v>
      </c>
      <c r="BB36" s="115">
        <f t="shared" si="6"/>
        <v>0</v>
      </c>
      <c r="BC36" s="115">
        <f t="shared" si="6"/>
        <v>10000</v>
      </c>
      <c r="BD36" s="115">
        <f t="shared" si="6"/>
        <v>18000</v>
      </c>
      <c r="BE36" s="115">
        <f t="shared" si="6"/>
        <v>150000</v>
      </c>
      <c r="BF36" s="115">
        <f t="shared" si="6"/>
        <v>30000</v>
      </c>
      <c r="BG36" s="115">
        <f t="shared" si="6"/>
        <v>10000</v>
      </c>
      <c r="BH36" s="115">
        <f t="shared" si="6"/>
        <v>44000</v>
      </c>
      <c r="BI36" s="115">
        <f t="shared" si="6"/>
        <v>9000</v>
      </c>
      <c r="BJ36" s="115">
        <f t="shared" si="6"/>
        <v>4000</v>
      </c>
      <c r="BK36" s="115">
        <f t="shared" si="6"/>
        <v>1000</v>
      </c>
      <c r="BL36" s="115">
        <f t="shared" si="6"/>
        <v>6000</v>
      </c>
      <c r="BM36" s="115">
        <f t="shared" si="6"/>
        <v>0</v>
      </c>
    </row>
    <row r="37" spans="1:65" ht="22" thickTop="1" thickBot="1">
      <c r="A37" s="81" t="s">
        <v>33</v>
      </c>
      <c r="B37" s="287">
        <f>SUM(B5:B35)</f>
        <v>1355500</v>
      </c>
      <c r="C37" s="287">
        <f>SUM(C5:C33)</f>
        <v>443000</v>
      </c>
      <c r="D37" s="287">
        <f t="shared" ref="D37:I37" si="7">SUM(D5:D35)</f>
        <v>1798500</v>
      </c>
      <c r="E37" s="292">
        <f t="shared" si="7"/>
        <v>147925</v>
      </c>
      <c r="F37" s="293">
        <f t="shared" si="7"/>
        <v>1969</v>
      </c>
      <c r="G37" s="293">
        <f t="shared" si="7"/>
        <v>0</v>
      </c>
      <c r="H37" s="288">
        <f t="shared" si="7"/>
        <v>149894</v>
      </c>
      <c r="I37" s="289">
        <f t="shared" si="7"/>
        <v>183</v>
      </c>
      <c r="J37" s="290">
        <f>AVERAGE(J5:J35)</f>
        <v>6231.7615935263002</v>
      </c>
      <c r="K37" s="291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252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L37" s="1"/>
      <c r="BM37" s="1"/>
    </row>
    <row r="38" spans="1:65">
      <c r="E38" s="577" t="s">
        <v>181</v>
      </c>
      <c r="F38" s="577"/>
      <c r="G38" s="577"/>
      <c r="H38" s="577"/>
      <c r="I38" s="577"/>
      <c r="J38" s="577"/>
      <c r="K38" s="577"/>
      <c r="BE38" s="181" t="s">
        <v>179</v>
      </c>
    </row>
    <row r="39" spans="1:65">
      <c r="BE39" s="576" t="s">
        <v>182</v>
      </c>
      <c r="BF39" s="576"/>
    </row>
  </sheetData>
  <mergeCells count="51">
    <mergeCell ref="AN3:AN4"/>
    <mergeCell ref="A1:A2"/>
    <mergeCell ref="B1:B2"/>
    <mergeCell ref="A3:A4"/>
    <mergeCell ref="B3:D3"/>
    <mergeCell ref="E3:H3"/>
    <mergeCell ref="I3:I4"/>
    <mergeCell ref="J3:J4"/>
    <mergeCell ref="P3:P4"/>
    <mergeCell ref="Q3:S3"/>
    <mergeCell ref="T3:V3"/>
    <mergeCell ref="BD3:BD4"/>
    <mergeCell ref="BE3:BE4"/>
    <mergeCell ref="AT3:AT4"/>
    <mergeCell ref="AU3:AU4"/>
    <mergeCell ref="AV3:AV4"/>
    <mergeCell ref="AW3:AW4"/>
    <mergeCell ref="AX3:AX4"/>
    <mergeCell ref="AY3:AY4"/>
    <mergeCell ref="BL3:BL4"/>
    <mergeCell ref="BM3:BM4"/>
    <mergeCell ref="BJ3:BJ4"/>
    <mergeCell ref="M19:N19"/>
    <mergeCell ref="N20:N21"/>
    <mergeCell ref="AO3:AO4"/>
    <mergeCell ref="AP3:AP4"/>
    <mergeCell ref="AQ3:AQ4"/>
    <mergeCell ref="Z3:AB3"/>
    <mergeCell ref="W3:Y3"/>
    <mergeCell ref="M11:N11"/>
    <mergeCell ref="AR3:AR4"/>
    <mergeCell ref="AS3:AS4"/>
    <mergeCell ref="AC3:AE3"/>
    <mergeCell ref="AF3:AH3"/>
    <mergeCell ref="AJ3:AJ4"/>
    <mergeCell ref="BE39:BF39"/>
    <mergeCell ref="M13:N13"/>
    <mergeCell ref="E38:K38"/>
    <mergeCell ref="BK3:BK4"/>
    <mergeCell ref="BH3:BH4"/>
    <mergeCell ref="BF3:BF4"/>
    <mergeCell ref="AK3:AK4"/>
    <mergeCell ref="AL3:AL4"/>
    <mergeCell ref="AM3:AM4"/>
    <mergeCell ref="P36:P37"/>
    <mergeCell ref="BI3:BI4"/>
    <mergeCell ref="BG3:BG4"/>
    <mergeCell ref="AZ3:AZ4"/>
    <mergeCell ref="BA3:BA4"/>
    <mergeCell ref="BB3:BB4"/>
    <mergeCell ref="BC3:BC4"/>
  </mergeCells>
  <phoneticPr fontId="7"/>
  <dataValidations count="6">
    <dataValidation type="list" allowBlank="1" showErrorMessage="1" sqref="Q5:Q6 T5:T35 W5:W35 Z5:Z35 AC5:AC35 AF5:AF35" xr:uid="{A12783AE-4D52-BC4C-97C5-3EAFF5724FDF}">
      <formula1>入時間</formula1>
    </dataValidation>
    <dataValidation type="list" allowBlank="1" showErrorMessage="1" sqref="R5:R35 U5:U35 X5:X35 AA5:AA35 AD5:AD35 AG5:AG35" xr:uid="{FD9E68CA-050B-8644-A4DD-87188995B3B1}">
      <formula1>出時間</formula1>
    </dataValidation>
    <dataValidation type="list" allowBlank="1" showErrorMessage="1" sqref="Q3:AH3 AK3:AK4 AW3:AW4 AM3:AM4 AO3:AO4 BE3:BE4 BA3:BA4 AS3:AS4 AY3:AY4 BC3:BC4 AQ3:AQ4 AU3:AU4 BL3:BL4 BG3:BG4 BH3 BI3:BI4 BJ3:BK3" xr:uid="{B2A2C130-6C1A-AA46-8349-88FF74CF2FAC}">
      <formula1>名前</formula1>
    </dataValidation>
    <dataValidation type="list" allowBlank="1" showErrorMessage="1" sqref="Q7:Q35" xr:uid="{92C518E6-0B12-8C48-9438-940C84734A31}">
      <formula1>#REF!</formula1>
    </dataValidation>
    <dataValidation type="list" allowBlank="1" showErrorMessage="1" sqref="S5:S35 V5:V35 Y5:Y35 AB5:AB35 AE5:AE35 AH5:AH35" xr:uid="{92B98EE0-406A-DF46-A234-F18D642697E1}">
      <formula1>"　,済"</formula1>
    </dataValidation>
    <dataValidation allowBlank="1" showErrorMessage="1" sqref="AL3:AL4 BB3:BB4 AN3:AN4 AV3:AV4 AT3:AT4 AX3:AX4 AZ3:AZ4 BD3:BD4 AP3:AP4 AR3:AR4 BM3:BM4 BF3:BF4" xr:uid="{20C42F1F-B26A-524A-8DFF-418CBDDFEAEE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7B85-FFF7-6F48-8134-6BD438B49918}">
  <dimension ref="A1:BL37"/>
  <sheetViews>
    <sheetView topLeftCell="AD1" zoomScale="75" workbookViewId="0">
      <selection activeCell="AU10" sqref="AU10"/>
    </sheetView>
  </sheetViews>
  <sheetFormatPr baseColWidth="10" defaultRowHeight="20"/>
  <cols>
    <col min="1" max="1" width="15.5703125" customWidth="1"/>
    <col min="47" max="47" width="15.7109375" bestFit="1" customWidth="1"/>
    <col min="57" max="57" width="11" bestFit="1" customWidth="1"/>
    <col min="58" max="58" width="10.28515625" bestFit="1" customWidth="1"/>
    <col min="59" max="59" width="12" style="1" bestFit="1" customWidth="1"/>
    <col min="60" max="61" width="12.140625" style="1" customWidth="1"/>
    <col min="62" max="62" width="10.7109375" style="1"/>
  </cols>
  <sheetData>
    <row r="1" spans="1:64">
      <c r="A1" s="498">
        <v>2020</v>
      </c>
      <c r="B1" s="500">
        <v>5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K1" s="1"/>
      <c r="BL1" s="1"/>
    </row>
    <row r="2" spans="1:64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K2" s="1"/>
      <c r="BL2" s="1"/>
    </row>
    <row r="3" spans="1:64" ht="21" thickBot="1">
      <c r="A3" s="501" t="s">
        <v>0</v>
      </c>
      <c r="B3" s="503" t="s">
        <v>167</v>
      </c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156</v>
      </c>
      <c r="AV3" s="494">
        <v>0.3</v>
      </c>
      <c r="AW3" s="496" t="s">
        <v>120</v>
      </c>
      <c r="AX3" s="494">
        <v>0.3</v>
      </c>
      <c r="AY3" s="527" t="s">
        <v>74</v>
      </c>
      <c r="AZ3" s="494">
        <v>0.3</v>
      </c>
      <c r="BA3" s="492" t="s">
        <v>171</v>
      </c>
      <c r="BB3" s="494">
        <v>0.3</v>
      </c>
      <c r="BC3" s="496" t="s">
        <v>183</v>
      </c>
      <c r="BD3" s="494">
        <v>0.3</v>
      </c>
      <c r="BE3" s="496" t="s">
        <v>150</v>
      </c>
      <c r="BF3" s="566" t="s">
        <v>184</v>
      </c>
      <c r="BG3" s="496" t="s">
        <v>126</v>
      </c>
      <c r="BH3" s="520" t="s">
        <v>139</v>
      </c>
      <c r="BI3" s="520" t="s">
        <v>187</v>
      </c>
      <c r="BJ3" s="570" t="s">
        <v>134</v>
      </c>
      <c r="BK3" s="570" t="s">
        <v>9</v>
      </c>
      <c r="BL3" s="494">
        <v>0.3</v>
      </c>
    </row>
    <row r="4" spans="1:64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497"/>
      <c r="BF4" s="567"/>
      <c r="BG4" s="496"/>
      <c r="BH4" s="521"/>
      <c r="BI4" s="521"/>
      <c r="BJ4" s="570"/>
      <c r="BK4" s="580"/>
      <c r="BL4" s="495"/>
    </row>
    <row r="5" spans="1:64" ht="21" thickTop="1">
      <c r="A5" s="21">
        <f t="shared" ref="A5:A35" si="0">IF(DAY(DATE($A$1,$B$1,ROW()-4))=ROW()-4,DATE($A$1,$B$1,ROW()-4),"")</f>
        <v>43952</v>
      </c>
      <c r="B5" s="23">
        <v>31000</v>
      </c>
      <c r="C5" s="23">
        <v>78000</v>
      </c>
      <c r="D5" s="24">
        <f t="shared" ref="D5:D35" si="1">B5+C5</f>
        <v>109000</v>
      </c>
      <c r="E5" s="25">
        <v>0</v>
      </c>
      <c r="F5" s="26"/>
      <c r="G5" s="27"/>
      <c r="H5" s="28">
        <f t="shared" ref="H5:H23" si="2">E5+F5+G5</f>
        <v>0</v>
      </c>
      <c r="I5" s="27">
        <v>11</v>
      </c>
      <c r="J5" s="28">
        <f t="shared" ref="J5:J32" si="3">IFERROR(B5/I5, "")</f>
        <v>2818.181818181818</v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43952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43952</v>
      </c>
      <c r="AK5" s="35"/>
      <c r="AL5" s="138"/>
      <c r="AM5" s="139"/>
      <c r="AN5" s="138"/>
      <c r="AO5" s="143">
        <v>7000</v>
      </c>
      <c r="AP5" s="138"/>
      <c r="AQ5" s="141">
        <v>2000</v>
      </c>
      <c r="AR5" s="138"/>
      <c r="AS5" s="142">
        <v>78000</v>
      </c>
      <c r="AT5" s="138"/>
      <c r="AU5" s="143">
        <v>16000</v>
      </c>
      <c r="AV5" s="138"/>
      <c r="AW5" s="144">
        <v>6000</v>
      </c>
      <c r="AX5" s="138"/>
      <c r="AY5" s="145"/>
      <c r="AZ5" s="138"/>
      <c r="BA5" s="146"/>
      <c r="BB5" s="138"/>
      <c r="BC5" s="144"/>
      <c r="BD5" s="138"/>
      <c r="BE5" s="144"/>
      <c r="BF5" s="160"/>
      <c r="BG5" s="158"/>
      <c r="BH5" s="172"/>
      <c r="BI5" s="172"/>
      <c r="BJ5" s="172"/>
      <c r="BK5" s="161"/>
      <c r="BL5" s="138"/>
    </row>
    <row r="6" spans="1:64">
      <c r="A6" s="21">
        <f t="shared" si="0"/>
        <v>43953</v>
      </c>
      <c r="B6" s="38">
        <v>24000</v>
      </c>
      <c r="C6" s="23">
        <v>0</v>
      </c>
      <c r="D6" s="39">
        <f t="shared" si="1"/>
        <v>24000</v>
      </c>
      <c r="E6" s="40">
        <v>0</v>
      </c>
      <c r="F6" s="35"/>
      <c r="G6" s="27"/>
      <c r="H6" s="28">
        <f t="shared" si="2"/>
        <v>0</v>
      </c>
      <c r="I6" s="35">
        <v>4</v>
      </c>
      <c r="J6" s="41">
        <f t="shared" si="3"/>
        <v>6000</v>
      </c>
      <c r="K6" s="29"/>
      <c r="L6" s="5"/>
      <c r="M6" s="30" t="s">
        <v>24</v>
      </c>
      <c r="N6" s="31" t="s">
        <v>25</v>
      </c>
      <c r="O6" s="7"/>
      <c r="P6" s="32">
        <f t="shared" si="4"/>
        <v>43953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43953</v>
      </c>
      <c r="AK6" s="35"/>
      <c r="AL6" s="138"/>
      <c r="AM6" s="139"/>
      <c r="AN6" s="138"/>
      <c r="AO6" s="143">
        <v>2000</v>
      </c>
      <c r="AP6" s="138"/>
      <c r="AQ6" s="147">
        <v>2000</v>
      </c>
      <c r="AR6" s="138"/>
      <c r="AS6" s="142">
        <v>20000</v>
      </c>
      <c r="AT6" s="138"/>
      <c r="AU6" s="143"/>
      <c r="AV6" s="138"/>
      <c r="AW6" s="147"/>
      <c r="AX6" s="138"/>
      <c r="AY6" s="145"/>
      <c r="AZ6" s="138"/>
      <c r="BA6" s="146"/>
      <c r="BB6" s="138"/>
      <c r="BC6" s="144"/>
      <c r="BD6" s="138"/>
      <c r="BE6" s="144"/>
      <c r="BF6" s="160"/>
      <c r="BG6" s="158"/>
      <c r="BH6" s="172"/>
      <c r="BI6" s="172"/>
      <c r="BJ6" s="172"/>
      <c r="BK6" s="161"/>
      <c r="BL6" s="138"/>
    </row>
    <row r="7" spans="1:64">
      <c r="A7" s="21">
        <f t="shared" si="0"/>
        <v>43954</v>
      </c>
      <c r="B7" s="38">
        <v>0</v>
      </c>
      <c r="C7" s="23">
        <v>0</v>
      </c>
      <c r="D7" s="39">
        <f t="shared" si="1"/>
        <v>0</v>
      </c>
      <c r="E7" s="40">
        <v>0</v>
      </c>
      <c r="F7" s="35"/>
      <c r="G7" s="27"/>
      <c r="H7" s="28">
        <f t="shared" si="2"/>
        <v>0</v>
      </c>
      <c r="I7" s="35">
        <v>0</v>
      </c>
      <c r="J7" s="41" t="str">
        <f t="shared" si="3"/>
        <v/>
      </c>
      <c r="K7" s="29"/>
      <c r="L7" s="5"/>
      <c r="M7" s="6"/>
      <c r="N7" s="7"/>
      <c r="O7" s="7"/>
      <c r="P7" s="32">
        <f t="shared" si="4"/>
        <v>43954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43954</v>
      </c>
      <c r="AK7" s="35"/>
      <c r="AL7" s="138"/>
      <c r="AM7" s="139"/>
      <c r="AN7" s="138"/>
      <c r="AO7" s="143"/>
      <c r="AP7" s="138"/>
      <c r="AQ7" s="147"/>
      <c r="AR7" s="138"/>
      <c r="AS7" s="142"/>
      <c r="AT7" s="138"/>
      <c r="AU7" s="139"/>
      <c r="AV7" s="138"/>
      <c r="AW7" s="148"/>
      <c r="AX7" s="138"/>
      <c r="AY7" s="149"/>
      <c r="AZ7" s="138"/>
      <c r="BA7" s="149"/>
      <c r="BB7" s="138"/>
      <c r="BC7" s="150"/>
      <c r="BD7" s="138"/>
      <c r="BE7" s="150"/>
      <c r="BF7" s="160"/>
      <c r="BG7" s="158"/>
      <c r="BH7" s="172"/>
      <c r="BI7" s="172"/>
      <c r="BJ7" s="172"/>
      <c r="BK7" s="162"/>
      <c r="BL7" s="138"/>
    </row>
    <row r="8" spans="1:64">
      <c r="A8" s="21">
        <f t="shared" si="0"/>
        <v>43955</v>
      </c>
      <c r="B8" s="38">
        <v>68000</v>
      </c>
      <c r="C8" s="23">
        <v>0</v>
      </c>
      <c r="D8" s="39">
        <f t="shared" si="1"/>
        <v>68000</v>
      </c>
      <c r="E8" s="40">
        <v>4218</v>
      </c>
      <c r="F8" s="35"/>
      <c r="G8" s="27"/>
      <c r="H8" s="28">
        <f t="shared" si="2"/>
        <v>4218</v>
      </c>
      <c r="I8" s="35">
        <v>8</v>
      </c>
      <c r="J8" s="41">
        <f t="shared" si="3"/>
        <v>8500</v>
      </c>
      <c r="K8" s="29"/>
      <c r="L8" s="5"/>
      <c r="M8" s="6"/>
      <c r="N8" s="7"/>
      <c r="O8" s="7"/>
      <c r="P8" s="32">
        <f t="shared" si="4"/>
        <v>43955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43955</v>
      </c>
      <c r="AK8" s="35"/>
      <c r="AL8" s="138"/>
      <c r="AM8" s="139"/>
      <c r="AN8" s="138"/>
      <c r="AO8" s="143">
        <v>30000</v>
      </c>
      <c r="AP8" s="138"/>
      <c r="AQ8" s="147"/>
      <c r="AR8" s="138"/>
      <c r="AS8" s="142">
        <v>30000</v>
      </c>
      <c r="AT8" s="138"/>
      <c r="AU8" s="139"/>
      <c r="AV8" s="138"/>
      <c r="AW8" s="151">
        <v>8000</v>
      </c>
      <c r="AX8" s="138"/>
      <c r="AY8" s="149"/>
      <c r="AZ8" s="138"/>
      <c r="BA8" s="149"/>
      <c r="BB8" s="138"/>
      <c r="BC8" s="149"/>
      <c r="BD8" s="138"/>
      <c r="BE8" s="149"/>
      <c r="BF8" s="160"/>
      <c r="BG8" s="158"/>
      <c r="BH8" s="172"/>
      <c r="BI8" s="172"/>
      <c r="BJ8" s="172"/>
      <c r="BK8" s="145"/>
      <c r="BL8" s="138"/>
    </row>
    <row r="9" spans="1:64">
      <c r="A9" s="21">
        <f t="shared" si="0"/>
        <v>43956</v>
      </c>
      <c r="B9" s="38">
        <v>0</v>
      </c>
      <c r="C9" s="23">
        <v>0</v>
      </c>
      <c r="D9" s="39">
        <f t="shared" si="1"/>
        <v>0</v>
      </c>
      <c r="E9" s="40">
        <v>0</v>
      </c>
      <c r="F9" s="35"/>
      <c r="G9" s="27"/>
      <c r="H9" s="28">
        <f t="shared" si="2"/>
        <v>0</v>
      </c>
      <c r="I9" s="35">
        <v>0</v>
      </c>
      <c r="J9" s="41" t="str">
        <f t="shared" si="3"/>
        <v/>
      </c>
      <c r="K9" s="29"/>
      <c r="L9" s="5"/>
      <c r="M9" s="6"/>
      <c r="N9" s="7"/>
      <c r="O9" s="7"/>
      <c r="P9" s="32">
        <f t="shared" si="4"/>
        <v>43956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43956</v>
      </c>
      <c r="AK9" s="35"/>
      <c r="AL9" s="138"/>
      <c r="AM9" s="139"/>
      <c r="AN9" s="138"/>
      <c r="AO9" s="139"/>
      <c r="AP9" s="138"/>
      <c r="AQ9" s="152"/>
      <c r="AR9" s="138"/>
      <c r="AS9" s="139"/>
      <c r="AT9" s="138"/>
      <c r="AU9" s="139"/>
      <c r="AV9" s="138"/>
      <c r="AW9" s="151"/>
      <c r="AX9" s="138"/>
      <c r="AY9" s="149"/>
      <c r="AZ9" s="138"/>
      <c r="BA9" s="149"/>
      <c r="BB9" s="138"/>
      <c r="BC9" s="149"/>
      <c r="BD9" s="138"/>
      <c r="BE9" s="149"/>
      <c r="BF9" s="160"/>
      <c r="BG9" s="168"/>
      <c r="BH9" s="158"/>
      <c r="BI9" s="158"/>
      <c r="BJ9" s="158"/>
      <c r="BK9" s="145"/>
      <c r="BL9" s="138"/>
    </row>
    <row r="10" spans="1:64">
      <c r="A10" s="21">
        <f t="shared" si="0"/>
        <v>43957</v>
      </c>
      <c r="B10" s="38">
        <v>191000</v>
      </c>
      <c r="C10" s="23">
        <v>17000</v>
      </c>
      <c r="D10" s="39">
        <f t="shared" si="1"/>
        <v>208000</v>
      </c>
      <c r="E10" s="40">
        <v>16524</v>
      </c>
      <c r="F10" s="35"/>
      <c r="G10" s="27"/>
      <c r="H10" s="28">
        <f t="shared" si="2"/>
        <v>16524</v>
      </c>
      <c r="I10" s="35">
        <v>16</v>
      </c>
      <c r="J10" s="41">
        <f t="shared" si="3"/>
        <v>11937.5</v>
      </c>
      <c r="K10" s="29"/>
      <c r="L10" s="5"/>
      <c r="M10" s="6"/>
      <c r="N10" s="7"/>
      <c r="O10" s="7"/>
      <c r="P10" s="32">
        <f t="shared" si="4"/>
        <v>43957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43957</v>
      </c>
      <c r="AK10" s="35"/>
      <c r="AL10" s="138"/>
      <c r="AM10" s="139"/>
      <c r="AN10" s="138"/>
      <c r="AO10" s="139">
        <v>13000</v>
      </c>
      <c r="AP10" s="138"/>
      <c r="AQ10" s="139">
        <v>2000</v>
      </c>
      <c r="AR10" s="138"/>
      <c r="AS10" s="139">
        <v>20000</v>
      </c>
      <c r="AT10" s="138"/>
      <c r="AU10" s="139"/>
      <c r="AV10" s="138"/>
      <c r="AW10" s="151">
        <v>8000</v>
      </c>
      <c r="AX10" s="138"/>
      <c r="AY10" s="149"/>
      <c r="AZ10" s="138"/>
      <c r="BA10" s="149">
        <v>30000</v>
      </c>
      <c r="BB10" s="138">
        <v>115000</v>
      </c>
      <c r="BC10" s="149"/>
      <c r="BD10" s="138"/>
      <c r="BE10" s="149"/>
      <c r="BF10" s="160"/>
      <c r="BG10" s="168"/>
      <c r="BH10" s="158">
        <v>17000</v>
      </c>
      <c r="BI10" s="158"/>
      <c r="BJ10" s="158"/>
      <c r="BK10" s="145"/>
      <c r="BL10" s="138"/>
    </row>
    <row r="11" spans="1:64">
      <c r="A11" s="21">
        <f t="shared" si="0"/>
        <v>43958</v>
      </c>
      <c r="B11" s="38">
        <v>0</v>
      </c>
      <c r="C11" s="23">
        <v>0</v>
      </c>
      <c r="D11" s="39">
        <f t="shared" si="1"/>
        <v>0</v>
      </c>
      <c r="E11" s="40">
        <v>0</v>
      </c>
      <c r="F11" s="35"/>
      <c r="G11" s="27"/>
      <c r="H11" s="28">
        <f t="shared" si="2"/>
        <v>0</v>
      </c>
      <c r="I11" s="35">
        <v>0</v>
      </c>
      <c r="J11" s="41" t="str">
        <f t="shared" si="3"/>
        <v/>
      </c>
      <c r="K11" s="29"/>
      <c r="L11" s="5"/>
      <c r="M11" s="6"/>
      <c r="N11" s="7"/>
      <c r="O11" s="7"/>
      <c r="P11" s="32">
        <f t="shared" si="4"/>
        <v>43958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43958</v>
      </c>
      <c r="AK11" s="35"/>
      <c r="AL11" s="138"/>
      <c r="AM11" s="139"/>
      <c r="AN11" s="138"/>
      <c r="AO11" s="139"/>
      <c r="AP11" s="138"/>
      <c r="AQ11" s="139"/>
      <c r="AR11" s="138"/>
      <c r="AS11" s="139"/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60"/>
      <c r="BG11" s="168"/>
      <c r="BH11" s="158"/>
      <c r="BI11" s="158"/>
      <c r="BJ11" s="158"/>
      <c r="BK11" s="145"/>
      <c r="BL11" s="138"/>
    </row>
    <row r="12" spans="1:64">
      <c r="A12" s="21">
        <f t="shared" si="0"/>
        <v>43959</v>
      </c>
      <c r="B12" s="38">
        <v>18000</v>
      </c>
      <c r="C12" s="23">
        <v>0</v>
      </c>
      <c r="D12" s="39">
        <f t="shared" si="1"/>
        <v>18000</v>
      </c>
      <c r="E12" s="40">
        <v>0</v>
      </c>
      <c r="F12" s="35"/>
      <c r="G12" s="27"/>
      <c r="H12" s="28">
        <f t="shared" si="2"/>
        <v>0</v>
      </c>
      <c r="I12" s="35">
        <v>2</v>
      </c>
      <c r="J12" s="41">
        <f t="shared" si="3"/>
        <v>9000</v>
      </c>
      <c r="K12" s="29"/>
      <c r="L12" s="5"/>
      <c r="M12" s="45"/>
      <c r="N12" s="46"/>
      <c r="O12" s="7"/>
      <c r="P12" s="32">
        <f t="shared" si="4"/>
        <v>43959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43959</v>
      </c>
      <c r="AK12" s="35"/>
      <c r="AL12" s="138"/>
      <c r="AM12" s="139"/>
      <c r="AN12" s="138"/>
      <c r="AO12" s="139"/>
      <c r="AP12" s="138"/>
      <c r="AQ12" s="139"/>
      <c r="AR12" s="138"/>
      <c r="AS12" s="139">
        <v>18000</v>
      </c>
      <c r="AT12" s="138"/>
      <c r="AU12" s="139"/>
      <c r="AV12" s="138"/>
      <c r="AW12" s="151"/>
      <c r="AX12" s="138"/>
      <c r="AY12" s="149"/>
      <c r="AZ12" s="138"/>
      <c r="BA12" s="149"/>
      <c r="BB12" s="138"/>
      <c r="BC12" s="149"/>
      <c r="BD12" s="138"/>
      <c r="BE12" s="149"/>
      <c r="BF12" s="160"/>
      <c r="BG12" s="168"/>
      <c r="BH12" s="158"/>
      <c r="BI12" s="158"/>
      <c r="BJ12" s="158"/>
      <c r="BK12" s="145"/>
      <c r="BL12" s="138"/>
    </row>
    <row r="13" spans="1:64">
      <c r="A13" s="21">
        <f t="shared" si="0"/>
        <v>43960</v>
      </c>
      <c r="B13" s="38">
        <v>13000</v>
      </c>
      <c r="C13" s="23">
        <v>0</v>
      </c>
      <c r="D13" s="39">
        <f t="shared" si="1"/>
        <v>13000</v>
      </c>
      <c r="E13" s="40">
        <v>0</v>
      </c>
      <c r="F13" s="35"/>
      <c r="G13" s="27"/>
      <c r="H13" s="28">
        <f t="shared" si="2"/>
        <v>0</v>
      </c>
      <c r="I13" s="35">
        <v>3</v>
      </c>
      <c r="J13" s="41">
        <f t="shared" si="3"/>
        <v>4333.333333333333</v>
      </c>
      <c r="K13" s="29"/>
      <c r="L13" s="5"/>
      <c r="M13" s="566" t="s">
        <v>177</v>
      </c>
      <c r="N13" s="547"/>
      <c r="O13" s="6"/>
      <c r="P13" s="32">
        <f t="shared" si="4"/>
        <v>43960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43960</v>
      </c>
      <c r="AK13" s="35"/>
      <c r="AL13" s="138"/>
      <c r="AM13" s="139"/>
      <c r="AN13" s="138"/>
      <c r="AO13" s="139">
        <v>9000</v>
      </c>
      <c r="AP13" s="138"/>
      <c r="AQ13" s="139">
        <v>4000</v>
      </c>
      <c r="AR13" s="138"/>
      <c r="AS13" s="139"/>
      <c r="AT13" s="138"/>
      <c r="AU13" s="139"/>
      <c r="AV13" s="138"/>
      <c r="AW13" s="151"/>
      <c r="AX13" s="138"/>
      <c r="AY13" s="149"/>
      <c r="AZ13" s="138"/>
      <c r="BA13" s="149"/>
      <c r="BB13" s="138"/>
      <c r="BC13" s="149"/>
      <c r="BD13" s="138"/>
      <c r="BE13" s="149"/>
      <c r="BF13" s="160"/>
      <c r="BG13" s="168"/>
      <c r="BH13" s="158"/>
      <c r="BI13" s="158"/>
      <c r="BJ13" s="158"/>
      <c r="BK13" s="145"/>
      <c r="BL13" s="138"/>
    </row>
    <row r="14" spans="1:64">
      <c r="A14" s="21">
        <f t="shared" si="0"/>
        <v>43961</v>
      </c>
      <c r="B14" s="38">
        <v>15000</v>
      </c>
      <c r="C14" s="23">
        <v>0</v>
      </c>
      <c r="D14" s="39">
        <f t="shared" si="1"/>
        <v>15000</v>
      </c>
      <c r="E14" s="40">
        <v>0</v>
      </c>
      <c r="F14" s="44"/>
      <c r="G14" s="27"/>
      <c r="H14" s="28">
        <f t="shared" si="2"/>
        <v>0</v>
      </c>
      <c r="I14" s="35">
        <v>2</v>
      </c>
      <c r="J14" s="41">
        <f t="shared" si="3"/>
        <v>7500</v>
      </c>
      <c r="K14" s="29"/>
      <c r="L14" s="5"/>
      <c r="M14" s="47" t="s">
        <v>80</v>
      </c>
      <c r="N14" s="35">
        <v>22000</v>
      </c>
      <c r="O14" s="6"/>
      <c r="P14" s="32">
        <f t="shared" si="4"/>
        <v>43961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43961</v>
      </c>
      <c r="AK14" s="35"/>
      <c r="AL14" s="138"/>
      <c r="AM14" s="139"/>
      <c r="AN14" s="138"/>
      <c r="AO14" s="139"/>
      <c r="AP14" s="138"/>
      <c r="AQ14" s="139"/>
      <c r="AR14" s="138"/>
      <c r="AS14" s="139">
        <v>15000</v>
      </c>
      <c r="AT14" s="138"/>
      <c r="AU14" s="139"/>
      <c r="AV14" s="138"/>
      <c r="AW14" s="151"/>
      <c r="AX14" s="138"/>
      <c r="AY14" s="149"/>
      <c r="AZ14" s="138"/>
      <c r="BA14" s="149"/>
      <c r="BB14" s="138"/>
      <c r="BC14" s="149"/>
      <c r="BD14" s="138"/>
      <c r="BE14" s="149"/>
      <c r="BF14" s="138"/>
      <c r="BG14" s="169"/>
      <c r="BH14" s="158"/>
      <c r="BI14" s="158"/>
      <c r="BJ14" s="158"/>
      <c r="BK14" s="145"/>
      <c r="BL14" s="138"/>
    </row>
    <row r="15" spans="1:64">
      <c r="A15" s="21">
        <f t="shared" si="0"/>
        <v>43962</v>
      </c>
      <c r="B15" s="38">
        <v>77000</v>
      </c>
      <c r="C15" s="23">
        <v>0</v>
      </c>
      <c r="D15" s="39">
        <f t="shared" si="1"/>
        <v>77000</v>
      </c>
      <c r="E15" s="40"/>
      <c r="F15" s="35">
        <v>330</v>
      </c>
      <c r="G15" s="27"/>
      <c r="H15" s="28">
        <f t="shared" si="2"/>
        <v>330</v>
      </c>
      <c r="I15" s="35">
        <v>2</v>
      </c>
      <c r="J15" s="41">
        <f t="shared" si="3"/>
        <v>38500</v>
      </c>
      <c r="K15" s="29"/>
      <c r="L15" s="5"/>
      <c r="M15" s="256"/>
      <c r="N15" s="257"/>
      <c r="O15" s="7"/>
      <c r="P15" s="32">
        <f t="shared" si="4"/>
        <v>43962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43962</v>
      </c>
      <c r="AK15" s="35"/>
      <c r="AL15" s="138"/>
      <c r="AM15" s="139"/>
      <c r="AN15" s="138"/>
      <c r="AO15" s="139"/>
      <c r="AP15" s="138"/>
      <c r="AQ15" s="139"/>
      <c r="AR15" s="138"/>
      <c r="AS15" s="139">
        <v>77000</v>
      </c>
      <c r="AT15" s="138"/>
      <c r="AU15" s="139"/>
      <c r="AV15" s="138"/>
      <c r="AW15" s="151"/>
      <c r="AX15" s="138"/>
      <c r="AY15" s="149"/>
      <c r="AZ15" s="138"/>
      <c r="BA15" s="149"/>
      <c r="BB15" s="138"/>
      <c r="BC15" s="149"/>
      <c r="BD15" s="138"/>
      <c r="BE15" s="149"/>
      <c r="BF15" s="138"/>
      <c r="BG15" s="160"/>
      <c r="BH15" s="158"/>
      <c r="BI15" s="158"/>
      <c r="BJ15" s="158"/>
      <c r="BK15" s="145"/>
      <c r="BL15" s="138"/>
    </row>
    <row r="16" spans="1:64">
      <c r="A16" s="21">
        <f t="shared" si="0"/>
        <v>43963</v>
      </c>
      <c r="B16" s="38">
        <v>0</v>
      </c>
      <c r="C16" s="23">
        <v>0</v>
      </c>
      <c r="D16" s="39">
        <f t="shared" si="1"/>
        <v>0</v>
      </c>
      <c r="E16" s="40">
        <v>0</v>
      </c>
      <c r="F16" s="35"/>
      <c r="G16" s="27"/>
      <c r="H16" s="28">
        <f t="shared" si="2"/>
        <v>0</v>
      </c>
      <c r="I16" s="35">
        <v>0</v>
      </c>
      <c r="J16" s="41" t="str">
        <f t="shared" si="3"/>
        <v/>
      </c>
      <c r="K16" s="29"/>
      <c r="L16" s="5"/>
      <c r="M16" s="6"/>
      <c r="N16" s="7"/>
      <c r="O16" s="7"/>
      <c r="P16" s="32">
        <f t="shared" si="4"/>
        <v>43963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43963</v>
      </c>
      <c r="AK16" s="35"/>
      <c r="AL16" s="138"/>
      <c r="AM16" s="139"/>
      <c r="AN16" s="138"/>
      <c r="AO16" s="139"/>
      <c r="AP16" s="138"/>
      <c r="AQ16" s="139"/>
      <c r="AR16" s="138"/>
      <c r="AS16" s="139"/>
      <c r="AT16" s="138"/>
      <c r="AU16" s="139"/>
      <c r="AV16" s="138"/>
      <c r="AW16" s="151"/>
      <c r="AX16" s="138"/>
      <c r="AY16" s="149"/>
      <c r="AZ16" s="138"/>
      <c r="BA16" s="149"/>
      <c r="BB16" s="138"/>
      <c r="BC16" s="149"/>
      <c r="BD16" s="138"/>
      <c r="BE16" s="149"/>
      <c r="BF16" s="138"/>
      <c r="BG16" s="160"/>
      <c r="BH16" s="158"/>
      <c r="BI16" s="158"/>
      <c r="BJ16" s="158"/>
      <c r="BK16" s="145"/>
      <c r="BL16" s="138"/>
    </row>
    <row r="17" spans="1:64">
      <c r="A17" s="21">
        <f t="shared" si="0"/>
        <v>43964</v>
      </c>
      <c r="B17" s="38">
        <v>61000</v>
      </c>
      <c r="C17" s="23">
        <v>0</v>
      </c>
      <c r="D17" s="39">
        <f t="shared" si="1"/>
        <v>61000</v>
      </c>
      <c r="E17" s="40">
        <v>9520</v>
      </c>
      <c r="F17" s="35">
        <v>1007</v>
      </c>
      <c r="G17" s="27"/>
      <c r="H17" s="28">
        <f t="shared" si="2"/>
        <v>10527</v>
      </c>
      <c r="I17" s="35">
        <v>3</v>
      </c>
      <c r="J17" s="41">
        <f t="shared" si="3"/>
        <v>20333.333333333332</v>
      </c>
      <c r="K17" s="29"/>
      <c r="L17" s="5"/>
      <c r="M17" s="6"/>
      <c r="N17" s="7"/>
      <c r="O17" s="7"/>
      <c r="P17" s="32">
        <f t="shared" si="4"/>
        <v>43964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43964</v>
      </c>
      <c r="AK17" s="35"/>
      <c r="AL17" s="138"/>
      <c r="AM17" s="139"/>
      <c r="AN17" s="138"/>
      <c r="AO17" s="139">
        <v>1000</v>
      </c>
      <c r="AP17" s="138"/>
      <c r="AQ17" s="139"/>
      <c r="AR17" s="138"/>
      <c r="AS17" s="139">
        <v>60000</v>
      </c>
      <c r="AT17" s="138"/>
      <c r="AU17" s="139"/>
      <c r="AV17" s="138"/>
      <c r="AW17" s="151"/>
      <c r="AX17" s="138"/>
      <c r="AY17" s="149"/>
      <c r="AZ17" s="138"/>
      <c r="BA17" s="149"/>
      <c r="BB17" s="138"/>
      <c r="BC17" s="149"/>
      <c r="BD17" s="138"/>
      <c r="BE17" s="149"/>
      <c r="BF17" s="138"/>
      <c r="BG17" s="160"/>
      <c r="BH17" s="158"/>
      <c r="BI17" s="158"/>
      <c r="BJ17" s="158"/>
      <c r="BK17" s="145"/>
      <c r="BL17" s="138"/>
    </row>
    <row r="18" spans="1:64">
      <c r="A18" s="21">
        <f t="shared" si="0"/>
        <v>43965</v>
      </c>
      <c r="B18" s="38">
        <v>194000</v>
      </c>
      <c r="C18" s="23">
        <v>0</v>
      </c>
      <c r="D18" s="39">
        <f t="shared" si="1"/>
        <v>194000</v>
      </c>
      <c r="E18" s="40">
        <v>28490</v>
      </c>
      <c r="F18" s="35"/>
      <c r="G18" s="27"/>
      <c r="H18" s="28">
        <f t="shared" si="2"/>
        <v>28490</v>
      </c>
      <c r="I18" s="35">
        <v>6</v>
      </c>
      <c r="J18" s="41">
        <f t="shared" si="3"/>
        <v>32333.333333333332</v>
      </c>
      <c r="K18" s="29"/>
      <c r="L18" s="5"/>
      <c r="M18" s="45"/>
      <c r="N18" s="46"/>
      <c r="O18" s="7"/>
      <c r="P18" s="32">
        <f t="shared" si="4"/>
        <v>43965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43965</v>
      </c>
      <c r="AK18" s="35"/>
      <c r="AL18" s="138"/>
      <c r="AM18" s="139">
        <v>9000</v>
      </c>
      <c r="AN18" s="138">
        <v>85000</v>
      </c>
      <c r="AO18" s="139"/>
      <c r="AP18" s="138"/>
      <c r="AQ18" s="139">
        <v>30000</v>
      </c>
      <c r="AR18" s="138"/>
      <c r="AS18" s="139">
        <v>70000</v>
      </c>
      <c r="AT18" s="138"/>
      <c r="AU18" s="139"/>
      <c r="AV18" s="138"/>
      <c r="AW18" s="151"/>
      <c r="AX18" s="138"/>
      <c r="AY18" s="149"/>
      <c r="AZ18" s="138"/>
      <c r="BA18" s="149"/>
      <c r="BB18" s="138"/>
      <c r="BC18" s="149"/>
      <c r="BD18" s="138"/>
      <c r="BE18" s="149"/>
      <c r="BF18" s="138"/>
      <c r="BG18" s="138"/>
      <c r="BH18" s="159"/>
      <c r="BI18" s="159"/>
      <c r="BJ18" s="159"/>
      <c r="BK18" s="149"/>
      <c r="BL18" s="138"/>
    </row>
    <row r="19" spans="1:64">
      <c r="A19" s="21">
        <f t="shared" si="0"/>
        <v>43966</v>
      </c>
      <c r="B19" s="38">
        <v>63000</v>
      </c>
      <c r="C19" s="23">
        <v>0</v>
      </c>
      <c r="D19" s="39">
        <f t="shared" si="1"/>
        <v>63000</v>
      </c>
      <c r="E19" s="40">
        <v>15576</v>
      </c>
      <c r="F19" s="35"/>
      <c r="G19" s="27"/>
      <c r="H19" s="28">
        <f t="shared" si="2"/>
        <v>15576</v>
      </c>
      <c r="I19" s="35">
        <v>5</v>
      </c>
      <c r="J19" s="41">
        <f t="shared" si="3"/>
        <v>12600</v>
      </c>
      <c r="K19" s="29"/>
      <c r="L19" s="5"/>
      <c r="M19" s="516" t="s">
        <v>26</v>
      </c>
      <c r="N19" s="517"/>
      <c r="O19" s="6"/>
      <c r="P19" s="32">
        <f t="shared" si="4"/>
        <v>43966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43966</v>
      </c>
      <c r="AK19" s="35"/>
      <c r="AL19" s="138"/>
      <c r="AM19" s="139"/>
      <c r="AN19" s="138"/>
      <c r="AO19" s="139">
        <v>28000</v>
      </c>
      <c r="AP19" s="138"/>
      <c r="AQ19" s="139"/>
      <c r="AR19" s="138"/>
      <c r="AS19" s="139">
        <v>35000</v>
      </c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/>
      <c r="BK19" s="149"/>
      <c r="BL19" s="138"/>
    </row>
    <row r="20" spans="1:64">
      <c r="A20" s="21">
        <f t="shared" si="0"/>
        <v>43967</v>
      </c>
      <c r="B20" s="38">
        <v>94000</v>
      </c>
      <c r="C20" s="38">
        <v>0</v>
      </c>
      <c r="D20" s="39">
        <f t="shared" si="1"/>
        <v>94000</v>
      </c>
      <c r="E20" s="40">
        <v>11704</v>
      </c>
      <c r="F20" s="35">
        <v>510</v>
      </c>
      <c r="G20" s="27"/>
      <c r="H20" s="28">
        <f t="shared" si="2"/>
        <v>12214</v>
      </c>
      <c r="I20" s="35">
        <v>9</v>
      </c>
      <c r="J20" s="41">
        <f t="shared" si="3"/>
        <v>10444.444444444445</v>
      </c>
      <c r="K20" s="29"/>
      <c r="L20" s="5"/>
      <c r="M20" s="47" t="s">
        <v>27</v>
      </c>
      <c r="N20" s="518">
        <v>226835</v>
      </c>
      <c r="O20" s="6"/>
      <c r="P20" s="32">
        <f t="shared" si="4"/>
        <v>43967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43967</v>
      </c>
      <c r="AK20" s="35"/>
      <c r="AL20" s="138"/>
      <c r="AM20" s="139"/>
      <c r="AN20" s="138"/>
      <c r="AO20" s="139">
        <v>41000</v>
      </c>
      <c r="AP20" s="138"/>
      <c r="AQ20" s="139">
        <v>13000</v>
      </c>
      <c r="AR20" s="138"/>
      <c r="AS20" s="139">
        <v>40000</v>
      </c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/>
      <c r="BF20" s="138"/>
      <c r="BG20" s="138"/>
      <c r="BH20" s="138"/>
      <c r="BI20" s="138"/>
      <c r="BJ20" s="138"/>
      <c r="BK20" s="149"/>
      <c r="BL20" s="138"/>
    </row>
    <row r="21" spans="1:64">
      <c r="A21" s="21">
        <f t="shared" si="0"/>
        <v>43968</v>
      </c>
      <c r="B21" s="38">
        <v>69000</v>
      </c>
      <c r="C21" s="38">
        <v>0</v>
      </c>
      <c r="D21" s="39">
        <f t="shared" si="1"/>
        <v>69000</v>
      </c>
      <c r="E21" s="40"/>
      <c r="F21" s="35">
        <v>700</v>
      </c>
      <c r="G21" s="27"/>
      <c r="H21" s="28">
        <f t="shared" si="2"/>
        <v>700</v>
      </c>
      <c r="I21" s="35">
        <v>10</v>
      </c>
      <c r="J21" s="41">
        <f t="shared" si="3"/>
        <v>6900</v>
      </c>
      <c r="K21" s="29"/>
      <c r="L21" s="5"/>
      <c r="M21" s="47" t="s">
        <v>28</v>
      </c>
      <c r="N21" s="519"/>
      <c r="O21" s="6"/>
      <c r="P21" s="32">
        <f t="shared" si="4"/>
        <v>43968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43968</v>
      </c>
      <c r="AK21" s="35"/>
      <c r="AL21" s="138"/>
      <c r="AM21" s="139"/>
      <c r="AN21" s="138"/>
      <c r="AO21" s="139">
        <v>9000</v>
      </c>
      <c r="AP21" s="138"/>
      <c r="AQ21" s="139">
        <v>20000</v>
      </c>
      <c r="AR21" s="138"/>
      <c r="AS21" s="139">
        <v>40000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/>
      <c r="BF21" s="138"/>
      <c r="BG21" s="138"/>
      <c r="BH21" s="138"/>
      <c r="BI21" s="138"/>
      <c r="BJ21" s="138"/>
      <c r="BK21" s="149"/>
      <c r="BL21" s="138"/>
    </row>
    <row r="22" spans="1:64">
      <c r="A22" s="21">
        <f t="shared" si="0"/>
        <v>43969</v>
      </c>
      <c r="B22" s="38">
        <v>40000</v>
      </c>
      <c r="C22" s="38">
        <v>0</v>
      </c>
      <c r="D22" s="39">
        <f t="shared" si="1"/>
        <v>40000</v>
      </c>
      <c r="E22" s="40">
        <v>6344</v>
      </c>
      <c r="F22" s="35">
        <v>0</v>
      </c>
      <c r="G22" s="27"/>
      <c r="H22" s="28">
        <f t="shared" si="2"/>
        <v>6344</v>
      </c>
      <c r="I22" s="35">
        <v>2</v>
      </c>
      <c r="J22" s="41">
        <f t="shared" si="3"/>
        <v>20000</v>
      </c>
      <c r="K22" s="29"/>
      <c r="L22" s="5"/>
      <c r="M22" s="47" t="s">
        <v>29</v>
      </c>
      <c r="N22" s="35">
        <v>7700</v>
      </c>
      <c r="O22" s="6"/>
      <c r="P22" s="32">
        <f t="shared" si="4"/>
        <v>43969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43969</v>
      </c>
      <c r="AK22" s="35"/>
      <c r="AL22" s="138"/>
      <c r="AM22" s="139"/>
      <c r="AN22" s="138"/>
      <c r="AO22" s="139"/>
      <c r="AP22" s="138"/>
      <c r="AQ22" s="139"/>
      <c r="AR22" s="138"/>
      <c r="AS22" s="153">
        <v>40000</v>
      </c>
      <c r="AT22" s="138"/>
      <c r="AU22" s="139"/>
      <c r="AV22" s="138"/>
      <c r="AW22" s="151"/>
      <c r="AX22" s="138"/>
      <c r="AY22" s="139"/>
      <c r="AZ22" s="138"/>
      <c r="BA22" s="139"/>
      <c r="BB22" s="138"/>
      <c r="BC22" s="149"/>
      <c r="BD22" s="138"/>
      <c r="BE22" s="149"/>
      <c r="BF22" s="138"/>
      <c r="BG22" s="138"/>
      <c r="BH22" s="138"/>
      <c r="BI22" s="138"/>
      <c r="BJ22" s="138"/>
      <c r="BK22" s="149"/>
      <c r="BL22" s="138"/>
    </row>
    <row r="23" spans="1:64">
      <c r="A23" s="21">
        <f t="shared" si="0"/>
        <v>43970</v>
      </c>
      <c r="B23" s="38">
        <v>3000</v>
      </c>
      <c r="C23" s="38">
        <v>0</v>
      </c>
      <c r="D23" s="39">
        <f t="shared" si="1"/>
        <v>3000</v>
      </c>
      <c r="E23" s="40"/>
      <c r="F23" s="35"/>
      <c r="G23" s="27"/>
      <c r="H23" s="28">
        <f t="shared" si="2"/>
        <v>0</v>
      </c>
      <c r="I23" s="35">
        <v>6</v>
      </c>
      <c r="J23" s="41">
        <f t="shared" si="3"/>
        <v>500</v>
      </c>
      <c r="K23" s="29"/>
      <c r="L23" s="5"/>
      <c r="M23" s="47" t="s">
        <v>30</v>
      </c>
      <c r="N23" s="35">
        <v>0</v>
      </c>
      <c r="O23" s="6"/>
      <c r="P23" s="32">
        <f t="shared" si="4"/>
        <v>43970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43970</v>
      </c>
      <c r="AK23" s="35"/>
      <c r="AL23" s="138"/>
      <c r="AM23" s="139"/>
      <c r="AN23" s="138"/>
      <c r="AO23" s="139"/>
      <c r="AP23" s="138"/>
      <c r="AQ23" s="139"/>
      <c r="AR23" s="138"/>
      <c r="AS23" s="139"/>
      <c r="AT23" s="138"/>
      <c r="AU23" s="139"/>
      <c r="AV23" s="138"/>
      <c r="AW23" s="151"/>
      <c r="AX23" s="138"/>
      <c r="AY23" s="149">
        <v>3000</v>
      </c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/>
      <c r="BK23" s="149"/>
      <c r="BL23" s="138"/>
    </row>
    <row r="24" spans="1:64">
      <c r="A24" s="21">
        <f t="shared" si="0"/>
        <v>43971</v>
      </c>
      <c r="B24" s="38">
        <v>67000</v>
      </c>
      <c r="C24" s="38">
        <v>0</v>
      </c>
      <c r="D24" s="39">
        <f t="shared" si="1"/>
        <v>67000</v>
      </c>
      <c r="E24" s="40"/>
      <c r="F24" s="35"/>
      <c r="G24" s="27"/>
      <c r="H24" s="28">
        <v>0</v>
      </c>
      <c r="I24" s="35">
        <v>7</v>
      </c>
      <c r="J24" s="41">
        <f t="shared" si="3"/>
        <v>9571.4285714285706</v>
      </c>
      <c r="K24" s="29"/>
      <c r="L24" s="5"/>
      <c r="M24" s="47" t="s">
        <v>31</v>
      </c>
      <c r="N24" s="35">
        <v>0</v>
      </c>
      <c r="O24" s="6"/>
      <c r="P24" s="32">
        <f t="shared" si="4"/>
        <v>43971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43971</v>
      </c>
      <c r="AK24" s="35"/>
      <c r="AL24" s="138"/>
      <c r="AM24" s="139"/>
      <c r="AN24" s="138"/>
      <c r="AO24" s="139">
        <v>15000</v>
      </c>
      <c r="AP24" s="138"/>
      <c r="AQ24" s="139"/>
      <c r="AR24" s="138"/>
      <c r="AS24" s="139">
        <v>35000</v>
      </c>
      <c r="AT24" s="138">
        <v>15000</v>
      </c>
      <c r="AU24" s="139"/>
      <c r="AV24" s="138"/>
      <c r="AW24" s="151"/>
      <c r="AX24" s="138"/>
      <c r="AY24" s="149"/>
      <c r="AZ24" s="138"/>
      <c r="BA24" s="149"/>
      <c r="BB24" s="138"/>
      <c r="BC24" s="149">
        <v>2000</v>
      </c>
      <c r="BD24" s="138"/>
      <c r="BE24" s="149"/>
      <c r="BF24" s="138"/>
      <c r="BG24" s="138"/>
      <c r="BH24" s="138"/>
      <c r="BI24" s="138"/>
      <c r="BJ24" s="138"/>
      <c r="BK24" s="149"/>
      <c r="BL24" s="138"/>
    </row>
    <row r="25" spans="1:64">
      <c r="A25" s="21">
        <f t="shared" si="0"/>
        <v>43972</v>
      </c>
      <c r="B25" s="38">
        <v>76000</v>
      </c>
      <c r="C25" s="38">
        <v>0</v>
      </c>
      <c r="D25" s="39">
        <f t="shared" si="1"/>
        <v>76000</v>
      </c>
      <c r="E25" s="40">
        <v>16101</v>
      </c>
      <c r="F25" s="35"/>
      <c r="G25" s="27"/>
      <c r="H25" s="28">
        <f t="shared" ref="H25:H35" si="6">E25+F25+G25</f>
        <v>16101</v>
      </c>
      <c r="I25" s="35">
        <v>10</v>
      </c>
      <c r="J25" s="41">
        <f t="shared" si="3"/>
        <v>7600</v>
      </c>
      <c r="K25" s="29"/>
      <c r="L25" s="5"/>
      <c r="M25" s="47" t="s">
        <v>32</v>
      </c>
      <c r="N25" s="35">
        <v>35500</v>
      </c>
      <c r="O25" s="6"/>
      <c r="P25" s="32">
        <f t="shared" si="4"/>
        <v>43972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43972</v>
      </c>
      <c r="AK25" s="35"/>
      <c r="AL25" s="138"/>
      <c r="AM25" s="139"/>
      <c r="AN25" s="138"/>
      <c r="AO25" s="139">
        <v>9000</v>
      </c>
      <c r="AP25" s="138"/>
      <c r="AQ25" s="139">
        <v>30000</v>
      </c>
      <c r="AR25" s="138"/>
      <c r="AS25" s="139">
        <v>37000</v>
      </c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/>
      <c r="BK25" s="149"/>
      <c r="BL25" s="138"/>
    </row>
    <row r="26" spans="1:64">
      <c r="A26" s="21">
        <f t="shared" si="0"/>
        <v>43973</v>
      </c>
      <c r="B26" s="38">
        <v>76000</v>
      </c>
      <c r="C26" s="38">
        <v>1500</v>
      </c>
      <c r="D26" s="39">
        <f t="shared" si="1"/>
        <v>77500</v>
      </c>
      <c r="E26" s="40">
        <v>12763</v>
      </c>
      <c r="F26" s="35"/>
      <c r="G26" s="27"/>
      <c r="H26" s="28">
        <f t="shared" si="6"/>
        <v>12763</v>
      </c>
      <c r="I26" s="35">
        <v>14</v>
      </c>
      <c r="J26" s="41">
        <f t="shared" si="3"/>
        <v>5428.5714285714284</v>
      </c>
      <c r="K26" s="29"/>
      <c r="L26" s="5"/>
      <c r="M26" s="47"/>
      <c r="N26" s="35"/>
      <c r="O26" s="6"/>
      <c r="P26" s="32">
        <f t="shared" si="4"/>
        <v>43973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43973</v>
      </c>
      <c r="AK26" s="35"/>
      <c r="AL26" s="138"/>
      <c r="AM26" s="139"/>
      <c r="AN26" s="138"/>
      <c r="AO26" s="139">
        <v>23500</v>
      </c>
      <c r="AP26" s="138"/>
      <c r="AQ26" s="139">
        <v>10000</v>
      </c>
      <c r="AR26" s="138"/>
      <c r="AS26" s="139">
        <v>44000</v>
      </c>
      <c r="AT26" s="138"/>
      <c r="AU26" s="139"/>
      <c r="AV26" s="138"/>
      <c r="AW26" s="151"/>
      <c r="AX26" s="138"/>
      <c r="AY26" s="149"/>
      <c r="AZ26" s="138"/>
      <c r="BA26" s="149"/>
      <c r="BB26" s="138"/>
      <c r="BC26" s="149"/>
      <c r="BD26" s="138"/>
      <c r="BE26" s="149"/>
      <c r="BF26" s="138"/>
      <c r="BG26" s="138"/>
      <c r="BH26" s="138"/>
      <c r="BI26" s="138"/>
      <c r="BJ26" s="138"/>
      <c r="BK26" s="149"/>
      <c r="BL26" s="138"/>
    </row>
    <row r="27" spans="1:64">
      <c r="A27" s="21">
        <f t="shared" si="0"/>
        <v>43974</v>
      </c>
      <c r="B27" s="38">
        <v>103000</v>
      </c>
      <c r="C27" s="38">
        <v>0</v>
      </c>
      <c r="D27" s="39">
        <f t="shared" si="1"/>
        <v>103000</v>
      </c>
      <c r="E27" s="40">
        <v>11346</v>
      </c>
      <c r="F27" s="35"/>
      <c r="G27" s="27"/>
      <c r="H27" s="28">
        <f t="shared" si="6"/>
        <v>11346</v>
      </c>
      <c r="I27" s="35">
        <v>28</v>
      </c>
      <c r="J27" s="41">
        <f t="shared" si="3"/>
        <v>3678.5714285714284</v>
      </c>
      <c r="K27" s="29"/>
      <c r="L27" s="5"/>
      <c r="M27" s="47"/>
      <c r="N27" s="35"/>
      <c r="O27" s="7"/>
      <c r="P27" s="32">
        <f t="shared" si="4"/>
        <v>43974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43974</v>
      </c>
      <c r="AK27" s="35"/>
      <c r="AL27" s="138"/>
      <c r="AM27" s="139"/>
      <c r="AN27" s="138"/>
      <c r="AO27" s="139">
        <v>46000</v>
      </c>
      <c r="AP27" s="138"/>
      <c r="AQ27" s="139">
        <v>43000</v>
      </c>
      <c r="AR27" s="138"/>
      <c r="AS27" s="139">
        <v>2000</v>
      </c>
      <c r="AT27" s="138"/>
      <c r="AU27" s="139"/>
      <c r="AV27" s="138"/>
      <c r="AW27" s="151"/>
      <c r="AX27" s="138"/>
      <c r="AY27" s="149">
        <v>4000</v>
      </c>
      <c r="AZ27" s="138"/>
      <c r="BA27" s="149"/>
      <c r="BB27" s="138"/>
      <c r="BC27" s="149"/>
      <c r="BD27" s="138"/>
      <c r="BE27" s="149">
        <v>8000</v>
      </c>
      <c r="BF27" s="138"/>
      <c r="BG27" s="138"/>
      <c r="BH27" s="138"/>
      <c r="BI27" s="138"/>
      <c r="BJ27" s="138"/>
      <c r="BK27" s="149"/>
      <c r="BL27" s="138"/>
    </row>
    <row r="28" spans="1:64">
      <c r="A28" s="21">
        <f t="shared" si="0"/>
        <v>43975</v>
      </c>
      <c r="B28" s="38">
        <v>80000</v>
      </c>
      <c r="C28" s="38">
        <v>0</v>
      </c>
      <c r="D28" s="39">
        <f t="shared" si="1"/>
        <v>80000</v>
      </c>
      <c r="E28" s="40"/>
      <c r="F28" s="35"/>
      <c r="G28" s="27"/>
      <c r="H28" s="28">
        <f t="shared" si="6"/>
        <v>0</v>
      </c>
      <c r="I28" s="35">
        <v>11</v>
      </c>
      <c r="J28" s="41">
        <f t="shared" si="3"/>
        <v>7272.727272727273</v>
      </c>
      <c r="K28" s="29"/>
      <c r="L28" s="5"/>
      <c r="M28" s="49" t="s">
        <v>33</v>
      </c>
      <c r="N28" s="50">
        <f>SUM(N20:N27)</f>
        <v>270035</v>
      </c>
      <c r="O28" s="7"/>
      <c r="P28" s="32">
        <f t="shared" si="4"/>
        <v>43975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43975</v>
      </c>
      <c r="AK28" s="35"/>
      <c r="AL28" s="138"/>
      <c r="AM28" s="139"/>
      <c r="AN28" s="138"/>
      <c r="AO28" s="139">
        <v>11000</v>
      </c>
      <c r="AP28" s="138"/>
      <c r="AQ28" s="139">
        <v>19000</v>
      </c>
      <c r="AR28" s="138"/>
      <c r="AS28" s="139">
        <v>50000</v>
      </c>
      <c r="AT28" s="138"/>
      <c r="AU28" s="139"/>
      <c r="AV28" s="138"/>
      <c r="AW28" s="151"/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49"/>
      <c r="BL28" s="138"/>
    </row>
    <row r="29" spans="1:64">
      <c r="A29" s="21">
        <f t="shared" si="0"/>
        <v>43976</v>
      </c>
      <c r="B29" s="38">
        <v>4000</v>
      </c>
      <c r="C29" s="38">
        <v>2000</v>
      </c>
      <c r="D29" s="39">
        <f t="shared" si="1"/>
        <v>6000</v>
      </c>
      <c r="E29" s="40"/>
      <c r="F29" s="35">
        <v>274</v>
      </c>
      <c r="G29" s="27"/>
      <c r="H29" s="28">
        <f t="shared" si="6"/>
        <v>274</v>
      </c>
      <c r="I29" s="35">
        <v>7</v>
      </c>
      <c r="J29" s="41">
        <f t="shared" si="3"/>
        <v>571.42857142857144</v>
      </c>
      <c r="K29" s="29"/>
      <c r="L29" s="5"/>
      <c r="M29" s="51"/>
      <c r="N29" s="7"/>
      <c r="O29" s="7"/>
      <c r="P29" s="32">
        <f t="shared" si="4"/>
        <v>43976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43976</v>
      </c>
      <c r="AK29" s="35"/>
      <c r="AL29" s="138">
        <v>1000</v>
      </c>
      <c r="AM29" s="139"/>
      <c r="AN29" s="138"/>
      <c r="AO29" s="139">
        <v>5000</v>
      </c>
      <c r="AP29" s="138"/>
      <c r="AQ29" s="139"/>
      <c r="AR29" s="138"/>
      <c r="AS29" s="139"/>
      <c r="AT29" s="138"/>
      <c r="AU29" s="139"/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/>
      <c r="BI29" s="138"/>
      <c r="BJ29" s="138"/>
      <c r="BK29" s="149"/>
      <c r="BL29" s="138"/>
    </row>
    <row r="30" spans="1:64">
      <c r="A30" s="21">
        <f t="shared" si="0"/>
        <v>43977</v>
      </c>
      <c r="B30" s="38">
        <v>0</v>
      </c>
      <c r="C30" s="38">
        <v>0</v>
      </c>
      <c r="D30" s="39">
        <f t="shared" si="1"/>
        <v>0</v>
      </c>
      <c r="E30" s="40"/>
      <c r="F30" s="35"/>
      <c r="G30" s="27"/>
      <c r="H30" s="28">
        <f t="shared" si="6"/>
        <v>0</v>
      </c>
      <c r="I30" s="35">
        <v>0</v>
      </c>
      <c r="J30" s="41" t="str">
        <f t="shared" si="3"/>
        <v/>
      </c>
      <c r="K30" s="29"/>
      <c r="L30" s="5"/>
      <c r="M30" s="45"/>
      <c r="N30" s="7"/>
      <c r="O30" s="7"/>
      <c r="P30" s="32">
        <f t="shared" si="4"/>
        <v>43977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43977</v>
      </c>
      <c r="AK30" s="35"/>
      <c r="AL30" s="138"/>
      <c r="AM30" s="139"/>
      <c r="AN30" s="138"/>
      <c r="AO30" s="139"/>
      <c r="AP30" s="138"/>
      <c r="AQ30" s="139"/>
      <c r="AR30" s="138"/>
      <c r="AS30" s="139"/>
      <c r="AT30" s="138"/>
      <c r="AU30" s="139"/>
      <c r="AV30" s="138"/>
      <c r="AW30" s="151"/>
      <c r="AX30" s="138"/>
      <c r="AY30" s="149"/>
      <c r="AZ30" s="138"/>
      <c r="BA30" s="149"/>
      <c r="BB30" s="138"/>
      <c r="BC30" s="149"/>
      <c r="BD30" s="138"/>
      <c r="BE30" s="149"/>
      <c r="BF30" s="138"/>
      <c r="BG30" s="138"/>
      <c r="BH30" s="138"/>
      <c r="BI30" s="138"/>
      <c r="BJ30" s="138"/>
      <c r="BK30" s="149"/>
      <c r="BL30" s="138"/>
    </row>
    <row r="31" spans="1:64">
      <c r="A31" s="21">
        <f t="shared" si="0"/>
        <v>43978</v>
      </c>
      <c r="B31" s="38">
        <v>106000</v>
      </c>
      <c r="C31" s="38">
        <v>0</v>
      </c>
      <c r="D31" s="39">
        <f t="shared" si="1"/>
        <v>106000</v>
      </c>
      <c r="E31" s="40">
        <v>10143</v>
      </c>
      <c r="F31" s="35"/>
      <c r="G31" s="27"/>
      <c r="H31" s="28">
        <f t="shared" si="6"/>
        <v>10143</v>
      </c>
      <c r="I31" s="35">
        <v>17</v>
      </c>
      <c r="J31" s="41">
        <f t="shared" si="3"/>
        <v>6235.2941176470586</v>
      </c>
      <c r="K31" s="29"/>
      <c r="L31" s="5"/>
      <c r="M31" s="45"/>
      <c r="N31" s="52"/>
      <c r="O31" s="7"/>
      <c r="P31" s="32">
        <f t="shared" si="4"/>
        <v>43978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43978</v>
      </c>
      <c r="AK31" s="35"/>
      <c r="AL31" s="138"/>
      <c r="AM31" s="139"/>
      <c r="AN31" s="138"/>
      <c r="AO31" s="139">
        <v>2000</v>
      </c>
      <c r="AP31" s="138"/>
      <c r="AQ31" s="139">
        <v>20000</v>
      </c>
      <c r="AR31" s="138"/>
      <c r="AS31" s="139">
        <v>50000</v>
      </c>
      <c r="AT31" s="138"/>
      <c r="AU31" s="139">
        <v>9000</v>
      </c>
      <c r="AV31" s="138"/>
      <c r="AW31" s="151"/>
      <c r="AX31" s="138"/>
      <c r="AY31" s="149">
        <v>23000</v>
      </c>
      <c r="AZ31" s="138"/>
      <c r="BA31" s="149"/>
      <c r="BB31" s="138"/>
      <c r="BC31" s="149"/>
      <c r="BD31" s="138"/>
      <c r="BE31" s="149">
        <v>2000</v>
      </c>
      <c r="BF31" s="138"/>
      <c r="BG31" s="138"/>
      <c r="BH31" s="138"/>
      <c r="BI31" s="138"/>
      <c r="BJ31" s="138"/>
      <c r="BK31" s="149"/>
      <c r="BL31" s="138"/>
    </row>
    <row r="32" spans="1:64">
      <c r="A32" s="21">
        <f t="shared" si="0"/>
        <v>43979</v>
      </c>
      <c r="B32" s="38">
        <v>67000</v>
      </c>
      <c r="C32" s="38">
        <v>0</v>
      </c>
      <c r="D32" s="39">
        <f t="shared" si="1"/>
        <v>67000</v>
      </c>
      <c r="E32" s="40"/>
      <c r="F32" s="35"/>
      <c r="G32" s="27"/>
      <c r="H32" s="28">
        <f t="shared" si="6"/>
        <v>0</v>
      </c>
      <c r="I32" s="35">
        <v>5</v>
      </c>
      <c r="J32" s="41">
        <f t="shared" si="3"/>
        <v>13400</v>
      </c>
      <c r="K32" s="29"/>
      <c r="L32" s="5"/>
      <c r="M32" s="53" t="s">
        <v>34</v>
      </c>
      <c r="N32" s="38">
        <f>D37</f>
        <v>1876500</v>
      </c>
      <c r="O32" s="6"/>
      <c r="P32" s="32">
        <f t="shared" si="4"/>
        <v>43979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43979</v>
      </c>
      <c r="AK32" s="35"/>
      <c r="AL32" s="138"/>
      <c r="AM32" s="139"/>
      <c r="AN32" s="138"/>
      <c r="AO32" s="139">
        <v>1000</v>
      </c>
      <c r="AP32" s="138"/>
      <c r="AQ32" s="139"/>
      <c r="AR32" s="138"/>
      <c r="AS32" s="139">
        <v>46000</v>
      </c>
      <c r="AT32" s="138"/>
      <c r="AU32" s="139"/>
      <c r="AV32" s="138"/>
      <c r="AW32" s="151"/>
      <c r="AX32" s="138"/>
      <c r="AY32" s="149">
        <v>20000</v>
      </c>
      <c r="AZ32" s="138"/>
      <c r="BA32" s="149"/>
      <c r="BB32" s="138"/>
      <c r="BC32" s="149"/>
      <c r="BD32" s="138"/>
      <c r="BE32" s="149"/>
      <c r="BF32" s="138"/>
      <c r="BG32" s="138"/>
      <c r="BH32" s="138"/>
      <c r="BI32" s="138"/>
      <c r="BJ32" s="138"/>
      <c r="BK32" s="149"/>
      <c r="BL32" s="138"/>
    </row>
    <row r="33" spans="1:64">
      <c r="A33" s="21">
        <f t="shared" si="0"/>
        <v>43980</v>
      </c>
      <c r="B33" s="38">
        <v>106000</v>
      </c>
      <c r="C33" s="38">
        <v>0</v>
      </c>
      <c r="D33" s="39">
        <f t="shared" si="1"/>
        <v>106000</v>
      </c>
      <c r="E33" s="40"/>
      <c r="F33" s="35"/>
      <c r="G33" s="27"/>
      <c r="H33" s="28">
        <f t="shared" si="6"/>
        <v>0</v>
      </c>
      <c r="I33" s="35">
        <v>7</v>
      </c>
      <c r="J33" s="41" t="str">
        <f>IFERROR(#REF!/I33, "")</f>
        <v/>
      </c>
      <c r="K33" s="29"/>
      <c r="L33" s="5"/>
      <c r="M33" s="53" t="s">
        <v>35</v>
      </c>
      <c r="N33" s="38">
        <f>H37</f>
        <v>160545</v>
      </c>
      <c r="O33" s="6"/>
      <c r="P33" s="32">
        <f>IF($A$33="","",$A$33)</f>
        <v>43980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43980</v>
      </c>
      <c r="AK33" s="56"/>
      <c r="AL33" s="138"/>
      <c r="AM33" s="139"/>
      <c r="AN33" s="138"/>
      <c r="AO33" s="139"/>
      <c r="AP33" s="138"/>
      <c r="AQ33" s="139">
        <v>2000</v>
      </c>
      <c r="AR33" s="138"/>
      <c r="AS33" s="139">
        <v>50000</v>
      </c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/>
      <c r="BF33" s="138">
        <v>12000</v>
      </c>
      <c r="BG33" s="138"/>
      <c r="BH33" s="138"/>
      <c r="BI33" s="138"/>
      <c r="BJ33" s="138"/>
      <c r="BK33" s="149">
        <v>42000</v>
      </c>
      <c r="BL33" s="138"/>
    </row>
    <row r="34" spans="1:64" ht="21" thickBot="1">
      <c r="A34" s="21">
        <f t="shared" si="0"/>
        <v>43981</v>
      </c>
      <c r="B34" s="294">
        <v>31000</v>
      </c>
      <c r="C34" s="38">
        <v>5000</v>
      </c>
      <c r="D34" s="39">
        <f t="shared" si="1"/>
        <v>36000</v>
      </c>
      <c r="E34" s="40">
        <v>10339</v>
      </c>
      <c r="F34" s="35">
        <v>3501</v>
      </c>
      <c r="G34" s="27"/>
      <c r="H34" s="28">
        <f t="shared" si="6"/>
        <v>13840</v>
      </c>
      <c r="I34" s="35"/>
      <c r="J34" s="41" t="str">
        <f>IFERROR(B33/I34, "")</f>
        <v/>
      </c>
      <c r="K34" s="29"/>
      <c r="L34" s="5"/>
      <c r="M34" s="53" t="s">
        <v>36</v>
      </c>
      <c r="N34" s="38">
        <f>N28</f>
        <v>270035</v>
      </c>
      <c r="O34" s="6"/>
      <c r="P34" s="32">
        <f>IF($A$34="","",$A$34)</f>
        <v>43981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43981</v>
      </c>
      <c r="AK34" s="137"/>
      <c r="AL34" s="154"/>
      <c r="AM34" s="155"/>
      <c r="AN34" s="154"/>
      <c r="AO34" s="155">
        <v>5000</v>
      </c>
      <c r="AP34" s="154"/>
      <c r="AQ34" s="155">
        <v>5000</v>
      </c>
      <c r="AR34" s="154">
        <v>15000</v>
      </c>
      <c r="AS34" s="155"/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/>
      <c r="BF34" s="154"/>
      <c r="BG34" s="154">
        <v>9000</v>
      </c>
      <c r="BH34" s="154"/>
      <c r="BI34" s="154"/>
      <c r="BJ34" s="154">
        <v>2000</v>
      </c>
      <c r="BK34" s="157"/>
      <c r="BL34" s="154"/>
    </row>
    <row r="35" spans="1:64" ht="21" thickBot="1">
      <c r="A35" s="21">
        <f t="shared" si="0"/>
        <v>43982</v>
      </c>
      <c r="B35">
        <v>87000</v>
      </c>
      <c r="C35" s="38">
        <v>9000</v>
      </c>
      <c r="D35" s="39">
        <f t="shared" si="1"/>
        <v>96000</v>
      </c>
      <c r="E35" s="40"/>
      <c r="F35" s="35">
        <v>1155</v>
      </c>
      <c r="G35" s="27"/>
      <c r="H35" s="28">
        <f t="shared" si="6"/>
        <v>1155</v>
      </c>
      <c r="I35" s="57">
        <v>16</v>
      </c>
      <c r="J35" s="58" t="str">
        <f>IFERROR(#REF!/I35, "")</f>
        <v/>
      </c>
      <c r="K35" s="59"/>
      <c r="L35" s="5"/>
      <c r="M35" s="60" t="s">
        <v>37</v>
      </c>
      <c r="N35" s="61">
        <f>IFERROR(N32-N33-N34, "")</f>
        <v>1445920</v>
      </c>
      <c r="O35" s="6"/>
      <c r="P35" s="32">
        <f>IF($A$35="","",$A$35)</f>
        <v>43982</v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>
        <f>IF($A$35="","",$A$35)</f>
        <v>43982</v>
      </c>
      <c r="AK35" s="115"/>
      <c r="AL35" s="158"/>
      <c r="AM35" s="147"/>
      <c r="AN35" s="158"/>
      <c r="AO35" s="147">
        <v>9000</v>
      </c>
      <c r="AP35" s="158"/>
      <c r="AQ35" s="147">
        <v>47000</v>
      </c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>
        <v>9000</v>
      </c>
      <c r="BI35" s="158">
        <v>3000</v>
      </c>
      <c r="BJ35" s="158"/>
      <c r="BK35" s="147"/>
      <c r="BL35" s="158"/>
    </row>
    <row r="36" spans="1:64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>SUM(AK5:AK35)</f>
        <v>0</v>
      </c>
      <c r="AL36" s="115">
        <f>SUM(AL5:AL35)</f>
        <v>1000</v>
      </c>
      <c r="AM36" s="115">
        <f t="shared" ref="AM36:BL36" si="7">SUM(AM5:AM35)</f>
        <v>9000</v>
      </c>
      <c r="AN36" s="115">
        <f t="shared" si="7"/>
        <v>85000</v>
      </c>
      <c r="AO36" s="115">
        <f t="shared" si="7"/>
        <v>266500</v>
      </c>
      <c r="AP36" s="115">
        <f t="shared" si="7"/>
        <v>0</v>
      </c>
      <c r="AQ36" s="115">
        <f t="shared" si="7"/>
        <v>249000</v>
      </c>
      <c r="AR36" s="115">
        <f t="shared" si="7"/>
        <v>15000</v>
      </c>
      <c r="AS36" s="115">
        <f t="shared" si="7"/>
        <v>857000</v>
      </c>
      <c r="AT36" s="115">
        <f t="shared" si="7"/>
        <v>15000</v>
      </c>
      <c r="AU36" s="115">
        <f t="shared" si="7"/>
        <v>25000</v>
      </c>
      <c r="AV36" s="115">
        <f t="shared" si="7"/>
        <v>0</v>
      </c>
      <c r="AW36" s="115">
        <f t="shared" si="7"/>
        <v>22000</v>
      </c>
      <c r="AX36" s="115">
        <f t="shared" si="7"/>
        <v>0</v>
      </c>
      <c r="AY36" s="115">
        <f t="shared" si="7"/>
        <v>50000</v>
      </c>
      <c r="AZ36" s="115">
        <f t="shared" si="7"/>
        <v>0</v>
      </c>
      <c r="BA36" s="115">
        <f t="shared" si="7"/>
        <v>30000</v>
      </c>
      <c r="BB36" s="115">
        <f t="shared" si="7"/>
        <v>115000</v>
      </c>
      <c r="BC36" s="115">
        <f t="shared" si="7"/>
        <v>2000</v>
      </c>
      <c r="BD36" s="115">
        <f t="shared" si="7"/>
        <v>0</v>
      </c>
      <c r="BE36" s="115">
        <f t="shared" si="7"/>
        <v>10000</v>
      </c>
      <c r="BF36" s="115">
        <f t="shared" si="7"/>
        <v>12000</v>
      </c>
      <c r="BG36" s="115">
        <f t="shared" si="7"/>
        <v>9000</v>
      </c>
      <c r="BH36" s="115">
        <f t="shared" si="7"/>
        <v>26000</v>
      </c>
      <c r="BI36" s="115">
        <f t="shared" si="7"/>
        <v>3000</v>
      </c>
      <c r="BJ36" s="115">
        <f t="shared" si="7"/>
        <v>2000</v>
      </c>
      <c r="BK36" s="115">
        <f t="shared" si="7"/>
        <v>42000</v>
      </c>
      <c r="BL36" s="115">
        <f t="shared" si="7"/>
        <v>0</v>
      </c>
    </row>
    <row r="37" spans="1:64" ht="22" thickTop="1" thickBot="1">
      <c r="A37" s="81" t="s">
        <v>33</v>
      </c>
      <c r="B37" s="82">
        <f>SUM(B5:B35)</f>
        <v>1764000</v>
      </c>
      <c r="C37" s="82">
        <f>SUM(C5:C35)</f>
        <v>112500</v>
      </c>
      <c r="D37" s="82">
        <f>SUM(D5:D35)</f>
        <v>1876500</v>
      </c>
      <c r="E37" s="83">
        <f>SUM(E5:E33)</f>
        <v>142729</v>
      </c>
      <c r="F37" s="84">
        <f>SUM(F5:F35)</f>
        <v>7477</v>
      </c>
      <c r="G37" s="84">
        <f>SUM(G5:G35)</f>
        <v>0</v>
      </c>
      <c r="H37" s="85">
        <f>SUM(H5:H35)</f>
        <v>160545</v>
      </c>
      <c r="I37" s="86">
        <f>SUM(I5:I35)</f>
        <v>211</v>
      </c>
      <c r="J37" s="86">
        <f>IFERROR(32/I37, "")</f>
        <v>0.15165876777251186</v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K37" s="1"/>
      <c r="BL37" s="1"/>
    </row>
  </sheetData>
  <mergeCells count="47">
    <mergeCell ref="I3:I4"/>
    <mergeCell ref="A1:A2"/>
    <mergeCell ref="B1:B2"/>
    <mergeCell ref="A3:A4"/>
    <mergeCell ref="B3:D3"/>
    <mergeCell ref="E3:H3"/>
    <mergeCell ref="AK3:AK4"/>
    <mergeCell ref="AL3:AL4"/>
    <mergeCell ref="AM3:AM4"/>
    <mergeCell ref="J3:J4"/>
    <mergeCell ref="P3:P4"/>
    <mergeCell ref="Q3:S3"/>
    <mergeCell ref="T3:V3"/>
    <mergeCell ref="W3:Y3"/>
    <mergeCell ref="Z3:AB3"/>
    <mergeCell ref="N20:N21"/>
    <mergeCell ref="P36:P37"/>
    <mergeCell ref="M13:N13"/>
    <mergeCell ref="BJ3:BJ4"/>
    <mergeCell ref="BG3:BG4"/>
    <mergeCell ref="BH3:BH4"/>
    <mergeCell ref="AZ3:AZ4"/>
    <mergeCell ref="BA3:BA4"/>
    <mergeCell ref="BB3:BB4"/>
    <mergeCell ref="BC3:BC4"/>
    <mergeCell ref="BD3:BD4"/>
    <mergeCell ref="BE3:BE4"/>
    <mergeCell ref="AT3:AT4"/>
    <mergeCell ref="AU3:AU4"/>
    <mergeCell ref="AV3:AV4"/>
    <mergeCell ref="AW3:AW4"/>
    <mergeCell ref="BI3:BI4"/>
    <mergeCell ref="BF3:BF4"/>
    <mergeCell ref="BK3:BK4"/>
    <mergeCell ref="BL3:BL4"/>
    <mergeCell ref="M19:N19"/>
    <mergeCell ref="AX3:AX4"/>
    <mergeCell ref="AY3:AY4"/>
    <mergeCell ref="AN3:AN4"/>
    <mergeCell ref="AO3:AO4"/>
    <mergeCell ref="AP3:AP4"/>
    <mergeCell ref="AQ3:AQ4"/>
    <mergeCell ref="AR3:AR4"/>
    <mergeCell ref="AS3:AS4"/>
    <mergeCell ref="AC3:AE3"/>
    <mergeCell ref="AF3:AH3"/>
    <mergeCell ref="AJ3:AJ4"/>
  </mergeCells>
  <phoneticPr fontId="7"/>
  <dataValidations count="6">
    <dataValidation type="list" allowBlank="1" showErrorMessage="1" sqref="Q5:Q6 T5:T35 W5:W35 Z5:Z35 AC5:AC35 AF5:AF35" xr:uid="{6A6F46C9-25A3-E04F-8B9B-357CC42A73DE}">
      <formula1>入時間</formula1>
    </dataValidation>
    <dataValidation type="list" allowBlank="1" showErrorMessage="1" sqref="R5:R35 U5:U35 X5:X35 AA5:AA35 AD5:AD35 AG5:AG35" xr:uid="{37F01BBD-DE22-D14C-9C98-2768C893105D}">
      <formula1>出時間</formula1>
    </dataValidation>
    <dataValidation type="list" allowBlank="1" showErrorMessage="1" sqref="Q3:AH3 AK3:AK4 AW3:AW4 AM3:AM4 AO3:AO4 BA3:BA4 AS3:AS4 AY3:AY4 BC3:BC4 AQ3:AQ4 AU3:AU4 BK3:BK4 BE3:BF4 BG3:BJ3" xr:uid="{5259725C-8E05-464D-A249-1A79EAC33902}">
      <formula1>名前</formula1>
    </dataValidation>
    <dataValidation type="list" allowBlank="1" showErrorMessage="1" sqref="Q7:Q35" xr:uid="{EBF37F91-7CAD-3B49-8942-4136B754539E}">
      <formula1>#REF!</formula1>
    </dataValidation>
    <dataValidation type="list" allowBlank="1" showErrorMessage="1" sqref="S5:S35 V5:V35 Y5:Y35 AB5:AB35 AE5:AE35 AH5:AH35" xr:uid="{81F264F6-FE7A-AF4F-AA54-32538DC9B72E}">
      <formula1>"　,済"</formula1>
    </dataValidation>
    <dataValidation allowBlank="1" showErrorMessage="1" sqref="AL3:AL4 BB3:BB4 AN3:AN4 AV3:AV4 AT3:AT4 AX3:AX4 AZ3:AZ4 BD3:BD4 BL3:BL4 AP3:AP4 AR3:AR4" xr:uid="{86F1380E-2E81-6A46-B9BE-C948416DF959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BD79-837C-B142-8F88-9CEFE38CC71F}">
  <dimension ref="A1:BW38"/>
  <sheetViews>
    <sheetView topLeftCell="AF3" zoomScale="80" workbookViewId="0">
      <selection activeCell="BU39" sqref="BU39"/>
    </sheetView>
  </sheetViews>
  <sheetFormatPr baseColWidth="10" defaultRowHeight="20"/>
  <cols>
    <col min="1" max="1" width="13.85546875" customWidth="1"/>
    <col min="59" max="63" width="10.7109375" style="1"/>
    <col min="64" max="64" width="12.85546875" style="1" bestFit="1" customWidth="1"/>
    <col min="65" max="67" width="10.7109375" style="1"/>
    <col min="68" max="68" width="9.42578125" style="1" bestFit="1" customWidth="1"/>
    <col min="69" max="69" width="11.85546875" style="1" bestFit="1" customWidth="1"/>
    <col min="70" max="70" width="15.7109375" style="1" bestFit="1" customWidth="1"/>
    <col min="71" max="73" width="10.7109375" style="1"/>
  </cols>
  <sheetData>
    <row r="1" spans="1:75">
      <c r="A1" s="498">
        <v>2020</v>
      </c>
      <c r="B1" s="500">
        <v>6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V1" s="1"/>
      <c r="BW1" s="1"/>
    </row>
    <row r="2" spans="1:75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V2" s="1"/>
      <c r="BW2" s="1"/>
    </row>
    <row r="3" spans="1:75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184</v>
      </c>
      <c r="AV3" s="494">
        <v>0.3</v>
      </c>
      <c r="AW3" s="496" t="s">
        <v>74</v>
      </c>
      <c r="AX3" s="494">
        <v>0.3</v>
      </c>
      <c r="AY3" s="527" t="s">
        <v>9</v>
      </c>
      <c r="AZ3" s="494">
        <v>0.3</v>
      </c>
      <c r="BA3" s="492" t="s">
        <v>171</v>
      </c>
      <c r="BB3" s="494">
        <v>0.3</v>
      </c>
      <c r="BC3" s="496" t="s">
        <v>139</v>
      </c>
      <c r="BD3" s="494">
        <v>0.3</v>
      </c>
      <c r="BE3" s="566" t="s">
        <v>188</v>
      </c>
      <c r="BF3" s="571">
        <v>0.3</v>
      </c>
      <c r="BG3" s="496" t="s">
        <v>141</v>
      </c>
      <c r="BH3" s="496" t="s">
        <v>190</v>
      </c>
      <c r="BI3" s="496" t="s">
        <v>199</v>
      </c>
      <c r="BJ3" s="570" t="s">
        <v>98</v>
      </c>
      <c r="BK3" s="520" t="s">
        <v>192</v>
      </c>
      <c r="BL3" s="520" t="s">
        <v>137</v>
      </c>
      <c r="BM3" s="520" t="s">
        <v>127</v>
      </c>
      <c r="BN3" s="520" t="s">
        <v>120</v>
      </c>
      <c r="BO3" s="520" t="s">
        <v>165</v>
      </c>
      <c r="BP3" s="520" t="s">
        <v>201</v>
      </c>
      <c r="BQ3" s="520" t="s">
        <v>195</v>
      </c>
      <c r="BR3" s="520" t="s">
        <v>114</v>
      </c>
      <c r="BS3" s="520" t="s">
        <v>193</v>
      </c>
      <c r="BT3" s="520" t="s">
        <v>197</v>
      </c>
      <c r="BU3" s="520" t="s">
        <v>150</v>
      </c>
      <c r="BV3" s="570" t="s">
        <v>166</v>
      </c>
      <c r="BW3" s="494">
        <v>0.3</v>
      </c>
    </row>
    <row r="4" spans="1:75" ht="21" thickBot="1">
      <c r="A4" s="502"/>
      <c r="B4" s="9"/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567"/>
      <c r="BF4" s="496"/>
      <c r="BG4" s="497"/>
      <c r="BH4" s="497"/>
      <c r="BI4" s="496"/>
      <c r="BJ4" s="580"/>
      <c r="BK4" s="521"/>
      <c r="BL4" s="521"/>
      <c r="BM4" s="521"/>
      <c r="BN4" s="521"/>
      <c r="BO4" s="521"/>
      <c r="BP4" s="521"/>
      <c r="BQ4" s="521"/>
      <c r="BR4" s="521"/>
      <c r="BS4" s="521"/>
      <c r="BT4" s="521"/>
      <c r="BU4" s="521"/>
      <c r="BV4" s="580"/>
      <c r="BW4" s="495"/>
    </row>
    <row r="5" spans="1:75" ht="21" thickTop="1">
      <c r="A5" s="21">
        <f t="shared" ref="A5:A35" si="0">IF(DAY(DATE($A$1,$B$1,ROW()-4))=ROW()-4,DATE($A$1,$B$1,ROW()-4),"")</f>
        <v>43983</v>
      </c>
      <c r="B5" s="23">
        <v>45000</v>
      </c>
      <c r="C5" s="23"/>
      <c r="D5" s="24">
        <f t="shared" ref="D5:D35" si="1">B5+C5</f>
        <v>45000</v>
      </c>
      <c r="E5" s="25"/>
      <c r="F5" s="26"/>
      <c r="G5" s="27"/>
      <c r="H5" s="28">
        <f t="shared" ref="H5:H23" si="2">E5+F5+G5</f>
        <v>0</v>
      </c>
      <c r="I5" s="27"/>
      <c r="J5" s="28" t="str">
        <f t="shared" ref="J5:J35" si="3">IFERROR(B5/I5, "")</f>
        <v/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43983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43983</v>
      </c>
      <c r="AK5" s="35"/>
      <c r="AL5" s="138"/>
      <c r="AM5" s="139"/>
      <c r="AN5" s="138"/>
      <c r="AO5" s="190">
        <v>18000</v>
      </c>
      <c r="AP5" s="138"/>
      <c r="AQ5" s="141">
        <v>6000</v>
      </c>
      <c r="AR5" s="138"/>
      <c r="AS5" s="142"/>
      <c r="AT5" s="138"/>
      <c r="AU5" s="143">
        <v>7000</v>
      </c>
      <c r="AV5" s="138"/>
      <c r="AW5" s="144">
        <v>14000</v>
      </c>
      <c r="AX5" s="138"/>
      <c r="AY5" s="145"/>
      <c r="AZ5" s="138"/>
      <c r="BA5" s="146"/>
      <c r="BB5" s="138"/>
      <c r="BC5" s="144"/>
      <c r="BD5" s="138"/>
      <c r="BE5" s="184"/>
      <c r="BF5" s="158"/>
      <c r="BG5" s="158"/>
      <c r="BH5" s="158"/>
      <c r="BI5" s="158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61"/>
      <c r="BW5" s="138"/>
    </row>
    <row r="6" spans="1:75">
      <c r="A6" s="21">
        <f t="shared" si="0"/>
        <v>43984</v>
      </c>
      <c r="B6" s="38">
        <v>0</v>
      </c>
      <c r="C6" s="23"/>
      <c r="D6" s="39">
        <f t="shared" si="1"/>
        <v>0</v>
      </c>
      <c r="E6" s="40"/>
      <c r="F6" s="35"/>
      <c r="G6" s="27"/>
      <c r="H6" s="28">
        <f t="shared" si="2"/>
        <v>0</v>
      </c>
      <c r="I6" s="35"/>
      <c r="J6" s="41" t="str">
        <f t="shared" si="3"/>
        <v/>
      </c>
      <c r="K6" s="29"/>
      <c r="L6" s="5"/>
      <c r="M6" s="30" t="s">
        <v>24</v>
      </c>
      <c r="N6" s="31" t="s">
        <v>25</v>
      </c>
      <c r="O6" s="7"/>
      <c r="P6" s="32">
        <f t="shared" si="4"/>
        <v>43984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43984</v>
      </c>
      <c r="AK6" s="35"/>
      <c r="AL6" s="138"/>
      <c r="AM6" s="139"/>
      <c r="AN6" s="138"/>
      <c r="AO6" s="143"/>
      <c r="AP6" s="138"/>
      <c r="AQ6" s="147"/>
      <c r="AR6" s="138"/>
      <c r="AS6" s="142"/>
      <c r="AT6" s="138"/>
      <c r="AU6" s="143"/>
      <c r="AV6" s="138"/>
      <c r="AW6" s="147"/>
      <c r="AX6" s="138"/>
      <c r="AY6" s="145"/>
      <c r="AZ6" s="138"/>
      <c r="BA6" s="146"/>
      <c r="BB6" s="138"/>
      <c r="BC6" s="144"/>
      <c r="BD6" s="138"/>
      <c r="BE6" s="184"/>
      <c r="BF6" s="158"/>
      <c r="BG6" s="158"/>
      <c r="BH6" s="158"/>
      <c r="BI6" s="158"/>
      <c r="BJ6" s="167"/>
      <c r="BK6" s="158"/>
      <c r="BL6" s="158"/>
      <c r="BM6" s="158"/>
      <c r="BN6" s="168"/>
      <c r="BO6" s="168"/>
      <c r="BP6" s="168"/>
      <c r="BQ6" s="168"/>
      <c r="BR6" s="168"/>
      <c r="BS6" s="168"/>
      <c r="BT6" s="168"/>
      <c r="BU6" s="158"/>
      <c r="BV6" s="161"/>
      <c r="BW6" s="138"/>
    </row>
    <row r="7" spans="1:75">
      <c r="A7" s="21">
        <f t="shared" si="0"/>
        <v>43985</v>
      </c>
      <c r="B7" s="38">
        <v>51000</v>
      </c>
      <c r="C7" s="23"/>
      <c r="D7" s="39">
        <f t="shared" si="1"/>
        <v>51000</v>
      </c>
      <c r="E7" s="40">
        <v>65837</v>
      </c>
      <c r="F7" s="35"/>
      <c r="G7" s="27"/>
      <c r="H7" s="28">
        <f t="shared" si="2"/>
        <v>65837</v>
      </c>
      <c r="I7" s="35"/>
      <c r="J7" s="41" t="str">
        <f t="shared" si="3"/>
        <v/>
      </c>
      <c r="K7" s="29"/>
      <c r="L7" s="5"/>
      <c r="M7" s="6"/>
      <c r="N7" s="7"/>
      <c r="O7" s="7"/>
      <c r="P7" s="32">
        <f t="shared" si="4"/>
        <v>43985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43985</v>
      </c>
      <c r="AK7" s="35"/>
      <c r="AL7" s="138"/>
      <c r="AM7" s="139"/>
      <c r="AN7" s="138"/>
      <c r="AO7" s="143"/>
      <c r="AP7" s="138"/>
      <c r="AQ7" s="147">
        <v>8000</v>
      </c>
      <c r="AR7" s="138"/>
      <c r="AS7" s="142">
        <v>43000</v>
      </c>
      <c r="AT7" s="138"/>
      <c r="AU7" s="139"/>
      <c r="AV7" s="138"/>
      <c r="AW7" s="148"/>
      <c r="AX7" s="138"/>
      <c r="AY7" s="149"/>
      <c r="AZ7" s="138"/>
      <c r="BA7" s="149"/>
      <c r="BB7" s="138"/>
      <c r="BC7" s="150"/>
      <c r="BD7" s="138"/>
      <c r="BE7" s="185"/>
      <c r="BF7" s="158"/>
      <c r="BG7" s="158"/>
      <c r="BH7" s="158"/>
      <c r="BI7" s="158"/>
      <c r="BJ7" s="167"/>
      <c r="BK7" s="158"/>
      <c r="BL7" s="158"/>
      <c r="BM7" s="158"/>
      <c r="BN7" s="168"/>
      <c r="BO7" s="168"/>
      <c r="BP7" s="168"/>
      <c r="BQ7" s="168"/>
      <c r="BR7" s="168"/>
      <c r="BS7" s="168"/>
      <c r="BT7" s="168"/>
      <c r="BU7" s="158"/>
      <c r="BV7" s="162"/>
      <c r="BW7" s="138"/>
    </row>
    <row r="8" spans="1:75">
      <c r="A8" s="21">
        <f t="shared" si="0"/>
        <v>43986</v>
      </c>
      <c r="B8" s="38">
        <v>74500</v>
      </c>
      <c r="C8" s="23">
        <v>50000</v>
      </c>
      <c r="D8" s="39">
        <f t="shared" si="1"/>
        <v>124500</v>
      </c>
      <c r="E8" s="40"/>
      <c r="F8" s="35"/>
      <c r="G8" s="27"/>
      <c r="H8" s="28">
        <f t="shared" si="2"/>
        <v>0</v>
      </c>
      <c r="I8" s="35"/>
      <c r="J8" s="41" t="str">
        <f t="shared" si="3"/>
        <v/>
      </c>
      <c r="K8" s="29"/>
      <c r="L8" s="5"/>
      <c r="M8" s="6"/>
      <c r="N8" s="7"/>
      <c r="O8" s="7"/>
      <c r="P8" s="32">
        <f t="shared" si="4"/>
        <v>43986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43986</v>
      </c>
      <c r="AK8" s="35"/>
      <c r="AL8" s="138"/>
      <c r="AM8" s="139"/>
      <c r="AN8" s="138"/>
      <c r="AO8" s="143">
        <v>26000</v>
      </c>
      <c r="AP8" s="138"/>
      <c r="AQ8" s="147">
        <v>5000</v>
      </c>
      <c r="AR8" s="138"/>
      <c r="AS8" s="142">
        <v>41000</v>
      </c>
      <c r="AT8" s="138"/>
      <c r="AU8" s="139"/>
      <c r="AV8" s="138"/>
      <c r="AW8" s="151">
        <v>52500</v>
      </c>
      <c r="AX8" s="138"/>
      <c r="AY8" s="149"/>
      <c r="AZ8" s="138"/>
      <c r="BA8" s="149"/>
      <c r="BB8" s="138"/>
      <c r="BC8" s="149"/>
      <c r="BD8" s="138"/>
      <c r="BE8" s="146"/>
      <c r="BF8" s="158"/>
      <c r="BG8" s="158"/>
      <c r="BH8" s="158"/>
      <c r="BI8" s="158"/>
      <c r="BJ8" s="249"/>
      <c r="BK8" s="158"/>
      <c r="BL8" s="158"/>
      <c r="BM8" s="158"/>
      <c r="BN8" s="168"/>
      <c r="BO8" s="168"/>
      <c r="BP8" s="168"/>
      <c r="BQ8" s="168"/>
      <c r="BR8" s="168"/>
      <c r="BS8" s="168"/>
      <c r="BT8" s="168"/>
      <c r="BU8" s="158"/>
      <c r="BV8" s="145"/>
      <c r="BW8" s="138"/>
    </row>
    <row r="9" spans="1:75">
      <c r="A9" s="21">
        <f t="shared" si="0"/>
        <v>43987</v>
      </c>
      <c r="B9" s="38">
        <v>120000</v>
      </c>
      <c r="C9" s="23">
        <v>13000</v>
      </c>
      <c r="D9" s="39">
        <f t="shared" si="1"/>
        <v>133000</v>
      </c>
      <c r="E9" s="40"/>
      <c r="F9" s="35"/>
      <c r="G9" s="27"/>
      <c r="H9" s="28">
        <f t="shared" si="2"/>
        <v>0</v>
      </c>
      <c r="I9" s="35"/>
      <c r="J9" s="41" t="str">
        <f t="shared" si="3"/>
        <v/>
      </c>
      <c r="K9" s="29"/>
      <c r="L9" s="5"/>
      <c r="M9" s="6"/>
      <c r="N9" s="7"/>
      <c r="O9" s="7"/>
      <c r="P9" s="32">
        <f t="shared" si="4"/>
        <v>43987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43987</v>
      </c>
      <c r="AK9" s="35"/>
      <c r="AL9" s="138"/>
      <c r="AM9" s="139"/>
      <c r="AN9" s="138"/>
      <c r="AO9" s="139">
        <v>41000</v>
      </c>
      <c r="AP9" s="138">
        <v>15000</v>
      </c>
      <c r="AQ9" s="152">
        <v>39000</v>
      </c>
      <c r="AR9" s="138"/>
      <c r="AS9" s="139">
        <v>29000</v>
      </c>
      <c r="AT9" s="138"/>
      <c r="AU9" s="139"/>
      <c r="AV9" s="138"/>
      <c r="AW9" s="151"/>
      <c r="AX9" s="138"/>
      <c r="AY9" s="149"/>
      <c r="AZ9" s="138"/>
      <c r="BA9" s="149"/>
      <c r="BB9" s="138"/>
      <c r="BC9" s="149">
        <v>9000</v>
      </c>
      <c r="BD9" s="138"/>
      <c r="BE9" s="146"/>
      <c r="BF9" s="158"/>
      <c r="BG9" s="158"/>
      <c r="BH9" s="158"/>
      <c r="BI9" s="158"/>
      <c r="BJ9" s="250"/>
      <c r="BK9" s="158"/>
      <c r="BL9" s="158"/>
      <c r="BM9" s="158"/>
      <c r="BN9" s="168"/>
      <c r="BO9" s="168"/>
      <c r="BP9" s="168"/>
      <c r="BQ9" s="168"/>
      <c r="BR9" s="158"/>
      <c r="BS9" s="167"/>
      <c r="BT9" s="168"/>
      <c r="BU9" s="158"/>
      <c r="BV9" s="145"/>
      <c r="BW9" s="138"/>
    </row>
    <row r="10" spans="1:75">
      <c r="A10" s="21">
        <f t="shared" si="0"/>
        <v>43988</v>
      </c>
      <c r="B10" s="38">
        <v>77000</v>
      </c>
      <c r="C10" s="23">
        <v>105000</v>
      </c>
      <c r="D10" s="39">
        <f t="shared" si="1"/>
        <v>182000</v>
      </c>
      <c r="E10" s="40">
        <v>47862</v>
      </c>
      <c r="F10" s="35">
        <v>454</v>
      </c>
      <c r="G10" s="27"/>
      <c r="H10" s="28">
        <f t="shared" si="2"/>
        <v>48316</v>
      </c>
      <c r="I10" s="35"/>
      <c r="J10" s="41" t="str">
        <f t="shared" si="3"/>
        <v/>
      </c>
      <c r="K10" s="29"/>
      <c r="L10" s="5"/>
      <c r="M10" s="45"/>
      <c r="N10" s="46"/>
      <c r="O10" s="7"/>
      <c r="P10" s="32">
        <f t="shared" si="4"/>
        <v>43988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43988</v>
      </c>
      <c r="AK10" s="35"/>
      <c r="AL10" s="138"/>
      <c r="AM10" s="139"/>
      <c r="AN10" s="138"/>
      <c r="AO10" s="139">
        <v>5000</v>
      </c>
      <c r="AP10" s="138"/>
      <c r="AQ10" s="139">
        <v>46000</v>
      </c>
      <c r="AR10" s="138"/>
      <c r="AS10" s="139">
        <v>14000</v>
      </c>
      <c r="AT10" s="138"/>
      <c r="AU10" s="139"/>
      <c r="AV10" s="138"/>
      <c r="AW10" s="151">
        <v>6000</v>
      </c>
      <c r="AX10" s="138"/>
      <c r="AY10" s="149"/>
      <c r="AZ10" s="138"/>
      <c r="BA10" s="149"/>
      <c r="BB10" s="138"/>
      <c r="BC10" s="149"/>
      <c r="BD10" s="138"/>
      <c r="BE10" s="146">
        <v>65000</v>
      </c>
      <c r="BF10" s="158"/>
      <c r="BG10" s="158"/>
      <c r="BH10" s="158"/>
      <c r="BI10" s="158"/>
      <c r="BJ10" s="250">
        <v>36000</v>
      </c>
      <c r="BK10" s="158"/>
      <c r="BL10" s="158"/>
      <c r="BM10" s="158">
        <v>10000</v>
      </c>
      <c r="BN10" s="168"/>
      <c r="BO10" s="168"/>
      <c r="BP10" s="168"/>
      <c r="BQ10" s="168"/>
      <c r="BR10" s="158"/>
      <c r="BS10" s="167"/>
      <c r="BT10" s="168"/>
      <c r="BU10" s="158"/>
      <c r="BV10" s="145"/>
      <c r="BW10" s="138"/>
    </row>
    <row r="11" spans="1:75">
      <c r="A11" s="21">
        <f t="shared" si="0"/>
        <v>43989</v>
      </c>
      <c r="B11" s="38">
        <v>173500</v>
      </c>
      <c r="C11" s="23">
        <v>12000</v>
      </c>
      <c r="D11" s="39">
        <f t="shared" si="1"/>
        <v>185500</v>
      </c>
      <c r="E11" s="40"/>
      <c r="F11" s="35">
        <v>11804</v>
      </c>
      <c r="G11" s="27"/>
      <c r="H11" s="28">
        <f t="shared" si="2"/>
        <v>11804</v>
      </c>
      <c r="I11" s="35"/>
      <c r="J11" s="41" t="str">
        <f t="shared" si="3"/>
        <v/>
      </c>
      <c r="K11" s="29"/>
      <c r="L11" s="5"/>
      <c r="M11" s="296" t="s">
        <v>80</v>
      </c>
      <c r="N11" s="297">
        <v>22000</v>
      </c>
      <c r="O11" s="6"/>
      <c r="P11" s="32">
        <f t="shared" si="4"/>
        <v>43989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43989</v>
      </c>
      <c r="AK11" s="35"/>
      <c r="AL11" s="138"/>
      <c r="AM11" s="139"/>
      <c r="AN11" s="138"/>
      <c r="AO11" s="139">
        <v>5000</v>
      </c>
      <c r="AP11" s="138"/>
      <c r="AQ11" s="139"/>
      <c r="AR11" s="138"/>
      <c r="AS11" s="139">
        <v>20000</v>
      </c>
      <c r="AT11" s="138"/>
      <c r="AU11" s="139"/>
      <c r="AV11" s="138"/>
      <c r="AW11" s="151">
        <v>93500</v>
      </c>
      <c r="AX11" s="138"/>
      <c r="AY11" s="149"/>
      <c r="AZ11" s="138"/>
      <c r="BA11" s="149"/>
      <c r="BB11" s="138"/>
      <c r="BC11" s="149"/>
      <c r="BD11" s="138"/>
      <c r="BE11" s="146">
        <v>10000</v>
      </c>
      <c r="BF11" s="158"/>
      <c r="BG11" s="158">
        <v>12000</v>
      </c>
      <c r="BH11" s="158">
        <v>9000</v>
      </c>
      <c r="BI11" s="158"/>
      <c r="BJ11" s="166"/>
      <c r="BK11" s="173"/>
      <c r="BL11" s="173"/>
      <c r="BM11" s="173"/>
      <c r="BN11" s="249"/>
      <c r="BO11" s="168"/>
      <c r="BP11" s="168"/>
      <c r="BQ11" s="168"/>
      <c r="BR11" s="158"/>
      <c r="BS11" s="167"/>
      <c r="BT11" s="168"/>
      <c r="BU11" s="158"/>
      <c r="BV11" s="145"/>
      <c r="BW11" s="138"/>
    </row>
    <row r="12" spans="1:75">
      <c r="A12" s="21">
        <f t="shared" si="0"/>
        <v>43990</v>
      </c>
      <c r="B12" s="38">
        <v>113000</v>
      </c>
      <c r="C12" s="23"/>
      <c r="D12" s="39">
        <f t="shared" si="1"/>
        <v>113000</v>
      </c>
      <c r="E12" s="40">
        <v>9193</v>
      </c>
      <c r="F12" s="35"/>
      <c r="G12" s="27"/>
      <c r="H12" s="28">
        <f t="shared" si="2"/>
        <v>9193</v>
      </c>
      <c r="I12" s="35"/>
      <c r="J12" s="41" t="str">
        <f t="shared" si="3"/>
        <v/>
      </c>
      <c r="K12" s="29"/>
      <c r="L12" s="5"/>
      <c r="M12" s="256"/>
      <c r="N12" s="257"/>
      <c r="O12" s="7"/>
      <c r="P12" s="32">
        <f t="shared" si="4"/>
        <v>43990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43990</v>
      </c>
      <c r="AK12" s="35"/>
      <c r="AL12" s="138"/>
      <c r="AM12" s="139"/>
      <c r="AN12" s="138"/>
      <c r="AO12" s="139"/>
      <c r="AP12" s="138"/>
      <c r="AQ12" s="139"/>
      <c r="AR12" s="138"/>
      <c r="AS12" s="139">
        <v>55000</v>
      </c>
      <c r="AT12" s="138"/>
      <c r="AU12" s="139"/>
      <c r="AV12" s="138"/>
      <c r="AW12" s="151"/>
      <c r="AX12" s="138"/>
      <c r="AY12" s="149"/>
      <c r="AZ12" s="138"/>
      <c r="BA12" s="149">
        <v>8000</v>
      </c>
      <c r="BB12" s="138">
        <v>50000</v>
      </c>
      <c r="BC12" s="149"/>
      <c r="BD12" s="138"/>
      <c r="BE12" s="149"/>
      <c r="BF12" s="159"/>
      <c r="BG12" s="159"/>
      <c r="BH12" s="159"/>
      <c r="BI12" s="159"/>
      <c r="BJ12" s="138"/>
      <c r="BK12" s="138"/>
      <c r="BL12" s="138"/>
      <c r="BM12" s="138"/>
      <c r="BN12" s="160"/>
      <c r="BO12" s="168"/>
      <c r="BP12" s="168"/>
      <c r="BQ12" s="168"/>
      <c r="BR12" s="158"/>
      <c r="BS12" s="249"/>
      <c r="BT12" s="168"/>
      <c r="BU12" s="158"/>
      <c r="BV12" s="145"/>
      <c r="BW12" s="138"/>
    </row>
    <row r="13" spans="1:75">
      <c r="A13" s="21">
        <f t="shared" si="0"/>
        <v>43991</v>
      </c>
      <c r="B13" s="38">
        <v>0</v>
      </c>
      <c r="C13" s="23"/>
      <c r="D13" s="39">
        <f t="shared" si="1"/>
        <v>0</v>
      </c>
      <c r="E13" s="40"/>
      <c r="F13" s="35">
        <v>3660</v>
      </c>
      <c r="G13" s="27"/>
      <c r="H13" s="28">
        <f t="shared" si="2"/>
        <v>3660</v>
      </c>
      <c r="I13" s="35"/>
      <c r="J13" s="41" t="str">
        <f t="shared" si="3"/>
        <v/>
      </c>
      <c r="K13" s="29"/>
      <c r="L13" s="5"/>
      <c r="M13" s="6"/>
      <c r="N13" s="7"/>
      <c r="O13" s="7"/>
      <c r="P13" s="32">
        <f t="shared" si="4"/>
        <v>43991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43991</v>
      </c>
      <c r="AK13" s="35"/>
      <c r="AL13" s="138"/>
      <c r="AM13" s="139"/>
      <c r="AN13" s="138"/>
      <c r="AO13" s="139"/>
      <c r="AP13" s="138"/>
      <c r="AQ13" s="139"/>
      <c r="AR13" s="138"/>
      <c r="AS13" s="139"/>
      <c r="AT13" s="138"/>
      <c r="AU13" s="139"/>
      <c r="AV13" s="138"/>
      <c r="AW13" s="151"/>
      <c r="AX13" s="138"/>
      <c r="AY13" s="149"/>
      <c r="AZ13" s="138"/>
      <c r="BA13" s="149"/>
      <c r="BB13" s="138"/>
      <c r="BC13" s="149"/>
      <c r="BD13" s="138"/>
      <c r="BE13" s="149"/>
      <c r="BF13" s="138"/>
      <c r="BG13" s="138"/>
      <c r="BH13" s="138"/>
      <c r="BI13" s="138"/>
      <c r="BJ13" s="138"/>
      <c r="BK13" s="138"/>
      <c r="BL13" s="138"/>
      <c r="BM13" s="138"/>
      <c r="BN13" s="160"/>
      <c r="BO13" s="168"/>
      <c r="BP13" s="168"/>
      <c r="BQ13" s="168"/>
      <c r="BR13" s="158"/>
      <c r="BS13" s="250"/>
      <c r="BT13" s="168"/>
      <c r="BU13" s="158"/>
      <c r="BV13" s="145"/>
      <c r="BW13" s="138"/>
    </row>
    <row r="14" spans="1:75">
      <c r="A14" s="21">
        <f t="shared" si="0"/>
        <v>43992</v>
      </c>
      <c r="B14" s="38">
        <v>104000</v>
      </c>
      <c r="C14" s="23"/>
      <c r="D14" s="39">
        <f t="shared" si="1"/>
        <v>104000</v>
      </c>
      <c r="E14" s="40">
        <v>31276</v>
      </c>
      <c r="F14" s="44"/>
      <c r="G14" s="27"/>
      <c r="H14" s="28">
        <f t="shared" si="2"/>
        <v>31276</v>
      </c>
      <c r="I14" s="35"/>
      <c r="J14" s="41" t="str">
        <f t="shared" si="3"/>
        <v/>
      </c>
      <c r="K14" s="29"/>
      <c r="L14" s="5"/>
      <c r="M14" s="6"/>
      <c r="N14" s="7"/>
      <c r="O14" s="7"/>
      <c r="P14" s="32">
        <f t="shared" si="4"/>
        <v>43992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43992</v>
      </c>
      <c r="AK14" s="35"/>
      <c r="AL14" s="138"/>
      <c r="AM14" s="139">
        <v>30000</v>
      </c>
      <c r="AN14" s="138"/>
      <c r="AO14" s="139">
        <v>9000</v>
      </c>
      <c r="AP14" s="138"/>
      <c r="AQ14" s="139">
        <v>3000</v>
      </c>
      <c r="AR14" s="138"/>
      <c r="AS14" s="139">
        <v>20000</v>
      </c>
      <c r="AT14" s="138">
        <v>25000</v>
      </c>
      <c r="AU14" s="139"/>
      <c r="AV14" s="138"/>
      <c r="AW14" s="151"/>
      <c r="AX14" s="138"/>
      <c r="AY14" s="149"/>
      <c r="AZ14" s="138"/>
      <c r="BA14" s="149"/>
      <c r="BB14" s="138"/>
      <c r="BC14" s="149"/>
      <c r="BD14" s="138"/>
      <c r="BE14" s="149">
        <v>15000</v>
      </c>
      <c r="BF14" s="138"/>
      <c r="BG14" s="138"/>
      <c r="BH14" s="138"/>
      <c r="BI14" s="138"/>
      <c r="BJ14" s="138"/>
      <c r="BK14" s="138">
        <v>2000</v>
      </c>
      <c r="BL14" s="138"/>
      <c r="BM14" s="138"/>
      <c r="BN14" s="160"/>
      <c r="BO14" s="168"/>
      <c r="BP14" s="168"/>
      <c r="BQ14" s="168"/>
      <c r="BR14" s="158"/>
      <c r="BS14" s="166"/>
      <c r="BT14" s="249"/>
      <c r="BU14" s="158"/>
      <c r="BV14" s="145"/>
      <c r="BW14" s="138"/>
    </row>
    <row r="15" spans="1:75">
      <c r="A15" s="21">
        <f t="shared" si="0"/>
        <v>43993</v>
      </c>
      <c r="B15" s="38">
        <v>58000</v>
      </c>
      <c r="C15" s="23"/>
      <c r="D15" s="39">
        <f t="shared" si="1"/>
        <v>58000</v>
      </c>
      <c r="E15" s="40"/>
      <c r="F15" s="35">
        <v>1089</v>
      </c>
      <c r="G15" s="27"/>
      <c r="H15" s="28">
        <f t="shared" si="2"/>
        <v>1089</v>
      </c>
      <c r="I15" s="35"/>
      <c r="J15" s="41" t="str">
        <f t="shared" si="3"/>
        <v/>
      </c>
      <c r="K15" s="29"/>
      <c r="L15" s="5"/>
      <c r="M15" s="6"/>
      <c r="N15" s="7"/>
      <c r="O15" s="7"/>
      <c r="P15" s="32">
        <f t="shared" si="4"/>
        <v>43993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43993</v>
      </c>
      <c r="AK15" s="35"/>
      <c r="AL15" s="138"/>
      <c r="AM15" s="139"/>
      <c r="AN15" s="138"/>
      <c r="AO15" s="139"/>
      <c r="AP15" s="138"/>
      <c r="AQ15" s="139"/>
      <c r="AR15" s="138"/>
      <c r="AS15" s="139">
        <v>26000</v>
      </c>
      <c r="AT15" s="138">
        <v>20000</v>
      </c>
      <c r="AU15" s="139"/>
      <c r="AV15" s="138"/>
      <c r="AW15" s="151"/>
      <c r="AX15" s="138"/>
      <c r="AY15" s="149"/>
      <c r="AZ15" s="138"/>
      <c r="BA15" s="149"/>
      <c r="BB15" s="138"/>
      <c r="BC15" s="149"/>
      <c r="BD15" s="138"/>
      <c r="BE15" s="149"/>
      <c r="BF15" s="138"/>
      <c r="BG15" s="138"/>
      <c r="BH15" s="138"/>
      <c r="BI15" s="138"/>
      <c r="BJ15" s="138"/>
      <c r="BK15" s="138"/>
      <c r="BL15" s="138">
        <v>12000</v>
      </c>
      <c r="BM15" s="138"/>
      <c r="BN15" s="160"/>
      <c r="BO15" s="168"/>
      <c r="BP15" s="168"/>
      <c r="BQ15" s="168"/>
      <c r="BR15" s="158"/>
      <c r="BS15" s="166"/>
      <c r="BT15" s="166"/>
      <c r="BU15" s="173"/>
      <c r="BV15" s="149"/>
      <c r="BW15" s="138"/>
    </row>
    <row r="16" spans="1:75">
      <c r="A16" s="21">
        <f t="shared" si="0"/>
        <v>43994</v>
      </c>
      <c r="B16" s="38">
        <v>82000</v>
      </c>
      <c r="C16" s="23">
        <v>20000</v>
      </c>
      <c r="D16" s="39">
        <f t="shared" si="1"/>
        <v>102000</v>
      </c>
      <c r="E16" s="40"/>
      <c r="F16" s="35"/>
      <c r="G16" s="27"/>
      <c r="H16" s="28">
        <f t="shared" si="2"/>
        <v>0</v>
      </c>
      <c r="I16" s="35"/>
      <c r="J16" s="41" t="str">
        <f t="shared" si="3"/>
        <v/>
      </c>
      <c r="K16" s="29"/>
      <c r="L16" s="5"/>
      <c r="M16" s="6"/>
      <c r="N16" s="7"/>
      <c r="O16" s="7"/>
      <c r="P16" s="32">
        <f t="shared" si="4"/>
        <v>43994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43994</v>
      </c>
      <c r="AK16" s="35"/>
      <c r="AL16" s="138"/>
      <c r="AM16" s="139">
        <v>6000</v>
      </c>
      <c r="AN16" s="138"/>
      <c r="AO16" s="139">
        <v>18000</v>
      </c>
      <c r="AP16" s="138"/>
      <c r="AQ16" s="139">
        <v>8000</v>
      </c>
      <c r="AR16" s="138"/>
      <c r="AS16" s="139">
        <v>28000</v>
      </c>
      <c r="AT16" s="138"/>
      <c r="AU16" s="139">
        <v>2000</v>
      </c>
      <c r="AV16" s="138"/>
      <c r="AW16" s="151"/>
      <c r="AX16" s="138"/>
      <c r="AY16" s="149"/>
      <c r="AZ16" s="138"/>
      <c r="BA16" s="149"/>
      <c r="BB16" s="138"/>
      <c r="BC16" s="149"/>
      <c r="BD16" s="138"/>
      <c r="BE16" s="149">
        <v>10000</v>
      </c>
      <c r="BF16" s="138"/>
      <c r="BG16" s="138"/>
      <c r="BH16" s="138"/>
      <c r="BI16" s="138"/>
      <c r="BJ16" s="138"/>
      <c r="BK16" s="138"/>
      <c r="BL16" s="138"/>
      <c r="BM16" s="138">
        <v>30000</v>
      </c>
      <c r="BN16" s="160"/>
      <c r="BO16" s="168"/>
      <c r="BP16" s="158"/>
      <c r="BQ16" s="172"/>
      <c r="BR16" s="172"/>
      <c r="BS16" s="166"/>
      <c r="BT16" s="166"/>
      <c r="BU16" s="166"/>
      <c r="BV16" s="149"/>
      <c r="BW16" s="138"/>
    </row>
    <row r="17" spans="1:75">
      <c r="A17" s="21">
        <f t="shared" si="0"/>
        <v>43995</v>
      </c>
      <c r="B17" s="38">
        <v>171000</v>
      </c>
      <c r="C17" s="23"/>
      <c r="D17" s="39">
        <f t="shared" si="1"/>
        <v>171000</v>
      </c>
      <c r="E17" s="40">
        <v>32778</v>
      </c>
      <c r="F17" s="35">
        <v>254</v>
      </c>
      <c r="G17" s="27"/>
      <c r="H17" s="28">
        <f t="shared" si="2"/>
        <v>33032</v>
      </c>
      <c r="I17" s="35"/>
      <c r="J17" s="41" t="str">
        <f t="shared" si="3"/>
        <v/>
      </c>
      <c r="K17" s="29"/>
      <c r="L17" s="5"/>
      <c r="M17" s="6"/>
      <c r="N17" s="7"/>
      <c r="O17" s="7"/>
      <c r="P17" s="32">
        <f t="shared" si="4"/>
        <v>43995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43995</v>
      </c>
      <c r="AK17" s="35">
        <v>11000</v>
      </c>
      <c r="AL17" s="138"/>
      <c r="AM17" s="139"/>
      <c r="AN17" s="138"/>
      <c r="AO17" s="139">
        <v>12000</v>
      </c>
      <c r="AP17" s="138"/>
      <c r="AQ17" s="139">
        <v>37000</v>
      </c>
      <c r="AR17" s="138"/>
      <c r="AS17" s="139"/>
      <c r="AT17" s="138"/>
      <c r="AU17" s="139">
        <v>49000</v>
      </c>
      <c r="AV17" s="138"/>
      <c r="AW17" s="151">
        <v>5000</v>
      </c>
      <c r="AX17" s="138"/>
      <c r="AY17" s="149"/>
      <c r="AZ17" s="138"/>
      <c r="BA17" s="149"/>
      <c r="BB17" s="138"/>
      <c r="BC17" s="149"/>
      <c r="BD17" s="138"/>
      <c r="BE17" s="149"/>
      <c r="BF17" s="138"/>
      <c r="BG17" s="138"/>
      <c r="BH17" s="138"/>
      <c r="BI17" s="138"/>
      <c r="BJ17" s="138"/>
      <c r="BK17" s="138"/>
      <c r="BL17" s="138"/>
      <c r="BM17" s="138"/>
      <c r="BN17" s="160">
        <v>14000</v>
      </c>
      <c r="BO17" s="168"/>
      <c r="BP17" s="158">
        <v>15000</v>
      </c>
      <c r="BQ17" s="172"/>
      <c r="BR17" s="172"/>
      <c r="BS17" s="166">
        <v>8000</v>
      </c>
      <c r="BT17" s="166"/>
      <c r="BU17" s="166"/>
      <c r="BV17" s="149">
        <v>20000</v>
      </c>
      <c r="BW17" s="138"/>
    </row>
    <row r="18" spans="1:75">
      <c r="A18" s="21">
        <f t="shared" si="0"/>
        <v>43996</v>
      </c>
      <c r="B18" s="38">
        <v>84000</v>
      </c>
      <c r="C18" s="23"/>
      <c r="D18" s="39">
        <f t="shared" si="1"/>
        <v>84000</v>
      </c>
      <c r="E18" s="40">
        <v>5643</v>
      </c>
      <c r="F18" s="35"/>
      <c r="G18" s="27"/>
      <c r="H18" s="28">
        <f t="shared" si="2"/>
        <v>5643</v>
      </c>
      <c r="I18" s="35"/>
      <c r="J18" s="41" t="str">
        <f t="shared" si="3"/>
        <v/>
      </c>
      <c r="K18" s="29"/>
      <c r="L18" s="5"/>
      <c r="M18" s="45"/>
      <c r="N18" s="46"/>
      <c r="O18" s="7"/>
      <c r="P18" s="32">
        <f t="shared" si="4"/>
        <v>43996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43996</v>
      </c>
      <c r="AK18" s="35"/>
      <c r="AL18" s="138"/>
      <c r="AM18" s="139"/>
      <c r="AN18" s="138"/>
      <c r="AO18" s="139">
        <v>21000</v>
      </c>
      <c r="AP18" s="138"/>
      <c r="AQ18" s="139">
        <v>7000</v>
      </c>
      <c r="AR18" s="138"/>
      <c r="AS18" s="139">
        <v>29000</v>
      </c>
      <c r="AT18" s="138"/>
      <c r="AU18" s="139">
        <v>3000</v>
      </c>
      <c r="AV18" s="138"/>
      <c r="AW18" s="151"/>
      <c r="AX18" s="138"/>
      <c r="AY18" s="149">
        <v>3000</v>
      </c>
      <c r="AZ18" s="138"/>
      <c r="BA18" s="149"/>
      <c r="BB18" s="138"/>
      <c r="BC18" s="149">
        <v>12000</v>
      </c>
      <c r="BD18" s="138"/>
      <c r="BE18" s="149">
        <v>7000</v>
      </c>
      <c r="BF18" s="138"/>
      <c r="BG18" s="138"/>
      <c r="BH18" s="138"/>
      <c r="BI18" s="138"/>
      <c r="BJ18" s="138"/>
      <c r="BK18" s="138"/>
      <c r="BL18" s="138"/>
      <c r="BM18" s="138"/>
      <c r="BN18" s="160"/>
      <c r="BO18" s="168"/>
      <c r="BP18" s="158"/>
      <c r="BQ18" s="172"/>
      <c r="BR18" s="172"/>
      <c r="BS18" s="166"/>
      <c r="BT18" s="166"/>
      <c r="BU18" s="166"/>
      <c r="BV18" s="149">
        <v>2000</v>
      </c>
      <c r="BW18" s="138"/>
    </row>
    <row r="19" spans="1:75">
      <c r="A19" s="21">
        <f t="shared" si="0"/>
        <v>43997</v>
      </c>
      <c r="B19" s="38">
        <v>0</v>
      </c>
      <c r="C19" s="23"/>
      <c r="D19" s="39">
        <f t="shared" si="1"/>
        <v>0</v>
      </c>
      <c r="E19" s="40">
        <v>3023</v>
      </c>
      <c r="F19" s="35"/>
      <c r="G19" s="27"/>
      <c r="H19" s="28">
        <f t="shared" si="2"/>
        <v>3023</v>
      </c>
      <c r="I19" s="35"/>
      <c r="J19" s="41" t="str">
        <f t="shared" si="3"/>
        <v/>
      </c>
      <c r="K19" s="29"/>
      <c r="L19" s="5"/>
      <c r="M19" s="516" t="s">
        <v>26</v>
      </c>
      <c r="N19" s="517"/>
      <c r="O19" s="6"/>
      <c r="P19" s="32">
        <f t="shared" si="4"/>
        <v>43997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43997</v>
      </c>
      <c r="AK19" s="35"/>
      <c r="AL19" s="138"/>
      <c r="AM19" s="139"/>
      <c r="AN19" s="138"/>
      <c r="AO19" s="139"/>
      <c r="AP19" s="138"/>
      <c r="AQ19" s="139"/>
      <c r="AR19" s="138"/>
      <c r="AS19" s="139"/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/>
      <c r="BK19" s="138"/>
      <c r="BL19" s="138"/>
      <c r="BM19" s="138"/>
      <c r="BN19" s="160"/>
      <c r="BO19" s="168"/>
      <c r="BP19" s="158"/>
      <c r="BQ19" s="172"/>
      <c r="BR19" s="172"/>
      <c r="BS19" s="166"/>
      <c r="BT19" s="166"/>
      <c r="BU19" s="166"/>
      <c r="BV19" s="149"/>
      <c r="BW19" s="138"/>
    </row>
    <row r="20" spans="1:75">
      <c r="A20" s="21">
        <f t="shared" si="0"/>
        <v>43998</v>
      </c>
      <c r="B20" s="38">
        <v>0</v>
      </c>
      <c r="C20" s="38"/>
      <c r="D20" s="39">
        <f t="shared" si="1"/>
        <v>0</v>
      </c>
      <c r="E20" s="40"/>
      <c r="F20" s="35"/>
      <c r="G20" s="27"/>
      <c r="H20" s="28">
        <f t="shared" si="2"/>
        <v>0</v>
      </c>
      <c r="I20" s="35"/>
      <c r="J20" s="41" t="str">
        <f t="shared" si="3"/>
        <v/>
      </c>
      <c r="K20" s="29"/>
      <c r="L20" s="5"/>
      <c r="M20" s="47" t="s">
        <v>27</v>
      </c>
      <c r="N20" s="518">
        <v>310000</v>
      </c>
      <c r="O20" s="6"/>
      <c r="P20" s="32">
        <f t="shared" si="4"/>
        <v>43998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43998</v>
      </c>
      <c r="AK20" s="35"/>
      <c r="AL20" s="138"/>
      <c r="AM20" s="139"/>
      <c r="AN20" s="138"/>
      <c r="AO20" s="139"/>
      <c r="AP20" s="138"/>
      <c r="AQ20" s="139"/>
      <c r="AR20" s="138"/>
      <c r="AS20" s="139"/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/>
      <c r="BF20" s="138"/>
      <c r="BG20" s="138"/>
      <c r="BH20" s="138"/>
      <c r="BI20" s="138"/>
      <c r="BJ20" s="138"/>
      <c r="BK20" s="138"/>
      <c r="BL20" s="138"/>
      <c r="BM20" s="138"/>
      <c r="BN20" s="138"/>
      <c r="BO20" s="169"/>
      <c r="BP20" s="158"/>
      <c r="BQ20" s="172"/>
      <c r="BR20" s="172"/>
      <c r="BS20" s="166"/>
      <c r="BT20" s="166"/>
      <c r="BU20" s="166"/>
      <c r="BV20" s="149"/>
      <c r="BW20" s="138"/>
    </row>
    <row r="21" spans="1:75">
      <c r="A21" s="21">
        <f t="shared" si="0"/>
        <v>43999</v>
      </c>
      <c r="B21" s="38">
        <v>69000</v>
      </c>
      <c r="C21" s="38"/>
      <c r="D21" s="39">
        <f t="shared" si="1"/>
        <v>69000</v>
      </c>
      <c r="E21" s="40">
        <v>17735</v>
      </c>
      <c r="F21" s="35"/>
      <c r="G21" s="27"/>
      <c r="H21" s="28">
        <f t="shared" si="2"/>
        <v>17735</v>
      </c>
      <c r="I21" s="35"/>
      <c r="J21" s="41" t="str">
        <f t="shared" si="3"/>
        <v/>
      </c>
      <c r="K21" s="29"/>
      <c r="L21" s="5"/>
      <c r="M21" s="47" t="s">
        <v>28</v>
      </c>
      <c r="N21" s="519"/>
      <c r="O21" s="6"/>
      <c r="P21" s="32">
        <f t="shared" si="4"/>
        <v>43999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43999</v>
      </c>
      <c r="AK21" s="35"/>
      <c r="AL21" s="138"/>
      <c r="AM21" s="139"/>
      <c r="AN21" s="138"/>
      <c r="AO21" s="139">
        <v>20000</v>
      </c>
      <c r="AP21" s="138"/>
      <c r="AQ21" s="139">
        <v>8000</v>
      </c>
      <c r="AR21" s="138"/>
      <c r="AS21" s="139">
        <v>25000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>
        <v>10000</v>
      </c>
      <c r="BF21" s="138"/>
      <c r="BG21" s="138"/>
      <c r="BH21" s="138"/>
      <c r="BI21" s="138"/>
      <c r="BJ21" s="138"/>
      <c r="BK21" s="138"/>
      <c r="BL21" s="138">
        <v>6000</v>
      </c>
      <c r="BM21" s="138"/>
      <c r="BN21" s="138"/>
      <c r="BO21" s="160"/>
      <c r="BP21" s="168"/>
      <c r="BQ21" s="158"/>
      <c r="BR21" s="172"/>
      <c r="BS21" s="166"/>
      <c r="BT21" s="166"/>
      <c r="BU21" s="166"/>
      <c r="BV21" s="149"/>
      <c r="BW21" s="138"/>
    </row>
    <row r="22" spans="1:75">
      <c r="A22" s="21">
        <f t="shared" si="0"/>
        <v>44000</v>
      </c>
      <c r="B22" s="38">
        <v>120000</v>
      </c>
      <c r="C22" s="38"/>
      <c r="D22" s="39">
        <f t="shared" si="1"/>
        <v>120000</v>
      </c>
      <c r="E22" s="40"/>
      <c r="F22" s="35"/>
      <c r="G22" s="27"/>
      <c r="H22" s="28">
        <f t="shared" si="2"/>
        <v>0</v>
      </c>
      <c r="I22" s="35"/>
      <c r="J22" s="41" t="str">
        <f t="shared" si="3"/>
        <v/>
      </c>
      <c r="K22" s="29"/>
      <c r="L22" s="5"/>
      <c r="M22" s="47" t="s">
        <v>29</v>
      </c>
      <c r="N22" s="35">
        <v>7000</v>
      </c>
      <c r="O22" s="6"/>
      <c r="P22" s="32">
        <f t="shared" si="4"/>
        <v>44000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44000</v>
      </c>
      <c r="AK22" s="35"/>
      <c r="AL22" s="138"/>
      <c r="AM22" s="139"/>
      <c r="AN22" s="138"/>
      <c r="AO22" s="139">
        <v>25000</v>
      </c>
      <c r="AP22" s="138">
        <v>25000</v>
      </c>
      <c r="AQ22" s="139">
        <v>3000</v>
      </c>
      <c r="AR22" s="138"/>
      <c r="AS22" s="153">
        <v>43000</v>
      </c>
      <c r="AT22" s="138"/>
      <c r="AU22" s="139"/>
      <c r="AV22" s="138"/>
      <c r="AW22" s="151">
        <v>20000</v>
      </c>
      <c r="AX22" s="138"/>
      <c r="AY22" s="139"/>
      <c r="AZ22" s="138"/>
      <c r="BA22" s="139"/>
      <c r="BB22" s="138"/>
      <c r="BC22" s="149"/>
      <c r="BD22" s="138"/>
      <c r="BE22" s="149"/>
      <c r="BF22" s="138"/>
      <c r="BG22" s="138"/>
      <c r="BH22" s="138"/>
      <c r="BI22" s="138"/>
      <c r="BJ22" s="138"/>
      <c r="BK22" s="138"/>
      <c r="BL22" s="138"/>
      <c r="BM22" s="138"/>
      <c r="BN22" s="138"/>
      <c r="BO22" s="160">
        <v>4000</v>
      </c>
      <c r="BP22" s="168"/>
      <c r="BQ22" s="158"/>
      <c r="BR22" s="172"/>
      <c r="BS22" s="166"/>
      <c r="BT22" s="166"/>
      <c r="BU22" s="166"/>
      <c r="BV22" s="149"/>
      <c r="BW22" s="138"/>
    </row>
    <row r="23" spans="1:75">
      <c r="A23" s="21">
        <f t="shared" si="0"/>
        <v>44001</v>
      </c>
      <c r="B23" s="38">
        <v>140000</v>
      </c>
      <c r="C23" s="38"/>
      <c r="D23" s="39">
        <f t="shared" si="1"/>
        <v>140000</v>
      </c>
      <c r="E23" s="40">
        <v>27659</v>
      </c>
      <c r="F23" s="35">
        <v>9095</v>
      </c>
      <c r="G23" s="27"/>
      <c r="H23" s="28">
        <f t="shared" si="2"/>
        <v>36754</v>
      </c>
      <c r="I23" s="35"/>
      <c r="J23" s="41" t="str">
        <f t="shared" si="3"/>
        <v/>
      </c>
      <c r="K23" s="29"/>
      <c r="L23" s="5"/>
      <c r="M23" s="47" t="s">
        <v>30</v>
      </c>
      <c r="N23" s="35">
        <v>4800</v>
      </c>
      <c r="O23" s="6"/>
      <c r="P23" s="32">
        <f t="shared" si="4"/>
        <v>44001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44001</v>
      </c>
      <c r="AK23" s="35"/>
      <c r="AL23" s="138"/>
      <c r="AM23" s="139"/>
      <c r="AN23" s="138"/>
      <c r="AO23" s="139">
        <v>35000</v>
      </c>
      <c r="AP23" s="138"/>
      <c r="AQ23" s="139">
        <v>4000</v>
      </c>
      <c r="AR23" s="138"/>
      <c r="AS23" s="139">
        <v>35000</v>
      </c>
      <c r="AT23" s="138"/>
      <c r="AU23" s="139"/>
      <c r="AV23" s="138"/>
      <c r="AW23" s="151">
        <v>3000</v>
      </c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>
        <v>16000</v>
      </c>
      <c r="BJ23" s="138"/>
      <c r="BK23" s="138"/>
      <c r="BL23" s="138"/>
      <c r="BM23" s="138"/>
      <c r="BN23" s="138"/>
      <c r="BO23" s="160"/>
      <c r="BP23" s="168"/>
      <c r="BQ23" s="158"/>
      <c r="BR23" s="173">
        <v>3000</v>
      </c>
      <c r="BS23" s="138"/>
      <c r="BT23" s="138"/>
      <c r="BU23" s="138"/>
      <c r="BV23" s="149"/>
      <c r="BW23" s="138"/>
    </row>
    <row r="24" spans="1:75">
      <c r="A24" s="21">
        <f t="shared" si="0"/>
        <v>44002</v>
      </c>
      <c r="B24" s="38">
        <v>161000</v>
      </c>
      <c r="C24" s="38"/>
      <c r="D24" s="39">
        <f t="shared" si="1"/>
        <v>161000</v>
      </c>
      <c r="E24" s="40">
        <v>18522</v>
      </c>
      <c r="F24" s="35">
        <v>1354</v>
      </c>
      <c r="G24" s="27"/>
      <c r="H24" s="28">
        <f>E24+F24+H19</f>
        <v>22899</v>
      </c>
      <c r="I24" s="35"/>
      <c r="J24" s="41" t="str">
        <f t="shared" si="3"/>
        <v/>
      </c>
      <c r="K24" s="29"/>
      <c r="L24" s="5"/>
      <c r="M24" s="47" t="s">
        <v>31</v>
      </c>
      <c r="N24" s="35">
        <v>200000</v>
      </c>
      <c r="O24" s="6"/>
      <c r="P24" s="32">
        <f t="shared" si="4"/>
        <v>44002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44002</v>
      </c>
      <c r="AK24" s="35"/>
      <c r="AL24" s="138"/>
      <c r="AM24" s="139"/>
      <c r="AN24" s="138"/>
      <c r="AO24" s="139">
        <v>21000</v>
      </c>
      <c r="AP24" s="138"/>
      <c r="AQ24" s="139">
        <v>12000</v>
      </c>
      <c r="AR24" s="138"/>
      <c r="AS24" s="139"/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>
        <v>50000</v>
      </c>
      <c r="BF24" s="138"/>
      <c r="BG24" s="138"/>
      <c r="BH24" s="138"/>
      <c r="BI24" s="138"/>
      <c r="BJ24" s="138"/>
      <c r="BK24" s="138"/>
      <c r="BL24" s="138"/>
      <c r="BM24" s="138">
        <v>16000</v>
      </c>
      <c r="BN24" s="138">
        <v>10000</v>
      </c>
      <c r="BO24" s="160"/>
      <c r="BP24" s="168"/>
      <c r="BQ24" s="158">
        <v>20000</v>
      </c>
      <c r="BR24" s="166"/>
      <c r="BS24" s="138"/>
      <c r="BT24" s="138"/>
      <c r="BU24" s="138"/>
      <c r="BV24" s="149"/>
      <c r="BW24" s="138"/>
    </row>
    <row r="25" spans="1:75">
      <c r="A25" s="21">
        <f t="shared" si="0"/>
        <v>44003</v>
      </c>
      <c r="B25" s="38">
        <v>95000</v>
      </c>
      <c r="C25" s="38"/>
      <c r="D25" s="39">
        <f t="shared" si="1"/>
        <v>95000</v>
      </c>
      <c r="E25" s="40"/>
      <c r="F25" s="35"/>
      <c r="G25" s="27"/>
      <c r="H25" s="28">
        <f t="shared" ref="H25:H35" si="6">E25+F25+G25</f>
        <v>0</v>
      </c>
      <c r="I25" s="35"/>
      <c r="J25" s="41" t="str">
        <f t="shared" si="3"/>
        <v/>
      </c>
      <c r="K25" s="29"/>
      <c r="L25" s="5"/>
      <c r="M25" s="47" t="s">
        <v>32</v>
      </c>
      <c r="N25" s="35">
        <v>35000</v>
      </c>
      <c r="O25" s="6"/>
      <c r="P25" s="32">
        <f t="shared" si="4"/>
        <v>44003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44003</v>
      </c>
      <c r="AK25" s="35"/>
      <c r="AL25" s="138"/>
      <c r="AM25" s="139"/>
      <c r="AN25" s="138"/>
      <c r="AO25" s="139">
        <v>30000</v>
      </c>
      <c r="AP25" s="138"/>
      <c r="AQ25" s="139"/>
      <c r="AR25" s="138"/>
      <c r="AS25" s="139">
        <v>65000</v>
      </c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/>
      <c r="BK25" s="138"/>
      <c r="BL25" s="138"/>
      <c r="BM25" s="138"/>
      <c r="BN25" s="138"/>
      <c r="BO25" s="160"/>
      <c r="BP25" s="168"/>
      <c r="BR25" s="166"/>
      <c r="BS25" s="138"/>
      <c r="BT25" s="138"/>
      <c r="BU25" s="138"/>
      <c r="BV25" s="149"/>
      <c r="BW25" s="138"/>
    </row>
    <row r="26" spans="1:75">
      <c r="A26" s="21">
        <f t="shared" si="0"/>
        <v>44004</v>
      </c>
      <c r="B26" s="38">
        <v>49000</v>
      </c>
      <c r="C26" s="38">
        <v>90000</v>
      </c>
      <c r="D26" s="39">
        <f t="shared" si="1"/>
        <v>139000</v>
      </c>
      <c r="E26" s="40">
        <v>23000</v>
      </c>
      <c r="F26" s="35"/>
      <c r="G26" s="27"/>
      <c r="H26" s="28">
        <f t="shared" si="6"/>
        <v>23000</v>
      </c>
      <c r="I26" s="35"/>
      <c r="J26" s="41" t="str">
        <f t="shared" si="3"/>
        <v/>
      </c>
      <c r="K26" s="29"/>
      <c r="L26" s="5"/>
      <c r="M26" s="47"/>
      <c r="N26" s="35"/>
      <c r="O26" s="6"/>
      <c r="P26" s="32">
        <f t="shared" si="4"/>
        <v>44004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44004</v>
      </c>
      <c r="AK26" s="35"/>
      <c r="AL26" s="138"/>
      <c r="AM26" s="139"/>
      <c r="AN26" s="138"/>
      <c r="AO26" s="139"/>
      <c r="AP26" s="138"/>
      <c r="AQ26" s="139">
        <v>2000</v>
      </c>
      <c r="AR26" s="138"/>
      <c r="AS26" s="139">
        <v>27000</v>
      </c>
      <c r="AT26" s="138"/>
      <c r="AU26" s="139"/>
      <c r="AV26" s="138"/>
      <c r="AW26" s="151">
        <v>20000</v>
      </c>
      <c r="AX26" s="138"/>
      <c r="AY26" s="149"/>
      <c r="AZ26" s="138"/>
      <c r="BA26" s="149"/>
      <c r="BB26" s="138"/>
      <c r="BC26" s="149">
        <v>90000</v>
      </c>
      <c r="BD26" s="138"/>
      <c r="BE26" s="149"/>
      <c r="BF26" s="138"/>
      <c r="BG26" s="138"/>
      <c r="BH26" s="138"/>
      <c r="BI26" s="138"/>
      <c r="BJ26" s="138"/>
      <c r="BK26" s="138"/>
      <c r="BL26" s="138"/>
      <c r="BM26" s="138"/>
      <c r="BN26" s="138"/>
      <c r="BO26" s="160"/>
      <c r="BP26" s="168"/>
      <c r="BQ26" s="158"/>
      <c r="BR26" s="166"/>
      <c r="BS26" s="138"/>
      <c r="BT26" s="138"/>
      <c r="BU26" s="138"/>
      <c r="BV26" s="149"/>
      <c r="BW26" s="138"/>
    </row>
    <row r="27" spans="1:75">
      <c r="A27" s="21">
        <f t="shared" si="0"/>
        <v>44005</v>
      </c>
      <c r="B27" s="38">
        <v>0</v>
      </c>
      <c r="C27" s="38"/>
      <c r="D27" s="39">
        <f t="shared" si="1"/>
        <v>0</v>
      </c>
      <c r="E27" s="40"/>
      <c r="F27" s="35"/>
      <c r="G27" s="27"/>
      <c r="H27" s="28">
        <f t="shared" si="6"/>
        <v>0</v>
      </c>
      <c r="I27" s="35"/>
      <c r="J27" s="41" t="str">
        <f t="shared" si="3"/>
        <v/>
      </c>
      <c r="K27" s="29"/>
      <c r="L27" s="5"/>
      <c r="M27" s="47"/>
      <c r="N27" s="35"/>
      <c r="O27" s="7"/>
      <c r="P27" s="32">
        <f t="shared" si="4"/>
        <v>44005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44005</v>
      </c>
      <c r="AK27" s="35"/>
      <c r="AL27" s="138"/>
      <c r="AM27" s="139"/>
      <c r="AN27" s="138"/>
      <c r="AO27" s="139"/>
      <c r="AP27" s="138"/>
      <c r="AQ27" s="139"/>
      <c r="AR27" s="138"/>
      <c r="AS27" s="139"/>
      <c r="AT27" s="138"/>
      <c r="AU27" s="139"/>
      <c r="AV27" s="138"/>
      <c r="AW27" s="151"/>
      <c r="AX27" s="138"/>
      <c r="AY27" s="149"/>
      <c r="AZ27" s="138"/>
      <c r="BA27" s="149"/>
      <c r="BB27" s="138"/>
      <c r="BC27" s="149"/>
      <c r="BD27" s="138"/>
      <c r="BE27" s="149"/>
      <c r="BF27" s="138"/>
      <c r="BG27" s="138"/>
      <c r="BH27" s="138"/>
      <c r="BI27" s="138"/>
      <c r="BJ27" s="138"/>
      <c r="BK27" s="138"/>
      <c r="BL27" s="138"/>
      <c r="BM27" s="138"/>
      <c r="BN27" s="138"/>
      <c r="BO27" s="160"/>
      <c r="BP27" s="168"/>
      <c r="BQ27" s="158"/>
      <c r="BR27" s="166"/>
      <c r="BS27" s="138"/>
      <c r="BT27" s="138"/>
      <c r="BU27" s="138"/>
      <c r="BV27" s="149"/>
      <c r="BW27" s="138"/>
    </row>
    <row r="28" spans="1:75">
      <c r="A28" s="21">
        <f t="shared" si="0"/>
        <v>44006</v>
      </c>
      <c r="B28" s="38">
        <v>47500</v>
      </c>
      <c r="C28" s="38"/>
      <c r="D28" s="39">
        <f t="shared" si="1"/>
        <v>47500</v>
      </c>
      <c r="E28" s="40">
        <v>20519</v>
      </c>
      <c r="F28" s="35"/>
      <c r="G28" s="27"/>
      <c r="H28" s="28">
        <f t="shared" si="6"/>
        <v>20519</v>
      </c>
      <c r="I28" s="35"/>
      <c r="J28" s="41" t="str">
        <f t="shared" si="3"/>
        <v/>
      </c>
      <c r="K28" s="29"/>
      <c r="L28" s="5"/>
      <c r="M28" s="49" t="s">
        <v>33</v>
      </c>
      <c r="N28" s="50">
        <f>SUM(N20:N27)</f>
        <v>556800</v>
      </c>
      <c r="O28" s="7"/>
      <c r="P28" s="32">
        <f t="shared" si="4"/>
        <v>44006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44006</v>
      </c>
      <c r="AK28" s="35"/>
      <c r="AL28" s="138"/>
      <c r="AM28" s="139"/>
      <c r="AN28" s="138"/>
      <c r="AO28" s="139"/>
      <c r="AP28" s="138"/>
      <c r="AQ28" s="139"/>
      <c r="AR28" s="138"/>
      <c r="AS28" s="139">
        <v>40000</v>
      </c>
      <c r="AT28" s="138"/>
      <c r="AU28" s="139"/>
      <c r="AV28" s="138"/>
      <c r="AW28" s="151">
        <v>7500</v>
      </c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69"/>
      <c r="BQ28" s="158"/>
      <c r="BR28" s="166"/>
      <c r="BS28" s="138"/>
      <c r="BT28" s="138"/>
      <c r="BU28" s="138"/>
      <c r="BV28" s="149"/>
      <c r="BW28" s="138"/>
    </row>
    <row r="29" spans="1:75">
      <c r="A29" s="21">
        <f t="shared" si="0"/>
        <v>44007</v>
      </c>
      <c r="B29" s="38">
        <v>54000</v>
      </c>
      <c r="C29" s="38"/>
      <c r="D29" s="39">
        <f t="shared" si="1"/>
        <v>54000</v>
      </c>
      <c r="E29" s="40"/>
      <c r="F29" s="35"/>
      <c r="G29" s="27"/>
      <c r="H29" s="28">
        <f t="shared" si="6"/>
        <v>0</v>
      </c>
      <c r="I29" s="35"/>
      <c r="J29" s="41" t="str">
        <f t="shared" si="3"/>
        <v/>
      </c>
      <c r="K29" s="29"/>
      <c r="L29" s="5"/>
      <c r="M29" s="51"/>
      <c r="N29" s="7"/>
      <c r="O29" s="7"/>
      <c r="P29" s="32">
        <f t="shared" si="4"/>
        <v>44007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44007</v>
      </c>
      <c r="AK29" s="35"/>
      <c r="AL29" s="138"/>
      <c r="AM29" s="139">
        <v>54000</v>
      </c>
      <c r="AN29" s="138"/>
      <c r="AO29" s="139"/>
      <c r="AP29" s="138"/>
      <c r="AQ29" s="139"/>
      <c r="AR29" s="138"/>
      <c r="AS29" s="139"/>
      <c r="AT29" s="138"/>
      <c r="AU29" s="139"/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60"/>
      <c r="BQ29" s="158"/>
      <c r="BR29" s="166"/>
      <c r="BS29" s="138"/>
      <c r="BT29" s="138"/>
      <c r="BU29" s="138"/>
      <c r="BV29" s="149"/>
      <c r="BW29" s="138"/>
    </row>
    <row r="30" spans="1:75">
      <c r="A30" s="21">
        <f t="shared" si="0"/>
        <v>44008</v>
      </c>
      <c r="B30" s="38">
        <v>179000</v>
      </c>
      <c r="C30" s="38">
        <v>17000</v>
      </c>
      <c r="D30" s="39">
        <f t="shared" si="1"/>
        <v>196000</v>
      </c>
      <c r="E30" s="40"/>
      <c r="F30" s="35">
        <v>356</v>
      </c>
      <c r="G30" s="27"/>
      <c r="H30" s="28">
        <f t="shared" si="6"/>
        <v>356</v>
      </c>
      <c r="I30" s="35"/>
      <c r="J30" s="41" t="str">
        <f t="shared" si="3"/>
        <v/>
      </c>
      <c r="K30" s="29"/>
      <c r="L30" s="5"/>
      <c r="M30" s="45"/>
      <c r="N30" s="7"/>
      <c r="O30" s="7"/>
      <c r="P30" s="32">
        <f t="shared" si="4"/>
        <v>44008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44008</v>
      </c>
      <c r="AK30" s="35"/>
      <c r="AL30" s="138"/>
      <c r="AM30" s="139"/>
      <c r="AN30" s="138"/>
      <c r="AO30" s="139">
        <v>94000</v>
      </c>
      <c r="AP30" s="138"/>
      <c r="AQ30" s="139">
        <v>19000</v>
      </c>
      <c r="AR30" s="138"/>
      <c r="AS30" s="139">
        <v>63000</v>
      </c>
      <c r="AT30" s="138"/>
      <c r="AU30" s="139">
        <v>3000</v>
      </c>
      <c r="AV30" s="138"/>
      <c r="AW30" s="151"/>
      <c r="AX30" s="138"/>
      <c r="AY30" s="149"/>
      <c r="AZ30" s="138"/>
      <c r="BA30" s="149"/>
      <c r="BB30" s="138"/>
      <c r="BC30" s="149"/>
      <c r="BD30" s="138"/>
      <c r="BE30" s="149"/>
      <c r="BF30" s="138"/>
      <c r="BG30" s="138"/>
      <c r="BH30" s="138"/>
      <c r="BI30" s="138">
        <v>15000</v>
      </c>
      <c r="BJ30" s="138"/>
      <c r="BK30" s="138"/>
      <c r="BL30" s="138"/>
      <c r="BM30" s="138"/>
      <c r="BN30" s="138"/>
      <c r="BO30" s="138"/>
      <c r="BP30" s="160"/>
      <c r="BQ30" s="158"/>
      <c r="BR30" s="166"/>
      <c r="BS30" s="138"/>
      <c r="BT30" s="138">
        <v>2000</v>
      </c>
      <c r="BU30" s="138"/>
      <c r="BV30" s="149"/>
      <c r="BW30" s="138"/>
    </row>
    <row r="31" spans="1:75">
      <c r="A31" s="21">
        <f t="shared" si="0"/>
        <v>44009</v>
      </c>
      <c r="B31" s="38">
        <v>115000</v>
      </c>
      <c r="C31" s="38"/>
      <c r="D31" s="39">
        <f t="shared" si="1"/>
        <v>115000</v>
      </c>
      <c r="E31" s="40">
        <v>19851</v>
      </c>
      <c r="F31" s="35"/>
      <c r="G31" s="27"/>
      <c r="H31" s="28">
        <f t="shared" si="6"/>
        <v>19851</v>
      </c>
      <c r="I31" s="35"/>
      <c r="J31" s="41" t="str">
        <f t="shared" si="3"/>
        <v/>
      </c>
      <c r="K31" s="29"/>
      <c r="L31" s="5"/>
      <c r="M31" s="45"/>
      <c r="N31" s="52"/>
      <c r="O31" s="7"/>
      <c r="P31" s="32">
        <f t="shared" si="4"/>
        <v>44009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44009</v>
      </c>
      <c r="AK31" s="35"/>
      <c r="AL31" s="138"/>
      <c r="AM31" s="139"/>
      <c r="AN31" s="138"/>
      <c r="AO31" s="139"/>
      <c r="AP31" s="138"/>
      <c r="AQ31" s="139">
        <v>29000</v>
      </c>
      <c r="AR31" s="138"/>
      <c r="AS31" s="139">
        <v>40000</v>
      </c>
      <c r="AT31" s="138"/>
      <c r="AU31" s="139"/>
      <c r="AV31" s="138"/>
      <c r="AW31" s="151">
        <v>11000</v>
      </c>
      <c r="AX31" s="138"/>
      <c r="AY31" s="149"/>
      <c r="AZ31" s="138"/>
      <c r="BA31" s="149"/>
      <c r="BB31" s="138"/>
      <c r="BC31" s="149"/>
      <c r="BD31" s="138"/>
      <c r="BE31" s="149"/>
      <c r="BF31" s="138"/>
      <c r="BG31" s="138"/>
      <c r="BH31" s="138"/>
      <c r="BI31" s="138"/>
      <c r="BJ31" s="138"/>
      <c r="BK31" s="138"/>
      <c r="BL31" s="138"/>
      <c r="BM31" s="138">
        <v>11000</v>
      </c>
      <c r="BN31" s="138">
        <v>24000</v>
      </c>
      <c r="BO31" s="138"/>
      <c r="BP31" s="138"/>
      <c r="BQ31" s="159"/>
      <c r="BR31" s="138"/>
      <c r="BS31" s="138"/>
      <c r="BT31" s="138"/>
      <c r="BU31" s="138"/>
      <c r="BV31" s="149"/>
      <c r="BW31" s="138"/>
    </row>
    <row r="32" spans="1:75">
      <c r="A32" s="21">
        <f t="shared" si="0"/>
        <v>44010</v>
      </c>
      <c r="B32" s="38">
        <v>124000</v>
      </c>
      <c r="C32" s="38"/>
      <c r="D32" s="39">
        <f t="shared" si="1"/>
        <v>124000</v>
      </c>
      <c r="E32" s="40"/>
      <c r="F32" s="35"/>
      <c r="G32" s="27"/>
      <c r="H32" s="28">
        <f t="shared" si="6"/>
        <v>0</v>
      </c>
      <c r="I32" s="35"/>
      <c r="J32" s="41" t="str">
        <f t="shared" si="3"/>
        <v/>
      </c>
      <c r="K32" s="29"/>
      <c r="L32" s="5"/>
      <c r="M32" s="53" t="s">
        <v>34</v>
      </c>
      <c r="N32" s="38">
        <f>D37</f>
        <v>2818500</v>
      </c>
      <c r="O32" s="6"/>
      <c r="P32" s="32">
        <f t="shared" si="4"/>
        <v>44010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44010</v>
      </c>
      <c r="AK32" s="35"/>
      <c r="AL32" s="138"/>
      <c r="AM32" s="139"/>
      <c r="AN32" s="138"/>
      <c r="AO32" s="139">
        <v>66000</v>
      </c>
      <c r="AP32" s="138"/>
      <c r="AQ32" s="139">
        <v>32000</v>
      </c>
      <c r="AR32" s="138"/>
      <c r="AS32" s="139">
        <v>23000</v>
      </c>
      <c r="AT32" s="138"/>
      <c r="AU32" s="139"/>
      <c r="AV32" s="138"/>
      <c r="AW32" s="151"/>
      <c r="AX32" s="138"/>
      <c r="AY32" s="149">
        <v>1000</v>
      </c>
      <c r="AZ32" s="138"/>
      <c r="BA32" s="149"/>
      <c r="BB32" s="138"/>
      <c r="BC32" s="149">
        <v>2000</v>
      </c>
      <c r="BD32" s="138"/>
      <c r="BE32" s="149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49"/>
      <c r="BW32" s="138"/>
    </row>
    <row r="33" spans="1:75">
      <c r="A33" s="21">
        <f t="shared" si="0"/>
        <v>44011</v>
      </c>
      <c r="B33" s="38">
        <v>172000</v>
      </c>
      <c r="C33" s="38">
        <v>33000</v>
      </c>
      <c r="D33" s="39">
        <f t="shared" si="1"/>
        <v>205000</v>
      </c>
      <c r="E33" s="40">
        <v>29421</v>
      </c>
      <c r="F33" s="35">
        <v>1616</v>
      </c>
      <c r="G33" s="27"/>
      <c r="H33" s="28">
        <f t="shared" si="6"/>
        <v>31037</v>
      </c>
      <c r="I33" s="35"/>
      <c r="J33" s="41" t="str">
        <f t="shared" si="3"/>
        <v/>
      </c>
      <c r="K33" s="29"/>
      <c r="L33" s="5"/>
      <c r="M33" s="53" t="s">
        <v>35</v>
      </c>
      <c r="N33" s="38">
        <f>H37</f>
        <v>385024</v>
      </c>
      <c r="O33" s="6"/>
      <c r="P33" s="32">
        <f>IF($A$33="","",$A$33)</f>
        <v>44011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44011</v>
      </c>
      <c r="AK33" s="56"/>
      <c r="AL33" s="138"/>
      <c r="AM33" s="139">
        <v>43000</v>
      </c>
      <c r="AN33" s="138"/>
      <c r="AO33" s="139">
        <v>13000</v>
      </c>
      <c r="AP33" s="138"/>
      <c r="AQ33" s="139">
        <v>35000</v>
      </c>
      <c r="AR33" s="138"/>
      <c r="AS33" s="139">
        <v>92000</v>
      </c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>
        <v>6000</v>
      </c>
      <c r="BT33" s="138"/>
      <c r="BU33" s="138">
        <v>16000</v>
      </c>
      <c r="BV33" s="149"/>
      <c r="BW33" s="138"/>
    </row>
    <row r="34" spans="1:75">
      <c r="A34" s="21">
        <f t="shared" si="0"/>
        <v>44012</v>
      </c>
      <c r="B34" s="38"/>
      <c r="C34" s="38">
        <v>40000</v>
      </c>
      <c r="D34" s="39">
        <f t="shared" si="1"/>
        <v>40000</v>
      </c>
      <c r="E34" s="40"/>
      <c r="F34" s="35"/>
      <c r="G34" s="27"/>
      <c r="H34" s="28">
        <f t="shared" si="6"/>
        <v>0</v>
      </c>
      <c r="I34" s="35"/>
      <c r="J34" s="41" t="str">
        <f t="shared" si="3"/>
        <v/>
      </c>
      <c r="K34" s="29"/>
      <c r="L34" s="5"/>
      <c r="M34" s="53" t="s">
        <v>36</v>
      </c>
      <c r="N34" s="38">
        <f>N28</f>
        <v>556800</v>
      </c>
      <c r="O34" s="6"/>
      <c r="P34" s="32">
        <f>IF($A$34="","",$A$34)</f>
        <v>44012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44012</v>
      </c>
      <c r="AK34" s="137"/>
      <c r="AL34" s="154"/>
      <c r="AM34" s="155"/>
      <c r="AN34" s="154"/>
      <c r="AO34" s="155"/>
      <c r="AP34" s="154"/>
      <c r="AQ34" s="155"/>
      <c r="AR34" s="154"/>
      <c r="AS34" s="155">
        <v>40000</v>
      </c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7"/>
      <c r="BW34" s="154"/>
    </row>
    <row r="35" spans="1:75" ht="21" thickBot="1">
      <c r="A35" s="21" t="str">
        <f t="shared" si="0"/>
        <v/>
      </c>
      <c r="B35" s="38"/>
      <c r="C35" s="38"/>
      <c r="D35" s="39">
        <f t="shared" si="1"/>
        <v>0</v>
      </c>
      <c r="E35" s="40"/>
      <c r="F35" s="35"/>
      <c r="G35" s="27"/>
      <c r="H35" s="28">
        <f t="shared" si="6"/>
        <v>0</v>
      </c>
      <c r="I35" s="57"/>
      <c r="J35" s="58" t="str">
        <f t="shared" si="3"/>
        <v/>
      </c>
      <c r="K35" s="59"/>
      <c r="L35" s="5"/>
      <c r="M35" s="60" t="s">
        <v>37</v>
      </c>
      <c r="N35" s="61">
        <f>IFERROR(N32-N33-N34, "")</f>
        <v>1876676</v>
      </c>
      <c r="O35" s="6"/>
      <c r="P35" s="32" t="str">
        <f>IF($A$35="","",$A$35)</f>
        <v/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 t="str">
        <f>IF($A$35="","",$A$35)</f>
        <v/>
      </c>
      <c r="AK35" s="115"/>
      <c r="AL35" s="158"/>
      <c r="AM35" s="147"/>
      <c r="AN35" s="158"/>
      <c r="AO35" s="147"/>
      <c r="AP35" s="158"/>
      <c r="AQ35" s="147"/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47"/>
      <c r="BW35" s="158"/>
    </row>
    <row r="36" spans="1:75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>SUM(AK5:AK35)</f>
        <v>11000</v>
      </c>
      <c r="AL36" s="115">
        <f>SUM(AL5:AL35)</f>
        <v>0</v>
      </c>
      <c r="AM36" s="115">
        <f t="shared" ref="AM36:BW36" si="7">SUM(AM5:AM35)</f>
        <v>133000</v>
      </c>
      <c r="AN36" s="115">
        <f t="shared" si="7"/>
        <v>0</v>
      </c>
      <c r="AO36" s="115">
        <f t="shared" si="7"/>
        <v>459000</v>
      </c>
      <c r="AP36" s="115">
        <f t="shared" si="7"/>
        <v>40000</v>
      </c>
      <c r="AQ36" s="115">
        <f t="shared" si="7"/>
        <v>303000</v>
      </c>
      <c r="AR36" s="115">
        <f t="shared" si="7"/>
        <v>0</v>
      </c>
      <c r="AS36" s="115">
        <f t="shared" si="7"/>
        <v>798000</v>
      </c>
      <c r="AT36" s="115">
        <f t="shared" si="7"/>
        <v>45000</v>
      </c>
      <c r="AU36" s="115">
        <f t="shared" si="7"/>
        <v>64000</v>
      </c>
      <c r="AV36" s="115">
        <f t="shared" si="7"/>
        <v>0</v>
      </c>
      <c r="AW36" s="115">
        <f t="shared" si="7"/>
        <v>232500</v>
      </c>
      <c r="AX36" s="115">
        <f t="shared" si="7"/>
        <v>0</v>
      </c>
      <c r="AY36" s="115">
        <f t="shared" si="7"/>
        <v>4000</v>
      </c>
      <c r="AZ36" s="115">
        <f t="shared" si="7"/>
        <v>0</v>
      </c>
      <c r="BA36" s="115">
        <f t="shared" si="7"/>
        <v>8000</v>
      </c>
      <c r="BB36" s="115">
        <f t="shared" si="7"/>
        <v>50000</v>
      </c>
      <c r="BC36" s="115">
        <f t="shared" si="7"/>
        <v>113000</v>
      </c>
      <c r="BD36" s="115">
        <f t="shared" si="7"/>
        <v>0</v>
      </c>
      <c r="BE36" s="115">
        <f t="shared" si="7"/>
        <v>167000</v>
      </c>
      <c r="BF36" s="115">
        <f t="shared" si="7"/>
        <v>0</v>
      </c>
      <c r="BG36" s="115">
        <f t="shared" si="7"/>
        <v>12000</v>
      </c>
      <c r="BH36" s="115">
        <f t="shared" si="7"/>
        <v>9000</v>
      </c>
      <c r="BI36" s="115">
        <f t="shared" si="7"/>
        <v>31000</v>
      </c>
      <c r="BJ36" s="115">
        <f t="shared" si="7"/>
        <v>36000</v>
      </c>
      <c r="BK36" s="115">
        <f t="shared" si="7"/>
        <v>2000</v>
      </c>
      <c r="BL36" s="115">
        <f t="shared" si="7"/>
        <v>18000</v>
      </c>
      <c r="BM36" s="115">
        <f t="shared" si="7"/>
        <v>67000</v>
      </c>
      <c r="BN36" s="115">
        <f t="shared" si="7"/>
        <v>48000</v>
      </c>
      <c r="BO36" s="115">
        <f t="shared" si="7"/>
        <v>4000</v>
      </c>
      <c r="BP36" s="115">
        <f t="shared" si="7"/>
        <v>15000</v>
      </c>
      <c r="BQ36" s="115">
        <f t="shared" si="7"/>
        <v>20000</v>
      </c>
      <c r="BR36" s="115">
        <f t="shared" si="7"/>
        <v>3000</v>
      </c>
      <c r="BS36" s="115">
        <f t="shared" si="7"/>
        <v>14000</v>
      </c>
      <c r="BT36" s="115">
        <f t="shared" si="7"/>
        <v>2000</v>
      </c>
      <c r="BU36" s="115">
        <f t="shared" si="7"/>
        <v>16000</v>
      </c>
      <c r="BV36" s="115">
        <f t="shared" si="7"/>
        <v>22000</v>
      </c>
      <c r="BW36" s="115">
        <f t="shared" si="7"/>
        <v>0</v>
      </c>
    </row>
    <row r="37" spans="1:75" ht="22" thickTop="1" thickBot="1">
      <c r="A37" s="81" t="s">
        <v>33</v>
      </c>
      <c r="B37" s="82">
        <f>SUM(B5:B35)</f>
        <v>2478500</v>
      </c>
      <c r="C37" s="82">
        <f>SUM(C5:C33)</f>
        <v>340000</v>
      </c>
      <c r="D37" s="82">
        <f>SUM(D5:D33)</f>
        <v>2818500</v>
      </c>
      <c r="E37" s="83">
        <f>SUM(E5:E33)</f>
        <v>352319</v>
      </c>
      <c r="F37" s="84">
        <f>SUM(F5:F35)</f>
        <v>29682</v>
      </c>
      <c r="G37" s="84">
        <f>SUM(G5:G35)</f>
        <v>0</v>
      </c>
      <c r="H37" s="85">
        <f>SUM(H5:H33)</f>
        <v>385024</v>
      </c>
      <c r="I37" s="86">
        <f>SUM(I5:I35)</f>
        <v>0</v>
      </c>
      <c r="J37" s="86" t="str">
        <f>IFERROR(32/I37, "")</f>
        <v/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V37" s="1"/>
      <c r="BW37" s="1"/>
    </row>
    <row r="38" spans="1:75">
      <c r="BU38" s="2"/>
    </row>
  </sheetData>
  <mergeCells count="57">
    <mergeCell ref="I3:I4"/>
    <mergeCell ref="BR3:BR4"/>
    <mergeCell ref="BT3:BT4"/>
    <mergeCell ref="BU3:BU4"/>
    <mergeCell ref="BP3:BP4"/>
    <mergeCell ref="BQ3:BQ4"/>
    <mergeCell ref="AL3:AL4"/>
    <mergeCell ref="AM3:AM4"/>
    <mergeCell ref="J3:J4"/>
    <mergeCell ref="P3:P4"/>
    <mergeCell ref="Q3:S3"/>
    <mergeCell ref="T3:V3"/>
    <mergeCell ref="W3:Y3"/>
    <mergeCell ref="Z3:AB3"/>
    <mergeCell ref="BF3:BF4"/>
    <mergeCell ref="BN3:BN4"/>
    <mergeCell ref="A1:A2"/>
    <mergeCell ref="B1:B2"/>
    <mergeCell ref="A3:A4"/>
    <mergeCell ref="B3:D3"/>
    <mergeCell ref="E3:H3"/>
    <mergeCell ref="BK3:BK4"/>
    <mergeCell ref="P36:P37"/>
    <mergeCell ref="BJ3:BJ4"/>
    <mergeCell ref="BH3:BH4"/>
    <mergeCell ref="BG3:BG4"/>
    <mergeCell ref="BI3:BI4"/>
    <mergeCell ref="AZ3:AZ4"/>
    <mergeCell ref="BA3:BA4"/>
    <mergeCell ref="BB3:BB4"/>
    <mergeCell ref="BC3:BC4"/>
    <mergeCell ref="BD3:BD4"/>
    <mergeCell ref="BE3:BE4"/>
    <mergeCell ref="AT3:AT4"/>
    <mergeCell ref="AU3:AU4"/>
    <mergeCell ref="AV3:AV4"/>
    <mergeCell ref="AW3:AW4"/>
    <mergeCell ref="M19:N19"/>
    <mergeCell ref="N20:N21"/>
    <mergeCell ref="AY3:AY4"/>
    <mergeCell ref="AN3:AN4"/>
    <mergeCell ref="AO3:AO4"/>
    <mergeCell ref="AP3:AP4"/>
    <mergeCell ref="AQ3:AQ4"/>
    <mergeCell ref="AR3:AR4"/>
    <mergeCell ref="AS3:AS4"/>
    <mergeCell ref="AC3:AE3"/>
    <mergeCell ref="AF3:AH3"/>
    <mergeCell ref="AJ3:AJ4"/>
    <mergeCell ref="AK3:AK4"/>
    <mergeCell ref="AX3:AX4"/>
    <mergeCell ref="BL3:BL4"/>
    <mergeCell ref="BS3:BS4"/>
    <mergeCell ref="BO3:BO4"/>
    <mergeCell ref="BV3:BV4"/>
    <mergeCell ref="BW3:BW4"/>
    <mergeCell ref="BM3:BM4"/>
  </mergeCells>
  <phoneticPr fontId="7"/>
  <dataValidations count="6">
    <dataValidation type="list" allowBlank="1" showErrorMessage="1" sqref="Q5:Q6 T5:T35 W5:W35 Z5:Z35 AC5:AC35 AF5:AF35" xr:uid="{39C6E709-6BA3-C241-840A-4BABB83A1FB0}">
      <formula1>入時間</formula1>
    </dataValidation>
    <dataValidation type="list" allowBlank="1" showErrorMessage="1" sqref="R5:R35 U5:U35 X5:X35 AA5:AA35 AD5:AD35 AG5:AG35" xr:uid="{0503551D-5649-EF46-A398-C56C354420D2}">
      <formula1>出時間</formula1>
    </dataValidation>
    <dataValidation type="list" allowBlank="1" showErrorMessage="1" sqref="Q3:AH3 AK3:AK4 AW3:AW4 AM3:AM4 AO3:AO4 BE3:BE4 BA3:BA4 AS3:AS4 AY3:AY4 BC3:BC4 AQ3:AQ4 AU3:AU4 BG3:BH4 BI3 BV3:BV4 BJ3:BJ4 BK3:BU3" xr:uid="{5B40C786-881E-E847-B750-82336ACB8497}">
      <formula1>名前</formula1>
    </dataValidation>
    <dataValidation type="list" allowBlank="1" showErrorMessage="1" sqref="Q7:Q35" xr:uid="{BA4DD896-9465-9E46-9E50-326D306F628D}">
      <formula1>#REF!</formula1>
    </dataValidation>
    <dataValidation type="list" allowBlank="1" showErrorMessage="1" sqref="S5:S35 V5:V35 Y5:Y35 AB5:AB35 AE5:AE35 AH5:AH35" xr:uid="{B83C16DA-CBC6-9A4F-94D0-020B8AF0BDA8}">
      <formula1>"　,済"</formula1>
    </dataValidation>
    <dataValidation allowBlank="1" showErrorMessage="1" sqref="AL3:AL4 BB3:BB4 AN3:AN4 AV3:AV4 AT3:AT4 AX3:AX4 AZ3:AZ4 BD3:BD4 BW3:BW4 AP3:AP4 AR3:AR4 BF3:BF4" xr:uid="{2A738776-97C1-E544-B274-4E96D0F6D97E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2D2C-C0F7-4E4B-AFA1-ED1EB02BF117}">
  <dimension ref="A1:BW37"/>
  <sheetViews>
    <sheetView topLeftCell="A7" zoomScale="93" zoomScaleNormal="100" workbookViewId="0">
      <selection activeCell="AO22" sqref="AO22"/>
    </sheetView>
  </sheetViews>
  <sheetFormatPr baseColWidth="10" defaultRowHeight="20"/>
  <cols>
    <col min="1" max="1" width="14.28515625" customWidth="1"/>
    <col min="51" max="51" width="12.85546875" bestFit="1" customWidth="1"/>
    <col min="59" max="71" width="10.7109375" style="1"/>
    <col min="72" max="72" width="13.85546875" style="1" bestFit="1" customWidth="1"/>
  </cols>
  <sheetData>
    <row r="1" spans="1:75">
      <c r="A1" s="498">
        <v>2020</v>
      </c>
      <c r="B1" s="500">
        <v>7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U1" s="1"/>
      <c r="BV1" s="1"/>
      <c r="BW1" s="1"/>
    </row>
    <row r="2" spans="1:75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U2" s="1"/>
      <c r="BV2" s="1"/>
      <c r="BW2" s="1"/>
    </row>
    <row r="3" spans="1:75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139</v>
      </c>
      <c r="AV3" s="494">
        <v>0.3</v>
      </c>
      <c r="AW3" s="496" t="s">
        <v>74</v>
      </c>
      <c r="AX3" s="494">
        <v>0.3</v>
      </c>
      <c r="AY3" s="527" t="s">
        <v>137</v>
      </c>
      <c r="AZ3" s="494">
        <v>0.3</v>
      </c>
      <c r="BA3" s="492" t="s">
        <v>193</v>
      </c>
      <c r="BB3" s="494">
        <v>0.3</v>
      </c>
      <c r="BC3" s="496" t="s">
        <v>188</v>
      </c>
      <c r="BD3" s="494">
        <v>0.3</v>
      </c>
      <c r="BE3" s="496" t="s">
        <v>199</v>
      </c>
      <c r="BF3" s="523">
        <v>0.3</v>
      </c>
      <c r="BG3" s="496" t="s">
        <v>205</v>
      </c>
      <c r="BH3" s="520" t="s">
        <v>201</v>
      </c>
      <c r="BI3" s="496" t="s">
        <v>134</v>
      </c>
      <c r="BJ3" s="496" t="s">
        <v>184</v>
      </c>
      <c r="BK3" s="496" t="s">
        <v>120</v>
      </c>
      <c r="BL3" s="520" t="s">
        <v>197</v>
      </c>
      <c r="BM3" s="496" t="s">
        <v>9</v>
      </c>
      <c r="BN3" s="520" t="s">
        <v>133</v>
      </c>
      <c r="BO3" s="520" t="s">
        <v>145</v>
      </c>
      <c r="BP3" s="520" t="s">
        <v>141</v>
      </c>
      <c r="BQ3" s="520" t="s">
        <v>165</v>
      </c>
      <c r="BR3" s="520" t="s">
        <v>190</v>
      </c>
      <c r="BS3" s="520" t="s">
        <v>207</v>
      </c>
      <c r="BT3" s="496" t="s">
        <v>203</v>
      </c>
      <c r="BU3" s="570" t="s">
        <v>127</v>
      </c>
      <c r="BV3" s="494">
        <v>0.3</v>
      </c>
      <c r="BW3" s="1"/>
    </row>
    <row r="4" spans="1:75" ht="21" thickBot="1">
      <c r="A4" s="502"/>
      <c r="B4" s="9"/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497"/>
      <c r="BF4" s="524"/>
      <c r="BG4" s="497"/>
      <c r="BH4" s="521"/>
      <c r="BI4" s="497"/>
      <c r="BJ4" s="497"/>
      <c r="BK4" s="497"/>
      <c r="BL4" s="521"/>
      <c r="BM4" s="497"/>
      <c r="BN4" s="521"/>
      <c r="BO4" s="521"/>
      <c r="BP4" s="521"/>
      <c r="BQ4" s="521"/>
      <c r="BR4" s="521"/>
      <c r="BS4" s="521"/>
      <c r="BT4" s="497"/>
      <c r="BU4" s="580"/>
      <c r="BV4" s="495"/>
      <c r="BW4" s="1"/>
    </row>
    <row r="5" spans="1:75" ht="21" thickTop="1">
      <c r="A5" s="21">
        <f t="shared" ref="A5:A35" si="0">IF(DAY(DATE($A$1,$B$1,ROW()-4))=ROW()-4,DATE($A$1,$B$1,ROW()-4),"")</f>
        <v>44013</v>
      </c>
      <c r="B5" s="23">
        <v>144000</v>
      </c>
      <c r="C5" s="23"/>
      <c r="D5" s="24">
        <f t="shared" ref="D5:D35" si="1">B5+C5</f>
        <v>144000</v>
      </c>
      <c r="E5" s="25"/>
      <c r="F5" s="26"/>
      <c r="G5" s="27"/>
      <c r="H5" s="28">
        <f t="shared" ref="H5:H23" si="2">E5+F5+G5</f>
        <v>0</v>
      </c>
      <c r="I5" s="27"/>
      <c r="J5" s="28" t="str">
        <f t="shared" ref="J5:J35" si="3">IFERROR(B5/I5, "")</f>
        <v/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44013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44013</v>
      </c>
      <c r="AK5" s="35">
        <v>35000</v>
      </c>
      <c r="AL5" s="138"/>
      <c r="AM5" s="139"/>
      <c r="AN5" s="138"/>
      <c r="AO5" s="140"/>
      <c r="AP5" s="138"/>
      <c r="AQ5" s="141">
        <v>25000</v>
      </c>
      <c r="AR5" s="138"/>
      <c r="AS5" s="142">
        <v>22000</v>
      </c>
      <c r="AT5" s="138"/>
      <c r="AU5" s="143">
        <v>27000</v>
      </c>
      <c r="AV5" s="138"/>
      <c r="AW5" s="144">
        <v>18000</v>
      </c>
      <c r="AX5" s="138"/>
      <c r="AY5" s="145">
        <v>10000</v>
      </c>
      <c r="AZ5" s="138"/>
      <c r="BA5" s="146">
        <v>7000</v>
      </c>
      <c r="BB5" s="138"/>
      <c r="BC5" s="144"/>
      <c r="BD5" s="138"/>
      <c r="BE5" s="144"/>
      <c r="BF5" s="160"/>
      <c r="BG5" s="158"/>
      <c r="BH5" s="158"/>
      <c r="BI5" s="158"/>
      <c r="BJ5" s="158"/>
      <c r="BK5" s="172"/>
      <c r="BL5" s="172"/>
      <c r="BM5" s="172"/>
      <c r="BN5" s="172"/>
      <c r="BO5" s="172"/>
      <c r="BP5" s="172"/>
      <c r="BQ5" s="172"/>
      <c r="BR5" s="172"/>
      <c r="BS5" s="172"/>
      <c r="BT5" s="158"/>
      <c r="BU5" s="161"/>
      <c r="BV5" s="138"/>
      <c r="BW5" s="1"/>
    </row>
    <row r="6" spans="1:75">
      <c r="A6" s="21">
        <f t="shared" si="0"/>
        <v>44014</v>
      </c>
      <c r="B6" s="38">
        <v>158000</v>
      </c>
      <c r="C6" s="23"/>
      <c r="D6" s="39">
        <f t="shared" si="1"/>
        <v>158000</v>
      </c>
      <c r="E6" s="40">
        <v>38771</v>
      </c>
      <c r="F6" s="35"/>
      <c r="G6" s="27"/>
      <c r="H6" s="28">
        <f t="shared" si="2"/>
        <v>38771</v>
      </c>
      <c r="I6" s="35"/>
      <c r="J6" s="41" t="str">
        <f t="shared" si="3"/>
        <v/>
      </c>
      <c r="K6" s="29"/>
      <c r="L6" s="5"/>
      <c r="M6" s="30" t="s">
        <v>24</v>
      </c>
      <c r="N6" s="31" t="s">
        <v>25</v>
      </c>
      <c r="O6" s="7"/>
      <c r="P6" s="32">
        <f t="shared" si="4"/>
        <v>44014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44014</v>
      </c>
      <c r="AL6" s="138"/>
      <c r="AM6" s="139"/>
      <c r="AN6" s="138"/>
      <c r="AO6" s="143"/>
      <c r="AP6" s="138"/>
      <c r="AQ6" s="147"/>
      <c r="AR6" s="138"/>
      <c r="AS6" s="142">
        <v>80000</v>
      </c>
      <c r="AT6" s="138"/>
      <c r="AU6" s="143">
        <v>8000</v>
      </c>
      <c r="AV6" s="138"/>
      <c r="AW6" s="147"/>
      <c r="AX6" s="138"/>
      <c r="AY6" s="145"/>
      <c r="AZ6" s="138"/>
      <c r="BA6" s="146"/>
      <c r="BB6" s="138"/>
      <c r="BC6" s="144">
        <v>50000</v>
      </c>
      <c r="BD6" s="138"/>
      <c r="BE6" s="144"/>
      <c r="BF6" s="160"/>
      <c r="BG6" s="158"/>
      <c r="BH6" s="158"/>
      <c r="BI6" s="158"/>
      <c r="BJ6" s="158"/>
      <c r="BK6" s="172"/>
      <c r="BL6" s="172"/>
      <c r="BM6" s="172">
        <v>5000</v>
      </c>
      <c r="BN6" s="172"/>
      <c r="BO6" s="172"/>
      <c r="BP6" s="172"/>
      <c r="BQ6" s="172"/>
      <c r="BR6" s="172"/>
      <c r="BS6" s="172"/>
      <c r="BT6" s="158">
        <v>15000</v>
      </c>
      <c r="BU6" s="161"/>
      <c r="BV6" s="138"/>
      <c r="BW6" s="1"/>
    </row>
    <row r="7" spans="1:75">
      <c r="A7" s="21">
        <f t="shared" si="0"/>
        <v>44015</v>
      </c>
      <c r="B7" s="38">
        <v>42000</v>
      </c>
      <c r="C7" s="23">
        <v>15000</v>
      </c>
      <c r="D7" s="39">
        <f t="shared" si="1"/>
        <v>57000</v>
      </c>
      <c r="E7" s="40">
        <v>18192</v>
      </c>
      <c r="F7" s="35"/>
      <c r="G7" s="27"/>
      <c r="H7" s="28">
        <f t="shared" si="2"/>
        <v>18192</v>
      </c>
      <c r="I7" s="35"/>
      <c r="J7" s="41" t="str">
        <f t="shared" si="3"/>
        <v/>
      </c>
      <c r="K7" s="29"/>
      <c r="L7" s="5"/>
      <c r="M7" s="6"/>
      <c r="N7" s="7"/>
      <c r="O7" s="7"/>
      <c r="P7" s="32">
        <f t="shared" si="4"/>
        <v>44015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44015</v>
      </c>
      <c r="AK7" s="35"/>
      <c r="AL7" s="138"/>
      <c r="AM7" s="139"/>
      <c r="AN7" s="138"/>
      <c r="AO7" s="143"/>
      <c r="AP7" s="138"/>
      <c r="AQ7" s="147"/>
      <c r="AR7" s="138"/>
      <c r="AS7" s="142">
        <v>20000</v>
      </c>
      <c r="AT7" s="138"/>
      <c r="AU7" s="139"/>
      <c r="AV7" s="138"/>
      <c r="AW7" s="148">
        <v>15000</v>
      </c>
      <c r="AX7" s="138"/>
      <c r="AY7" s="149"/>
      <c r="AZ7" s="138"/>
      <c r="BA7" s="149"/>
      <c r="BB7" s="138"/>
      <c r="BC7" s="150"/>
      <c r="BD7" s="138"/>
      <c r="BE7" s="150">
        <v>7000</v>
      </c>
      <c r="BF7" s="160"/>
      <c r="BG7" s="158"/>
      <c r="BH7" s="158"/>
      <c r="BI7" s="158"/>
      <c r="BJ7" s="158"/>
      <c r="BK7" s="167"/>
      <c r="BL7" s="158"/>
      <c r="BM7" s="172"/>
      <c r="BN7" s="172"/>
      <c r="BO7" s="172"/>
      <c r="BP7" s="172"/>
      <c r="BQ7" s="172"/>
      <c r="BR7" s="172"/>
      <c r="BS7" s="172"/>
      <c r="BT7" s="158"/>
      <c r="BU7" s="162">
        <v>15000</v>
      </c>
      <c r="BV7" s="138"/>
      <c r="BW7" s="1"/>
    </row>
    <row r="8" spans="1:75">
      <c r="A8" s="21">
        <f t="shared" si="0"/>
        <v>44016</v>
      </c>
      <c r="B8" s="38">
        <v>324000</v>
      </c>
      <c r="C8" s="23">
        <v>13000</v>
      </c>
      <c r="D8" s="39">
        <f t="shared" si="1"/>
        <v>337000</v>
      </c>
      <c r="E8" s="40">
        <v>21832</v>
      </c>
      <c r="F8" s="35"/>
      <c r="G8" s="27"/>
      <c r="H8" s="28">
        <f t="shared" si="2"/>
        <v>21832</v>
      </c>
      <c r="I8" s="35"/>
      <c r="J8" s="41" t="str">
        <f t="shared" si="3"/>
        <v/>
      </c>
      <c r="K8" s="29"/>
      <c r="L8" s="5"/>
      <c r="M8" s="6"/>
      <c r="N8" s="7"/>
      <c r="O8" s="7"/>
      <c r="P8" s="32">
        <f t="shared" si="4"/>
        <v>44016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44016</v>
      </c>
      <c r="AK8" s="35"/>
      <c r="AL8" s="138"/>
      <c r="AM8" s="139"/>
      <c r="AN8" s="138"/>
      <c r="AO8" s="143">
        <v>105000</v>
      </c>
      <c r="AP8" s="138">
        <v>20000</v>
      </c>
      <c r="AQ8" s="147">
        <v>48000</v>
      </c>
      <c r="AR8" s="138">
        <v>25000</v>
      </c>
      <c r="AS8" s="142">
        <v>8000</v>
      </c>
      <c r="AT8" s="138"/>
      <c r="AU8" s="139"/>
      <c r="AV8" s="138"/>
      <c r="AW8" s="151"/>
      <c r="AX8" s="138"/>
      <c r="AY8" s="149"/>
      <c r="AZ8" s="138"/>
      <c r="BA8" s="149">
        <v>6000</v>
      </c>
      <c r="BB8" s="138"/>
      <c r="BC8" s="149"/>
      <c r="BD8" s="138"/>
      <c r="BE8" s="149">
        <v>25000</v>
      </c>
      <c r="BF8" s="160">
        <v>25000</v>
      </c>
      <c r="BG8" s="158">
        <v>4000</v>
      </c>
      <c r="BH8" s="158"/>
      <c r="BI8" s="158"/>
      <c r="BJ8" s="158">
        <v>4000</v>
      </c>
      <c r="BK8" s="167">
        <v>42000</v>
      </c>
      <c r="BL8" s="158"/>
      <c r="BM8" s="172"/>
      <c r="BN8" s="172"/>
      <c r="BO8" s="172"/>
      <c r="BP8" s="172"/>
      <c r="BQ8" s="172"/>
      <c r="BR8" s="172"/>
      <c r="BS8" s="172"/>
      <c r="BT8" s="158"/>
      <c r="BU8" s="145">
        <v>25000</v>
      </c>
      <c r="BV8" s="138"/>
      <c r="BW8" s="1"/>
    </row>
    <row r="9" spans="1:75">
      <c r="A9" s="21">
        <f t="shared" si="0"/>
        <v>44017</v>
      </c>
      <c r="B9" s="38">
        <v>60000</v>
      </c>
      <c r="C9" s="23"/>
      <c r="D9" s="39">
        <f t="shared" si="1"/>
        <v>60000</v>
      </c>
      <c r="E9" s="40"/>
      <c r="F9" s="35">
        <v>999</v>
      </c>
      <c r="G9" s="27"/>
      <c r="H9" s="28">
        <f t="shared" si="2"/>
        <v>999</v>
      </c>
      <c r="I9" s="35"/>
      <c r="J9" s="41" t="str">
        <f t="shared" si="3"/>
        <v/>
      </c>
      <c r="K9" s="29"/>
      <c r="L9" s="5"/>
      <c r="M9" s="6"/>
      <c r="N9" s="7"/>
      <c r="O9" s="7"/>
      <c r="P9" s="32">
        <f t="shared" si="4"/>
        <v>44017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44017</v>
      </c>
      <c r="AK9" s="35"/>
      <c r="AL9" s="138"/>
      <c r="AM9" s="139"/>
      <c r="AN9" s="138"/>
      <c r="AO9" s="139">
        <v>24000</v>
      </c>
      <c r="AP9" s="138"/>
      <c r="AQ9" s="152"/>
      <c r="AR9" s="138"/>
      <c r="AS9" s="139">
        <v>33000</v>
      </c>
      <c r="AT9" s="138"/>
      <c r="AU9" s="139"/>
      <c r="AV9" s="138"/>
      <c r="AW9" s="151"/>
      <c r="AX9" s="138"/>
      <c r="AY9" s="149"/>
      <c r="AZ9" s="138"/>
      <c r="BA9" s="149"/>
      <c r="BB9" s="138"/>
      <c r="BC9" s="149"/>
      <c r="BD9" s="138"/>
      <c r="BE9" s="149"/>
      <c r="BF9" s="160"/>
      <c r="BG9" s="158"/>
      <c r="BH9" s="158"/>
      <c r="BI9" s="158"/>
      <c r="BJ9" s="158"/>
      <c r="BK9" s="167"/>
      <c r="BL9" s="158">
        <v>3000</v>
      </c>
      <c r="BM9" s="173"/>
      <c r="BN9" s="173"/>
      <c r="BO9" s="173"/>
      <c r="BP9" s="173"/>
      <c r="BQ9" s="173"/>
      <c r="BR9" s="173"/>
      <c r="BS9" s="173"/>
      <c r="BT9" s="159"/>
      <c r="BU9" s="149"/>
      <c r="BV9" s="138"/>
      <c r="BW9" s="1"/>
    </row>
    <row r="10" spans="1:75">
      <c r="A10" s="21">
        <f t="shared" si="0"/>
        <v>44018</v>
      </c>
      <c r="B10" s="38">
        <v>100000</v>
      </c>
      <c r="C10" s="23">
        <v>15000</v>
      </c>
      <c r="D10" s="39">
        <f t="shared" si="1"/>
        <v>115000</v>
      </c>
      <c r="E10" s="40">
        <v>28578</v>
      </c>
      <c r="F10" s="35">
        <v>506</v>
      </c>
      <c r="G10" s="27"/>
      <c r="H10" s="28">
        <f t="shared" si="2"/>
        <v>29084</v>
      </c>
      <c r="I10" s="35"/>
      <c r="J10" s="41" t="str">
        <f t="shared" si="3"/>
        <v/>
      </c>
      <c r="K10" s="29"/>
      <c r="L10" s="5"/>
      <c r="M10" s="295" t="s">
        <v>80</v>
      </c>
      <c r="N10" s="7">
        <v>22000</v>
      </c>
      <c r="O10" s="7"/>
      <c r="P10" s="32">
        <f t="shared" si="4"/>
        <v>44018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44018</v>
      </c>
      <c r="AK10" s="35"/>
      <c r="AL10" s="138"/>
      <c r="AM10" s="139"/>
      <c r="AN10" s="138"/>
      <c r="AO10" s="139"/>
      <c r="AP10" s="138"/>
      <c r="AQ10" s="139">
        <v>5000</v>
      </c>
      <c r="AR10" s="138"/>
      <c r="AS10" s="139">
        <v>84000</v>
      </c>
      <c r="AT10" s="138"/>
      <c r="AU10" s="139"/>
      <c r="AV10" s="138"/>
      <c r="AW10" s="151"/>
      <c r="AX10" s="138"/>
      <c r="AY10" s="149"/>
      <c r="AZ10" s="138"/>
      <c r="BA10" s="149">
        <v>6000</v>
      </c>
      <c r="BB10" s="138"/>
      <c r="BC10" s="149">
        <v>15000</v>
      </c>
      <c r="BD10" s="138"/>
      <c r="BE10" s="149"/>
      <c r="BF10" s="160"/>
      <c r="BG10" s="158"/>
      <c r="BH10" s="158"/>
      <c r="BI10" s="158"/>
      <c r="BJ10" s="158"/>
      <c r="BK10" s="249"/>
      <c r="BL10" s="158"/>
      <c r="BM10" s="166"/>
      <c r="BN10" s="166"/>
      <c r="BO10" s="166"/>
      <c r="BP10" s="166"/>
      <c r="BQ10" s="166"/>
      <c r="BR10" s="166"/>
      <c r="BS10" s="166"/>
      <c r="BT10" s="138"/>
      <c r="BU10" s="149"/>
      <c r="BV10" s="138"/>
      <c r="BW10" s="1"/>
    </row>
    <row r="11" spans="1:75">
      <c r="A11" s="21">
        <f t="shared" si="0"/>
        <v>44019</v>
      </c>
      <c r="B11" s="38">
        <v>0</v>
      </c>
      <c r="C11" s="23"/>
      <c r="D11" s="39">
        <f t="shared" si="1"/>
        <v>0</v>
      </c>
      <c r="E11" s="40"/>
      <c r="F11" s="35"/>
      <c r="G11" s="27"/>
      <c r="H11" s="28">
        <f t="shared" si="2"/>
        <v>0</v>
      </c>
      <c r="I11" s="35"/>
      <c r="J11" s="41" t="str">
        <f t="shared" si="3"/>
        <v/>
      </c>
      <c r="K11" s="29"/>
      <c r="L11" s="5"/>
      <c r="M11" s="6"/>
      <c r="N11" s="7"/>
      <c r="O11" s="7"/>
      <c r="P11" s="32">
        <f t="shared" si="4"/>
        <v>44019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44019</v>
      </c>
      <c r="AK11" s="35"/>
      <c r="AL11" s="138"/>
      <c r="AM11" s="139"/>
      <c r="AN11" s="138"/>
      <c r="AO11" s="139"/>
      <c r="AP11" s="138"/>
      <c r="AQ11" s="139"/>
      <c r="AR11" s="138"/>
      <c r="AS11" s="139"/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60"/>
      <c r="BG11" s="158"/>
      <c r="BH11" s="158"/>
      <c r="BI11" s="158"/>
      <c r="BJ11" s="158"/>
      <c r="BK11" s="166"/>
      <c r="BL11" s="173"/>
      <c r="BM11" s="138"/>
      <c r="BN11" s="138"/>
      <c r="BO11" s="138"/>
      <c r="BP11" s="138"/>
      <c r="BQ11" s="138"/>
      <c r="BR11" s="138"/>
      <c r="BS11" s="138"/>
      <c r="BT11" s="138"/>
      <c r="BU11" s="149"/>
      <c r="BV11" s="138"/>
      <c r="BW11" s="1"/>
    </row>
    <row r="12" spans="1:75">
      <c r="A12" s="21">
        <f t="shared" si="0"/>
        <v>44020</v>
      </c>
      <c r="B12" s="38">
        <v>144000</v>
      </c>
      <c r="C12" s="23"/>
      <c r="D12" s="39">
        <f t="shared" si="1"/>
        <v>144000</v>
      </c>
      <c r="E12" s="40">
        <v>17195</v>
      </c>
      <c r="F12" s="35">
        <v>1089</v>
      </c>
      <c r="G12" s="27"/>
      <c r="H12" s="28">
        <f t="shared" si="2"/>
        <v>18284</v>
      </c>
      <c r="I12" s="35"/>
      <c r="J12" s="41" t="str">
        <f t="shared" si="3"/>
        <v/>
      </c>
      <c r="K12" s="29"/>
      <c r="L12" s="5"/>
      <c r="M12" s="6"/>
      <c r="N12" s="7"/>
      <c r="O12" s="7"/>
      <c r="P12" s="32">
        <f t="shared" si="4"/>
        <v>44020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44020</v>
      </c>
      <c r="AK12" s="35">
        <v>47000</v>
      </c>
      <c r="AL12" s="138"/>
      <c r="AM12" s="139"/>
      <c r="AN12" s="138"/>
      <c r="AO12" s="139">
        <v>4000</v>
      </c>
      <c r="AP12" s="138"/>
      <c r="AQ12" s="139">
        <v>40000</v>
      </c>
      <c r="AR12" s="138"/>
      <c r="AS12" s="139">
        <v>25000</v>
      </c>
      <c r="AT12" s="138"/>
      <c r="AU12" s="139"/>
      <c r="AV12" s="138"/>
      <c r="AW12" s="151"/>
      <c r="AX12" s="138"/>
      <c r="AY12" s="149">
        <v>5000</v>
      </c>
      <c r="AZ12" s="138"/>
      <c r="BA12" s="149">
        <v>9000</v>
      </c>
      <c r="BB12" s="138"/>
      <c r="BC12" s="149">
        <v>5000</v>
      </c>
      <c r="BD12" s="138"/>
      <c r="BE12" s="149"/>
      <c r="BF12" s="138"/>
      <c r="BG12" s="159"/>
      <c r="BH12" s="159"/>
      <c r="BI12" s="159">
        <v>1000</v>
      </c>
      <c r="BJ12" s="159">
        <v>5000</v>
      </c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49"/>
      <c r="BV12" s="138"/>
      <c r="BW12" s="1"/>
    </row>
    <row r="13" spans="1:75">
      <c r="A13" s="21">
        <f t="shared" si="0"/>
        <v>44021</v>
      </c>
      <c r="B13" s="38">
        <v>37000</v>
      </c>
      <c r="C13" s="23"/>
      <c r="D13" s="39">
        <f t="shared" si="1"/>
        <v>37000</v>
      </c>
      <c r="E13" s="299">
        <f>4884+19764</f>
        <v>24648</v>
      </c>
      <c r="F13" s="35"/>
      <c r="G13" s="27"/>
      <c r="H13" s="28">
        <f t="shared" si="2"/>
        <v>24648</v>
      </c>
      <c r="I13" s="35"/>
      <c r="J13" s="41" t="str">
        <f t="shared" si="3"/>
        <v/>
      </c>
      <c r="K13" s="29"/>
      <c r="L13" s="5"/>
      <c r="M13" s="6"/>
      <c r="N13" s="7"/>
      <c r="O13" s="7"/>
      <c r="P13" s="32">
        <f t="shared" si="4"/>
        <v>44021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44021</v>
      </c>
      <c r="AK13" s="35"/>
      <c r="AL13" s="138"/>
      <c r="AM13" s="139"/>
      <c r="AN13" s="138"/>
      <c r="AO13" s="139">
        <v>20000</v>
      </c>
      <c r="AP13" s="138"/>
      <c r="AQ13" s="139"/>
      <c r="AR13" s="138"/>
      <c r="AS13" s="139">
        <v>13000</v>
      </c>
      <c r="AT13" s="138"/>
      <c r="AU13" s="139"/>
      <c r="AV13" s="138"/>
      <c r="AW13" s="151">
        <v>4000</v>
      </c>
      <c r="AX13" s="138"/>
      <c r="AY13" s="149"/>
      <c r="AZ13" s="138"/>
      <c r="BA13" s="149"/>
      <c r="BB13" s="138"/>
      <c r="BC13" s="149"/>
      <c r="BD13" s="138"/>
      <c r="BE13" s="149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49"/>
      <c r="BV13" s="138"/>
      <c r="BW13" s="1"/>
    </row>
    <row r="14" spans="1:75">
      <c r="A14" s="21">
        <f t="shared" si="0"/>
        <v>44022</v>
      </c>
      <c r="B14" s="38">
        <v>239000</v>
      </c>
      <c r="C14" s="23">
        <v>15000</v>
      </c>
      <c r="D14" s="39">
        <f t="shared" si="1"/>
        <v>254000</v>
      </c>
      <c r="E14" s="40">
        <v>57061</v>
      </c>
      <c r="F14" s="300">
        <f>5553+1123</f>
        <v>6676</v>
      </c>
      <c r="G14" s="27"/>
      <c r="H14" s="28">
        <f t="shared" si="2"/>
        <v>63737</v>
      </c>
      <c r="I14" s="35"/>
      <c r="J14" s="41" t="str">
        <f t="shared" si="3"/>
        <v/>
      </c>
      <c r="K14" s="29"/>
      <c r="L14" s="5"/>
      <c r="M14" s="6"/>
      <c r="N14" s="7"/>
      <c r="O14" s="7"/>
      <c r="P14" s="32">
        <f t="shared" si="4"/>
        <v>44022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44022</v>
      </c>
      <c r="AK14" s="35"/>
      <c r="AL14" s="138"/>
      <c r="AM14" s="139"/>
      <c r="AN14" s="138"/>
      <c r="AO14" s="139">
        <v>31000</v>
      </c>
      <c r="AP14" s="138"/>
      <c r="AQ14" s="139">
        <v>58000</v>
      </c>
      <c r="AR14" s="138">
        <v>15000</v>
      </c>
      <c r="AS14" s="139">
        <v>67000</v>
      </c>
      <c r="AT14" s="138"/>
      <c r="AU14" s="139"/>
      <c r="AV14" s="138"/>
      <c r="AW14" s="151">
        <v>2000</v>
      </c>
      <c r="AX14" s="138"/>
      <c r="AY14" s="149"/>
      <c r="AZ14" s="138"/>
      <c r="BA14" s="149"/>
      <c r="BB14" s="138"/>
      <c r="BC14" s="149"/>
      <c r="BD14" s="138"/>
      <c r="BE14" s="149"/>
      <c r="BF14" s="138"/>
      <c r="BG14" s="138"/>
      <c r="BH14" s="138"/>
      <c r="BI14" s="138"/>
      <c r="BJ14" s="138"/>
      <c r="BK14" s="138"/>
      <c r="BL14" s="138"/>
      <c r="BM14" s="138"/>
      <c r="BN14" s="138">
        <v>33000</v>
      </c>
      <c r="BO14" s="138"/>
      <c r="BP14" s="138"/>
      <c r="BQ14" s="138"/>
      <c r="BR14" s="138">
        <v>16000</v>
      </c>
      <c r="BS14" s="138"/>
      <c r="BT14" s="138"/>
      <c r="BU14" s="149"/>
      <c r="BV14" s="138"/>
      <c r="BW14" s="1"/>
    </row>
    <row r="15" spans="1:75">
      <c r="A15" s="21">
        <f t="shared" si="0"/>
        <v>44023</v>
      </c>
      <c r="B15" s="38">
        <v>180000</v>
      </c>
      <c r="C15" s="23"/>
      <c r="D15" s="39">
        <f t="shared" si="1"/>
        <v>180000</v>
      </c>
      <c r="E15" s="40">
        <v>18541</v>
      </c>
      <c r="F15" s="35"/>
      <c r="G15" s="27"/>
      <c r="H15" s="28">
        <f t="shared" si="2"/>
        <v>18541</v>
      </c>
      <c r="I15" s="35"/>
      <c r="J15" s="41" t="str">
        <f t="shared" si="3"/>
        <v/>
      </c>
      <c r="K15" s="29"/>
      <c r="L15" s="5"/>
      <c r="M15" s="6"/>
      <c r="N15" s="7"/>
      <c r="O15" s="7"/>
      <c r="P15" s="32">
        <f t="shared" si="4"/>
        <v>44023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44023</v>
      </c>
      <c r="AK15" s="35"/>
      <c r="AL15" s="138"/>
      <c r="AM15" s="139"/>
      <c r="AN15" s="138"/>
      <c r="AO15" s="139">
        <v>65000</v>
      </c>
      <c r="AP15" s="138"/>
      <c r="AQ15" s="139">
        <v>45000</v>
      </c>
      <c r="AR15" s="138"/>
      <c r="AS15" s="139">
        <v>40000</v>
      </c>
      <c r="AT15" s="138"/>
      <c r="AU15" s="139"/>
      <c r="AV15" s="138"/>
      <c r="AW15" s="151"/>
      <c r="AX15" s="138"/>
      <c r="AY15" s="149"/>
      <c r="AZ15" s="138"/>
      <c r="BA15" s="149"/>
      <c r="BB15" s="138"/>
      <c r="BC15" s="149"/>
      <c r="BD15" s="138"/>
      <c r="BE15" s="149"/>
      <c r="BF15" s="138"/>
      <c r="BG15" s="138"/>
      <c r="BH15" s="138"/>
      <c r="BI15" s="138"/>
      <c r="BJ15" s="138">
        <v>4000</v>
      </c>
      <c r="BK15" s="138">
        <v>8000</v>
      </c>
      <c r="BL15" s="138">
        <v>15000</v>
      </c>
      <c r="BM15" s="138">
        <v>3000</v>
      </c>
      <c r="BN15" s="138"/>
      <c r="BO15" s="138"/>
      <c r="BP15" s="138"/>
      <c r="BQ15" s="138"/>
      <c r="BR15" s="138"/>
      <c r="BS15" s="138"/>
      <c r="BT15" s="138"/>
      <c r="BU15" s="149"/>
      <c r="BV15" s="138"/>
      <c r="BW15" s="1"/>
    </row>
    <row r="16" spans="1:75">
      <c r="A16" s="21">
        <f t="shared" si="0"/>
        <v>44024</v>
      </c>
      <c r="B16" s="38">
        <v>254000</v>
      </c>
      <c r="C16" s="23">
        <v>14000</v>
      </c>
      <c r="D16" s="39">
        <f t="shared" si="1"/>
        <v>268000</v>
      </c>
      <c r="E16" s="40">
        <f>26896+6582</f>
        <v>33478</v>
      </c>
      <c r="F16" s="35">
        <v>4556</v>
      </c>
      <c r="G16" s="27"/>
      <c r="H16" s="28">
        <f t="shared" si="2"/>
        <v>38034</v>
      </c>
      <c r="I16" s="35"/>
      <c r="J16" s="41" t="str">
        <f t="shared" si="3"/>
        <v/>
      </c>
      <c r="K16" s="29"/>
      <c r="L16" s="5"/>
      <c r="M16" s="6"/>
      <c r="N16" s="7"/>
      <c r="O16" s="7"/>
      <c r="P16" s="32">
        <f t="shared" si="4"/>
        <v>44024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44024</v>
      </c>
      <c r="AK16" s="35"/>
      <c r="AL16" s="138"/>
      <c r="AM16" s="139"/>
      <c r="AN16" s="138"/>
      <c r="AO16" s="139">
        <v>57000</v>
      </c>
      <c r="AP16" s="138"/>
      <c r="AQ16" s="139"/>
      <c r="AR16" s="138"/>
      <c r="AS16" s="139">
        <v>43000</v>
      </c>
      <c r="AT16" s="138"/>
      <c r="AU16" s="139"/>
      <c r="AV16" s="138"/>
      <c r="AW16" s="151">
        <v>14000</v>
      </c>
      <c r="AX16" s="138"/>
      <c r="AY16" s="149"/>
      <c r="AZ16" s="138"/>
      <c r="BA16" s="149">
        <v>18000</v>
      </c>
      <c r="BB16" s="138"/>
      <c r="BC16" s="149"/>
      <c r="BD16" s="138"/>
      <c r="BE16" s="149"/>
      <c r="BF16" s="138"/>
      <c r="BG16" s="138"/>
      <c r="BH16" s="138"/>
      <c r="BI16" s="138"/>
      <c r="BJ16" s="138">
        <v>100000</v>
      </c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49"/>
      <c r="BV16" s="138"/>
      <c r="BW16" s="1"/>
    </row>
    <row r="17" spans="1:75">
      <c r="A17" s="21">
        <f t="shared" si="0"/>
        <v>44025</v>
      </c>
      <c r="B17" s="38">
        <v>76000</v>
      </c>
      <c r="C17" s="23"/>
      <c r="D17" s="39">
        <f t="shared" si="1"/>
        <v>76000</v>
      </c>
      <c r="E17" s="40">
        <v>6105</v>
      </c>
      <c r="F17" s="35">
        <v>1012</v>
      </c>
      <c r="G17" s="27"/>
      <c r="H17" s="28">
        <f t="shared" si="2"/>
        <v>7117</v>
      </c>
      <c r="I17" s="35"/>
      <c r="J17" s="41" t="str">
        <f t="shared" si="3"/>
        <v/>
      </c>
      <c r="K17" s="29"/>
      <c r="L17" s="5"/>
      <c r="M17" s="6"/>
      <c r="N17" s="7"/>
      <c r="O17" s="7"/>
      <c r="P17" s="32">
        <f t="shared" si="4"/>
        <v>44025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44025</v>
      </c>
      <c r="AK17" s="35"/>
      <c r="AL17" s="138"/>
      <c r="AM17" s="139"/>
      <c r="AN17" s="138"/>
      <c r="AO17" s="139"/>
      <c r="AP17" s="138"/>
      <c r="AQ17" s="139">
        <v>2000</v>
      </c>
      <c r="AR17" s="138"/>
      <c r="AS17" s="139">
        <v>28000</v>
      </c>
      <c r="AT17" s="138"/>
      <c r="AU17" s="139">
        <v>25000</v>
      </c>
      <c r="AV17" s="138"/>
      <c r="AW17" s="151"/>
      <c r="AX17" s="138"/>
      <c r="AY17" s="149"/>
      <c r="AZ17" s="138"/>
      <c r="BA17" s="149">
        <v>8000</v>
      </c>
      <c r="BB17" s="138"/>
      <c r="BC17" s="149">
        <v>13000</v>
      </c>
      <c r="BD17" s="138"/>
      <c r="BE17" s="149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49"/>
      <c r="BV17" s="138"/>
      <c r="BW17" s="1"/>
    </row>
    <row r="18" spans="1:75">
      <c r="A18" s="21">
        <f t="shared" si="0"/>
        <v>44026</v>
      </c>
      <c r="B18" s="38">
        <v>0</v>
      </c>
      <c r="C18" s="23"/>
      <c r="D18" s="39">
        <f t="shared" si="1"/>
        <v>0</v>
      </c>
      <c r="E18" s="40"/>
      <c r="F18" s="35"/>
      <c r="G18" s="27"/>
      <c r="H18" s="28">
        <f t="shared" si="2"/>
        <v>0</v>
      </c>
      <c r="I18" s="35"/>
      <c r="J18" s="41" t="str">
        <f t="shared" si="3"/>
        <v/>
      </c>
      <c r="K18" s="29"/>
      <c r="L18" s="5"/>
      <c r="M18" s="45"/>
      <c r="N18" s="46"/>
      <c r="O18" s="7"/>
      <c r="P18" s="32">
        <f t="shared" si="4"/>
        <v>44026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44026</v>
      </c>
      <c r="AK18" s="35"/>
      <c r="AL18" s="138"/>
      <c r="AM18" s="139"/>
      <c r="AN18" s="138"/>
      <c r="AO18" s="139"/>
      <c r="AP18" s="138"/>
      <c r="AQ18" s="139"/>
      <c r="AR18" s="138"/>
      <c r="AS18" s="139"/>
      <c r="AT18" s="138"/>
      <c r="AU18" s="139"/>
      <c r="AV18" s="138"/>
      <c r="AW18" s="151"/>
      <c r="AX18" s="138"/>
      <c r="AY18" s="149"/>
      <c r="AZ18" s="138"/>
      <c r="BA18" s="149"/>
      <c r="BB18" s="138"/>
      <c r="BC18" s="149"/>
      <c r="BD18" s="138"/>
      <c r="BE18" s="149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49"/>
      <c r="BV18" s="138"/>
      <c r="BW18" s="1"/>
    </row>
    <row r="19" spans="1:75">
      <c r="A19" s="21">
        <f t="shared" si="0"/>
        <v>44027</v>
      </c>
      <c r="B19" s="38">
        <v>85000</v>
      </c>
      <c r="C19" s="23"/>
      <c r="D19" s="39">
        <f t="shared" si="1"/>
        <v>85000</v>
      </c>
      <c r="E19" s="40">
        <v>19926</v>
      </c>
      <c r="F19" s="35"/>
      <c r="G19" s="27"/>
      <c r="H19" s="28">
        <f t="shared" si="2"/>
        <v>19926</v>
      </c>
      <c r="I19" s="35"/>
      <c r="J19" s="41" t="str">
        <f t="shared" si="3"/>
        <v/>
      </c>
      <c r="K19" s="29"/>
      <c r="L19" s="5"/>
      <c r="M19" s="516" t="s">
        <v>26</v>
      </c>
      <c r="N19" s="517"/>
      <c r="O19" s="6"/>
      <c r="P19" s="32">
        <f t="shared" si="4"/>
        <v>44027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44027</v>
      </c>
      <c r="AK19" s="35"/>
      <c r="AL19" s="138"/>
      <c r="AM19" s="139"/>
      <c r="AN19" s="138"/>
      <c r="AO19" s="139">
        <v>10000</v>
      </c>
      <c r="AP19" s="138"/>
      <c r="AQ19" s="139">
        <v>25000</v>
      </c>
      <c r="AR19" s="138"/>
      <c r="AS19" s="139">
        <v>35000</v>
      </c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>
        <v>15000</v>
      </c>
      <c r="BQ19" s="138"/>
      <c r="BR19" s="138"/>
      <c r="BS19" s="138"/>
      <c r="BT19" s="138"/>
      <c r="BU19" s="149"/>
      <c r="BV19" s="138"/>
      <c r="BW19" s="1"/>
    </row>
    <row r="20" spans="1:75">
      <c r="A20" s="21">
        <f t="shared" si="0"/>
        <v>44028</v>
      </c>
      <c r="B20" s="38">
        <v>65000</v>
      </c>
      <c r="C20" s="38"/>
      <c r="D20" s="39">
        <f t="shared" si="1"/>
        <v>65000</v>
      </c>
      <c r="E20" s="40"/>
      <c r="F20" s="35"/>
      <c r="G20" s="27"/>
      <c r="H20" s="28">
        <f t="shared" si="2"/>
        <v>0</v>
      </c>
      <c r="I20" s="35"/>
      <c r="J20" s="41" t="str">
        <f t="shared" si="3"/>
        <v/>
      </c>
      <c r="K20" s="29"/>
      <c r="L20" s="5"/>
      <c r="M20" s="47" t="s">
        <v>27</v>
      </c>
      <c r="N20" s="518">
        <v>310000</v>
      </c>
      <c r="O20" s="6"/>
      <c r="P20" s="32">
        <f t="shared" si="4"/>
        <v>44028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44028</v>
      </c>
      <c r="AK20" s="35">
        <v>20000</v>
      </c>
      <c r="AL20" s="138"/>
      <c r="AM20" s="139"/>
      <c r="AN20" s="138"/>
      <c r="AO20" s="139"/>
      <c r="AP20" s="138"/>
      <c r="AQ20" s="139"/>
      <c r="AR20" s="138"/>
      <c r="AS20" s="139">
        <v>35000</v>
      </c>
      <c r="AT20" s="138"/>
      <c r="AU20" s="139"/>
      <c r="AV20" s="138"/>
      <c r="AW20" s="151"/>
      <c r="AX20" s="138"/>
      <c r="AY20" s="149">
        <v>8000</v>
      </c>
      <c r="AZ20" s="138"/>
      <c r="BA20" s="149"/>
      <c r="BB20" s="138"/>
      <c r="BC20" s="149"/>
      <c r="BD20" s="138"/>
      <c r="BE20" s="149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49"/>
      <c r="BV20" s="138"/>
      <c r="BW20" s="1"/>
    </row>
    <row r="21" spans="1:75">
      <c r="A21" s="21">
        <f t="shared" si="0"/>
        <v>44029</v>
      </c>
      <c r="B21" s="38">
        <v>100000</v>
      </c>
      <c r="C21" s="38">
        <v>61000</v>
      </c>
      <c r="D21" s="39">
        <f t="shared" si="1"/>
        <v>161000</v>
      </c>
      <c r="E21" s="40">
        <v>5640</v>
      </c>
      <c r="F21" s="35">
        <v>1764</v>
      </c>
      <c r="G21" s="27"/>
      <c r="H21" s="28">
        <f t="shared" si="2"/>
        <v>7404</v>
      </c>
      <c r="I21" s="35"/>
      <c r="J21" s="41" t="str">
        <f t="shared" si="3"/>
        <v/>
      </c>
      <c r="K21" s="29"/>
      <c r="L21" s="5"/>
      <c r="M21" s="47" t="s">
        <v>28</v>
      </c>
      <c r="N21" s="519"/>
      <c r="O21" s="6"/>
      <c r="P21" s="32">
        <f t="shared" si="4"/>
        <v>44029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44029</v>
      </c>
      <c r="AK21" s="35"/>
      <c r="AL21" s="138"/>
      <c r="AM21" s="139"/>
      <c r="AN21" s="138"/>
      <c r="AO21" s="139">
        <v>95000</v>
      </c>
      <c r="AP21" s="138"/>
      <c r="AQ21" s="139"/>
      <c r="AR21" s="138"/>
      <c r="AS21" s="139">
        <v>30000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>
        <v>20000</v>
      </c>
      <c r="BF21" s="138"/>
      <c r="BG21" s="138"/>
      <c r="BH21" s="138"/>
      <c r="BI21" s="138"/>
      <c r="BJ21" s="138"/>
      <c r="BK21" s="138"/>
      <c r="BL21" s="138"/>
      <c r="BM21" s="138"/>
      <c r="BN21" s="138"/>
      <c r="BO21" s="138">
        <v>16000</v>
      </c>
      <c r="BP21" s="138"/>
      <c r="BQ21" s="138"/>
      <c r="BR21" s="138"/>
      <c r="BS21" s="138"/>
      <c r="BT21" s="138"/>
      <c r="BU21" s="149"/>
      <c r="BV21" s="138"/>
      <c r="BW21" s="1"/>
    </row>
    <row r="22" spans="1:75">
      <c r="A22" s="21">
        <f t="shared" si="0"/>
        <v>44030</v>
      </c>
      <c r="B22" s="38">
        <f>205800+13000</f>
        <v>218800</v>
      </c>
      <c r="C22" s="38">
        <v>10000</v>
      </c>
      <c r="D22" s="39">
        <f t="shared" si="1"/>
        <v>228800</v>
      </c>
      <c r="E22" s="40">
        <f>5401+8980</f>
        <v>14381</v>
      </c>
      <c r="F22" s="35">
        <v>5996</v>
      </c>
      <c r="G22" s="27">
        <v>3000</v>
      </c>
      <c r="H22" s="28">
        <f t="shared" si="2"/>
        <v>23377</v>
      </c>
      <c r="I22" s="35"/>
      <c r="J22" s="41" t="str">
        <f t="shared" si="3"/>
        <v/>
      </c>
      <c r="K22" s="29"/>
      <c r="L22" s="5"/>
      <c r="M22" s="47" t="s">
        <v>29</v>
      </c>
      <c r="N22" s="35">
        <v>7000</v>
      </c>
      <c r="O22" s="6"/>
      <c r="P22" s="32">
        <f t="shared" si="4"/>
        <v>44030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44030</v>
      </c>
      <c r="AK22" s="35"/>
      <c r="AL22" s="138"/>
      <c r="AM22" s="139"/>
      <c r="AN22" s="138"/>
      <c r="AO22" s="139">
        <v>54000</v>
      </c>
      <c r="AP22" s="138"/>
      <c r="AQ22" s="139"/>
      <c r="AR22" s="138"/>
      <c r="AS22" s="153">
        <v>13000</v>
      </c>
      <c r="AT22" s="138"/>
      <c r="AU22" s="139"/>
      <c r="AV22" s="138"/>
      <c r="AW22" s="151">
        <v>7500</v>
      </c>
      <c r="AX22" s="138"/>
      <c r="AY22" s="139"/>
      <c r="AZ22" s="138"/>
      <c r="BA22" s="139"/>
      <c r="BB22" s="138"/>
      <c r="BC22" s="149">
        <v>17000</v>
      </c>
      <c r="BD22" s="138"/>
      <c r="BE22" s="149"/>
      <c r="BF22" s="138"/>
      <c r="BG22" s="138"/>
      <c r="BH22" s="138"/>
      <c r="BI22" s="138"/>
      <c r="BJ22" s="138"/>
      <c r="BK22" s="138">
        <v>30000</v>
      </c>
      <c r="BL22" s="138"/>
      <c r="BM22" s="138"/>
      <c r="BN22" s="138"/>
      <c r="BO22" s="138"/>
      <c r="BP22" s="138"/>
      <c r="BQ22" s="138">
        <v>10000</v>
      </c>
      <c r="BR22" s="138"/>
      <c r="BS22" s="138"/>
      <c r="BT22" s="138"/>
      <c r="BU22" s="149"/>
      <c r="BV22" s="138"/>
      <c r="BW22" s="1"/>
    </row>
    <row r="23" spans="1:75">
      <c r="A23" s="21">
        <f t="shared" si="0"/>
        <v>44031</v>
      </c>
      <c r="B23" s="38">
        <v>88000</v>
      </c>
      <c r="C23" s="38">
        <v>33000</v>
      </c>
      <c r="D23" s="39">
        <f t="shared" si="1"/>
        <v>121000</v>
      </c>
      <c r="E23" s="40"/>
      <c r="F23" s="35"/>
      <c r="G23" s="27"/>
      <c r="H23" s="28">
        <f t="shared" si="2"/>
        <v>0</v>
      </c>
      <c r="I23" s="35"/>
      <c r="J23" s="41" t="str">
        <f t="shared" si="3"/>
        <v/>
      </c>
      <c r="K23" s="29"/>
      <c r="L23" s="5"/>
      <c r="M23" s="47" t="s">
        <v>30</v>
      </c>
      <c r="N23" s="35">
        <v>4800</v>
      </c>
      <c r="O23" s="6"/>
      <c r="P23" s="32">
        <f t="shared" si="4"/>
        <v>44031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44031</v>
      </c>
      <c r="AK23" s="35"/>
      <c r="AL23" s="138"/>
      <c r="AM23" s="139"/>
      <c r="AN23" s="138"/>
      <c r="AO23" s="139">
        <v>70000</v>
      </c>
      <c r="AP23" s="138"/>
      <c r="AQ23" s="139"/>
      <c r="AR23" s="138"/>
      <c r="AS23" s="139">
        <v>31000</v>
      </c>
      <c r="AT23" s="138"/>
      <c r="AU23" s="139">
        <v>20000</v>
      </c>
      <c r="AV23" s="138"/>
      <c r="AW23" s="151"/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49"/>
      <c r="BV23" s="138"/>
      <c r="BW23" s="1"/>
    </row>
    <row r="24" spans="1:75">
      <c r="A24" s="21">
        <f t="shared" si="0"/>
        <v>44032</v>
      </c>
      <c r="B24" s="38">
        <v>51000</v>
      </c>
      <c r="C24" s="38"/>
      <c r="D24" s="39">
        <f t="shared" si="1"/>
        <v>51000</v>
      </c>
      <c r="E24" s="40">
        <v>11712</v>
      </c>
      <c r="F24" s="35"/>
      <c r="G24" s="27"/>
      <c r="H24" s="28">
        <v>0</v>
      </c>
      <c r="I24" s="35"/>
      <c r="J24" s="41" t="str">
        <f t="shared" si="3"/>
        <v/>
      </c>
      <c r="K24" s="29"/>
      <c r="L24" s="5"/>
      <c r="M24" s="47" t="s">
        <v>31</v>
      </c>
      <c r="N24" s="35">
        <v>200000</v>
      </c>
      <c r="O24" s="6"/>
      <c r="P24" s="32">
        <f t="shared" si="4"/>
        <v>44032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44032</v>
      </c>
      <c r="AK24" s="35"/>
      <c r="AL24" s="138"/>
      <c r="AM24" s="139"/>
      <c r="AN24" s="138"/>
      <c r="AO24" s="139">
        <v>9000</v>
      </c>
      <c r="AP24" s="138"/>
      <c r="AQ24">
        <v>17000</v>
      </c>
      <c r="AR24" s="138"/>
      <c r="AS24" s="139">
        <v>27000</v>
      </c>
      <c r="AT24" s="138"/>
      <c r="AU24" s="139"/>
      <c r="AV24" s="138"/>
      <c r="AW24" s="151"/>
      <c r="AX24" s="138"/>
      <c r="AY24" s="149"/>
      <c r="AZ24" s="138"/>
      <c r="BA24" s="149"/>
      <c r="BB24" s="138"/>
      <c r="BC24" s="149"/>
      <c r="BD24" s="138"/>
      <c r="BE24" s="149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49"/>
      <c r="BV24" s="138"/>
      <c r="BW24" s="1"/>
    </row>
    <row r="25" spans="1:75">
      <c r="A25" s="21">
        <f t="shared" si="0"/>
        <v>44033</v>
      </c>
      <c r="B25" s="38">
        <v>0</v>
      </c>
      <c r="C25" s="38"/>
      <c r="D25" s="39">
        <f t="shared" si="1"/>
        <v>0</v>
      </c>
      <c r="E25" s="40"/>
      <c r="F25" s="35"/>
      <c r="G25" s="27"/>
      <c r="H25" s="28">
        <f t="shared" ref="H25:H35" si="6">E25+F25+G25</f>
        <v>0</v>
      </c>
      <c r="I25" s="35"/>
      <c r="J25" s="41" t="str">
        <f t="shared" si="3"/>
        <v/>
      </c>
      <c r="K25" s="29"/>
      <c r="L25" s="5"/>
      <c r="M25" s="47" t="s">
        <v>32</v>
      </c>
      <c r="N25" s="35">
        <v>44000</v>
      </c>
      <c r="O25" s="6"/>
      <c r="P25" s="32">
        <f t="shared" si="4"/>
        <v>44033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44033</v>
      </c>
      <c r="AK25" s="35"/>
      <c r="AL25" s="138"/>
      <c r="AM25" s="139"/>
      <c r="AN25" s="138"/>
      <c r="AO25" s="139"/>
      <c r="AP25" s="138"/>
      <c r="AQ25" s="139"/>
      <c r="AR25" s="138"/>
      <c r="AS25" s="139"/>
      <c r="AT25" s="138"/>
      <c r="AU25" s="139"/>
      <c r="AV25" s="138"/>
      <c r="AW25" s="151"/>
      <c r="AX25" s="138"/>
      <c r="AY25" s="149"/>
      <c r="AZ25" s="138"/>
      <c r="BA25" s="149"/>
      <c r="BB25" s="138"/>
      <c r="BC25" s="149"/>
      <c r="BD25" s="138"/>
      <c r="BE25" s="149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49"/>
      <c r="BV25" s="138"/>
      <c r="BW25" s="1"/>
    </row>
    <row r="26" spans="1:75">
      <c r="A26" s="21">
        <f t="shared" si="0"/>
        <v>44034</v>
      </c>
      <c r="B26" s="38">
        <v>0</v>
      </c>
      <c r="C26" s="38"/>
      <c r="D26" s="39">
        <f t="shared" si="1"/>
        <v>0</v>
      </c>
      <c r="E26" s="40"/>
      <c r="F26" s="35"/>
      <c r="G26" s="27"/>
      <c r="H26" s="28">
        <f t="shared" si="6"/>
        <v>0</v>
      </c>
      <c r="I26" s="35"/>
      <c r="J26" s="41" t="str">
        <f t="shared" si="3"/>
        <v/>
      </c>
      <c r="K26" s="29"/>
      <c r="L26" s="5"/>
      <c r="M26" s="47"/>
      <c r="N26" s="35"/>
      <c r="O26" s="6"/>
      <c r="P26" s="32">
        <f t="shared" si="4"/>
        <v>44034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44034</v>
      </c>
      <c r="AK26" s="35"/>
      <c r="AL26" s="138"/>
      <c r="AM26" s="139"/>
      <c r="AN26" s="138"/>
      <c r="AO26" s="139"/>
      <c r="AP26" s="138"/>
      <c r="AQ26" s="139"/>
      <c r="AR26" s="138"/>
      <c r="AS26" s="139"/>
      <c r="AT26" s="138"/>
      <c r="AU26" s="139"/>
      <c r="AV26" s="138"/>
      <c r="AW26" s="151"/>
      <c r="AX26" s="138"/>
      <c r="AY26" s="149"/>
      <c r="AZ26" s="138"/>
      <c r="BA26" s="149"/>
      <c r="BB26" s="138"/>
      <c r="BC26" s="149"/>
      <c r="BD26" s="138"/>
      <c r="BE26" s="149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49"/>
      <c r="BV26" s="138"/>
      <c r="BW26" s="1"/>
    </row>
    <row r="27" spans="1:75">
      <c r="A27" s="21">
        <f t="shared" si="0"/>
        <v>44035</v>
      </c>
      <c r="B27" s="38">
        <v>48000</v>
      </c>
      <c r="C27" s="38"/>
      <c r="D27" s="39">
        <f t="shared" si="1"/>
        <v>48000</v>
      </c>
      <c r="E27" s="40">
        <v>27559</v>
      </c>
      <c r="F27" s="35"/>
      <c r="G27" s="27"/>
      <c r="H27" s="28">
        <f t="shared" si="6"/>
        <v>27559</v>
      </c>
      <c r="I27" s="35"/>
      <c r="J27" s="41" t="str">
        <f t="shared" si="3"/>
        <v/>
      </c>
      <c r="K27" s="29"/>
      <c r="L27" s="5"/>
      <c r="M27" s="47"/>
      <c r="N27" s="35"/>
      <c r="O27" s="7"/>
      <c r="P27" s="32">
        <f t="shared" si="4"/>
        <v>44035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44035</v>
      </c>
      <c r="AK27" s="35"/>
      <c r="AL27" s="138"/>
      <c r="AM27" s="139"/>
      <c r="AN27" s="138"/>
      <c r="AO27" s="139">
        <v>20000</v>
      </c>
      <c r="AP27" s="138"/>
      <c r="AQ27" s="139"/>
      <c r="AR27" s="138"/>
      <c r="AS27" s="139"/>
      <c r="AT27" s="138"/>
      <c r="AU27" s="139">
        <v>10000</v>
      </c>
      <c r="AV27" s="138"/>
      <c r="AW27" s="151"/>
      <c r="AX27" s="138"/>
      <c r="AY27" s="149"/>
      <c r="AZ27" s="138"/>
      <c r="BA27" s="149"/>
      <c r="BB27" s="138"/>
      <c r="BC27" s="149">
        <v>10000</v>
      </c>
      <c r="BD27" s="138"/>
      <c r="BE27" s="149">
        <v>8000</v>
      </c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49"/>
      <c r="BV27" s="138"/>
      <c r="BW27" s="1"/>
    </row>
    <row r="28" spans="1:75">
      <c r="A28" s="21">
        <f t="shared" si="0"/>
        <v>44036</v>
      </c>
      <c r="B28" s="38">
        <v>217000</v>
      </c>
      <c r="C28" s="38"/>
      <c r="D28" s="39">
        <f t="shared" si="1"/>
        <v>217000</v>
      </c>
      <c r="E28" s="40">
        <v>18809</v>
      </c>
      <c r="F28" s="35">
        <v>1478</v>
      </c>
      <c r="G28" s="27"/>
      <c r="H28" s="28">
        <f t="shared" si="6"/>
        <v>20287</v>
      </c>
      <c r="I28" s="35"/>
      <c r="J28" s="41" t="str">
        <f t="shared" si="3"/>
        <v/>
      </c>
      <c r="K28" s="29"/>
      <c r="L28" s="5"/>
      <c r="M28" s="49" t="s">
        <v>33</v>
      </c>
      <c r="N28" s="50">
        <f>SUM(N20:N27)</f>
        <v>565800</v>
      </c>
      <c r="O28" s="7"/>
      <c r="P28" s="32">
        <f t="shared" si="4"/>
        <v>44036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44036</v>
      </c>
      <c r="AK28" s="35"/>
      <c r="AL28" s="138"/>
      <c r="AM28" s="139">
        <v>60000</v>
      </c>
      <c r="AN28" s="138"/>
      <c r="AO28" s="139">
        <v>12000</v>
      </c>
      <c r="AP28" s="138"/>
      <c r="AQ28" s="139">
        <v>17000</v>
      </c>
      <c r="AR28" s="138"/>
      <c r="AS28" s="139">
        <v>70000</v>
      </c>
      <c r="AT28" s="138"/>
      <c r="AU28" s="139"/>
      <c r="AV28" s="138"/>
      <c r="AW28" s="151">
        <v>11000</v>
      </c>
      <c r="AX28" s="138"/>
      <c r="AY28" s="149"/>
      <c r="AZ28" s="138"/>
      <c r="BA28" s="149">
        <v>10000</v>
      </c>
      <c r="BB28" s="138"/>
      <c r="BC28" s="149"/>
      <c r="BD28" s="138"/>
      <c r="BE28" s="149"/>
      <c r="BF28" s="138"/>
      <c r="BG28" s="138"/>
      <c r="BH28" s="138"/>
      <c r="BI28" s="138"/>
      <c r="BJ28" s="138"/>
      <c r="BK28" s="138">
        <v>37000</v>
      </c>
      <c r="BL28" s="138"/>
      <c r="BM28" s="138"/>
      <c r="BN28" s="138"/>
      <c r="BO28" s="138"/>
      <c r="BP28" s="138"/>
      <c r="BQ28" s="138"/>
      <c r="BR28" s="138"/>
      <c r="BS28" s="138"/>
      <c r="BT28" s="138"/>
      <c r="BU28" s="149"/>
      <c r="BV28" s="138"/>
      <c r="BW28" s="1"/>
    </row>
    <row r="29" spans="1:75">
      <c r="A29" s="21">
        <f t="shared" si="0"/>
        <v>44037</v>
      </c>
      <c r="B29" s="38">
        <v>161000</v>
      </c>
      <c r="C29" s="38"/>
      <c r="D29" s="39">
        <f t="shared" si="1"/>
        <v>161000</v>
      </c>
      <c r="E29" s="40">
        <v>13356</v>
      </c>
      <c r="F29" s="35">
        <f>274+928</f>
        <v>1202</v>
      </c>
      <c r="G29" s="27"/>
      <c r="H29" s="28">
        <f t="shared" si="6"/>
        <v>14558</v>
      </c>
      <c r="I29" s="35"/>
      <c r="J29" s="41" t="str">
        <f t="shared" si="3"/>
        <v/>
      </c>
      <c r="K29" s="29"/>
      <c r="L29" s="5"/>
      <c r="M29" s="51"/>
      <c r="N29" s="7"/>
      <c r="O29" s="7"/>
      <c r="P29" s="32">
        <f t="shared" si="4"/>
        <v>44037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44037</v>
      </c>
      <c r="AK29" s="35"/>
      <c r="AL29" s="138"/>
      <c r="AM29" s="139"/>
      <c r="AN29" s="138"/>
      <c r="AO29" s="139">
        <v>37000</v>
      </c>
      <c r="AP29" s="138"/>
      <c r="AQ29" s="139"/>
      <c r="AR29" s="138"/>
      <c r="AS29" s="139">
        <v>80000</v>
      </c>
      <c r="AT29" s="138"/>
      <c r="AU29" s="139">
        <v>36000</v>
      </c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>
        <v>8000</v>
      </c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49"/>
      <c r="BV29" s="138"/>
      <c r="BW29" s="1"/>
    </row>
    <row r="30" spans="1:75">
      <c r="A30" s="21">
        <f t="shared" si="0"/>
        <v>44038</v>
      </c>
      <c r="B30" s="38">
        <v>145000</v>
      </c>
      <c r="C30" s="38"/>
      <c r="D30" s="39">
        <f t="shared" si="1"/>
        <v>145000</v>
      </c>
      <c r="E30" s="40">
        <v>2640</v>
      </c>
      <c r="F30" s="35"/>
      <c r="G30" s="27"/>
      <c r="H30" s="28">
        <f t="shared" si="6"/>
        <v>2640</v>
      </c>
      <c r="I30" s="35"/>
      <c r="J30" s="41" t="str">
        <f t="shared" si="3"/>
        <v/>
      </c>
      <c r="K30" s="29"/>
      <c r="L30" s="5"/>
      <c r="M30" s="45"/>
      <c r="N30" s="7"/>
      <c r="O30" s="7"/>
      <c r="P30" s="32">
        <f t="shared" si="4"/>
        <v>44038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44038</v>
      </c>
      <c r="AK30" s="35"/>
      <c r="AL30" s="138"/>
      <c r="AM30" s="139"/>
      <c r="AN30" s="138"/>
      <c r="AO30" s="139">
        <v>35000</v>
      </c>
      <c r="AP30" s="138"/>
      <c r="AQ30" s="139">
        <v>25000</v>
      </c>
      <c r="AR30" s="138"/>
      <c r="AS30" s="139">
        <v>29000</v>
      </c>
      <c r="AT30" s="138">
        <v>50000</v>
      </c>
      <c r="AU30" s="139"/>
      <c r="AV30" s="138"/>
      <c r="AW30" s="151">
        <v>6000</v>
      </c>
      <c r="AX30" s="138"/>
      <c r="AY30" s="149"/>
      <c r="AZ30" s="138"/>
      <c r="BA30" s="149"/>
      <c r="BB30" s="138"/>
      <c r="BC30" s="149"/>
      <c r="BD30" s="138"/>
      <c r="BE30" s="149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49"/>
      <c r="BV30" s="138"/>
      <c r="BW30" s="1"/>
    </row>
    <row r="31" spans="1:75">
      <c r="A31" s="21">
        <f t="shared" si="0"/>
        <v>44039</v>
      </c>
      <c r="B31" s="38">
        <v>66000</v>
      </c>
      <c r="C31" s="38"/>
      <c r="D31" s="39">
        <f t="shared" si="1"/>
        <v>66000</v>
      </c>
      <c r="E31" s="40">
        <v>8166</v>
      </c>
      <c r="F31" s="35"/>
      <c r="G31" s="27"/>
      <c r="H31" s="28">
        <f t="shared" si="6"/>
        <v>8166</v>
      </c>
      <c r="I31" s="35"/>
      <c r="J31" s="41" t="str">
        <f t="shared" si="3"/>
        <v/>
      </c>
      <c r="K31" s="29"/>
      <c r="L31" s="5"/>
      <c r="M31" s="45"/>
      <c r="N31" s="52"/>
      <c r="O31" s="7"/>
      <c r="P31" s="32">
        <f t="shared" si="4"/>
        <v>44039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44039</v>
      </c>
      <c r="AK31" s="35"/>
      <c r="AL31" s="138"/>
      <c r="AM31" s="139">
        <v>23000</v>
      </c>
      <c r="AN31" s="138"/>
      <c r="AO31" s="139">
        <v>3000</v>
      </c>
      <c r="AP31" s="138"/>
      <c r="AQ31" s="139"/>
      <c r="AR31" s="138"/>
      <c r="AS31" s="139">
        <v>29000</v>
      </c>
      <c r="AT31" s="138"/>
      <c r="AU31" s="139">
        <v>11000</v>
      </c>
      <c r="AV31" s="138"/>
      <c r="AW31" s="151"/>
      <c r="AX31" s="138"/>
      <c r="AY31" s="149"/>
      <c r="AZ31" s="138"/>
      <c r="BA31" s="149"/>
      <c r="BB31" s="138"/>
      <c r="BC31" s="149"/>
      <c r="BD31" s="138"/>
      <c r="BE31" s="149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49"/>
      <c r="BV31" s="138"/>
      <c r="BW31" s="1"/>
    </row>
    <row r="32" spans="1:75">
      <c r="A32" s="21">
        <f t="shared" si="0"/>
        <v>44040</v>
      </c>
      <c r="B32" s="38">
        <v>2000</v>
      </c>
      <c r="C32" s="38"/>
      <c r="D32" s="39">
        <f t="shared" si="1"/>
        <v>2000</v>
      </c>
      <c r="E32" s="40"/>
      <c r="F32" s="35"/>
      <c r="G32" s="27"/>
      <c r="H32" s="28">
        <f t="shared" si="6"/>
        <v>0</v>
      </c>
      <c r="I32" s="35"/>
      <c r="J32" s="41" t="str">
        <f t="shared" si="3"/>
        <v/>
      </c>
      <c r="K32" s="29"/>
      <c r="L32" s="5"/>
      <c r="M32" s="53" t="s">
        <v>34</v>
      </c>
      <c r="N32" s="38">
        <f>D37</f>
        <v>3328300</v>
      </c>
      <c r="O32" s="6"/>
      <c r="P32" s="32">
        <f t="shared" si="4"/>
        <v>44040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44040</v>
      </c>
      <c r="AK32" s="35"/>
      <c r="AL32" s="138"/>
      <c r="AM32" s="139"/>
      <c r="AN32" s="138"/>
      <c r="AO32" s="139"/>
      <c r="AP32" s="138"/>
      <c r="AQ32" s="139">
        <v>2000</v>
      </c>
      <c r="AR32" s="138"/>
      <c r="AS32" s="139"/>
      <c r="AT32" s="138"/>
      <c r="AU32" s="139"/>
      <c r="AV32" s="138"/>
      <c r="AW32" s="151"/>
      <c r="AX32" s="138"/>
      <c r="AY32" s="149"/>
      <c r="AZ32" s="138"/>
      <c r="BA32" s="149"/>
      <c r="BB32" s="138"/>
      <c r="BC32" s="149"/>
      <c r="BD32" s="138"/>
      <c r="BE32" s="149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49"/>
      <c r="BV32" s="138"/>
      <c r="BW32" s="1"/>
    </row>
    <row r="33" spans="1:75">
      <c r="A33" s="21">
        <f t="shared" si="0"/>
        <v>44041</v>
      </c>
      <c r="B33" s="38">
        <v>70000</v>
      </c>
      <c r="C33" s="38"/>
      <c r="D33" s="39">
        <f t="shared" si="1"/>
        <v>70000</v>
      </c>
      <c r="E33" s="40"/>
      <c r="F33" s="35"/>
      <c r="G33" s="27"/>
      <c r="H33" s="28">
        <f t="shared" si="6"/>
        <v>0</v>
      </c>
      <c r="I33" s="35"/>
      <c r="J33" s="41" t="str">
        <f t="shared" si="3"/>
        <v/>
      </c>
      <c r="K33" s="29"/>
      <c r="L33" s="5"/>
      <c r="M33" s="53" t="s">
        <v>35</v>
      </c>
      <c r="N33" s="38">
        <f>H37</f>
        <v>407463</v>
      </c>
      <c r="O33" s="6"/>
      <c r="P33" s="32">
        <f>IF($A$33="","",$A$33)</f>
        <v>44041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44041</v>
      </c>
      <c r="AK33" s="56"/>
      <c r="AL33" s="138"/>
      <c r="AM33" s="139">
        <v>16000</v>
      </c>
      <c r="AN33" s="138"/>
      <c r="AO33" s="139">
        <v>42000</v>
      </c>
      <c r="AP33" s="138"/>
      <c r="AQ33" s="139">
        <v>12000</v>
      </c>
      <c r="AR33" s="138"/>
      <c r="AS33" s="139"/>
      <c r="AT33" s="138"/>
      <c r="AU33" s="139"/>
      <c r="AV33" s="138"/>
      <c r="AW33" s="151"/>
      <c r="AX33" s="138"/>
      <c r="AY33" s="149"/>
      <c r="AZ33" s="138"/>
      <c r="BA33" s="149"/>
      <c r="BB33" s="138"/>
      <c r="BC33" s="149"/>
      <c r="BD33" s="138"/>
      <c r="BE33" s="149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49"/>
      <c r="BV33" s="138"/>
      <c r="BW33" s="1"/>
    </row>
    <row r="34" spans="1:75">
      <c r="A34" s="21">
        <f t="shared" si="0"/>
        <v>44042</v>
      </c>
      <c r="B34" s="38">
        <v>5000</v>
      </c>
      <c r="C34" s="38"/>
      <c r="D34" s="39">
        <f t="shared" si="1"/>
        <v>5000</v>
      </c>
      <c r="E34" s="40">
        <v>4307</v>
      </c>
      <c r="F34" s="35"/>
      <c r="G34" s="27"/>
      <c r="H34" s="28">
        <f t="shared" si="6"/>
        <v>4307</v>
      </c>
      <c r="I34" s="35"/>
      <c r="J34" s="41" t="str">
        <f t="shared" si="3"/>
        <v/>
      </c>
      <c r="K34" s="29"/>
      <c r="L34" s="5"/>
      <c r="M34" s="53" t="s">
        <v>36</v>
      </c>
      <c r="N34" s="38">
        <f>N28</f>
        <v>565800</v>
      </c>
      <c r="O34" s="6"/>
      <c r="P34" s="32">
        <f>IF($A$34="","",$A$34)</f>
        <v>44042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44042</v>
      </c>
      <c r="AK34" s="137"/>
      <c r="AL34" s="154"/>
      <c r="AM34" s="155"/>
      <c r="AN34" s="154"/>
      <c r="AO34" s="155">
        <v>5000</v>
      </c>
      <c r="AP34" s="154"/>
      <c r="AQ34" s="155"/>
      <c r="AR34" s="154"/>
      <c r="AS34" s="155"/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T34" s="154"/>
      <c r="BU34" s="157"/>
      <c r="BV34" s="154"/>
      <c r="BW34" s="1"/>
    </row>
    <row r="35" spans="1:75" ht="21" thickBot="1">
      <c r="A35" s="21">
        <f t="shared" si="0"/>
        <v>44043</v>
      </c>
      <c r="B35" s="38">
        <v>60000</v>
      </c>
      <c r="C35" s="38">
        <v>12500</v>
      </c>
      <c r="D35" s="39">
        <f t="shared" si="1"/>
        <v>72500</v>
      </c>
      <c r="E35" s="40"/>
      <c r="F35" s="35"/>
      <c r="G35" s="27"/>
      <c r="H35" s="28">
        <f t="shared" si="6"/>
        <v>0</v>
      </c>
      <c r="I35" s="57"/>
      <c r="J35" s="58" t="str">
        <f t="shared" si="3"/>
        <v/>
      </c>
      <c r="K35" s="59"/>
      <c r="L35" s="5"/>
      <c r="M35" s="60" t="s">
        <v>37</v>
      </c>
      <c r="N35" s="61">
        <f>IFERROR(N32-N33-N34, "")</f>
        <v>2355037</v>
      </c>
      <c r="O35" s="6"/>
      <c r="P35" s="32">
        <f>IF($A$35="","",$A$35)</f>
        <v>44043</v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>
        <f>IF($A$35="","",$A$35)</f>
        <v>44043</v>
      </c>
      <c r="AK35" s="115">
        <v>35000</v>
      </c>
      <c r="AL35" s="158"/>
      <c r="AM35" s="147">
        <v>4500</v>
      </c>
      <c r="AN35" s="158"/>
      <c r="AO35" s="147">
        <v>9000</v>
      </c>
      <c r="AP35" s="158"/>
      <c r="AQ35" s="147">
        <v>4000</v>
      </c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  <c r="BQ35" s="158"/>
      <c r="BR35" s="158"/>
      <c r="BS35" s="154">
        <v>20000</v>
      </c>
      <c r="BT35" s="158"/>
      <c r="BU35" s="147"/>
      <c r="BV35" s="158"/>
      <c r="BW35" s="1"/>
    </row>
    <row r="36" spans="1:75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>SUM(AK5:AK35)</f>
        <v>137000</v>
      </c>
      <c r="AL36" s="115">
        <f>SUM(AL5:AL35)</f>
        <v>0</v>
      </c>
      <c r="AM36" s="115">
        <f t="shared" ref="AM36:BV36" si="7">SUM(AM5:AM35)</f>
        <v>103500</v>
      </c>
      <c r="AN36" s="115">
        <f t="shared" si="7"/>
        <v>0</v>
      </c>
      <c r="AO36" s="115">
        <f t="shared" si="7"/>
        <v>707000</v>
      </c>
      <c r="AP36" s="115">
        <f t="shared" si="7"/>
        <v>20000</v>
      </c>
      <c r="AQ36" s="115">
        <f t="shared" si="7"/>
        <v>325000</v>
      </c>
      <c r="AR36" s="115">
        <f t="shared" si="7"/>
        <v>40000</v>
      </c>
      <c r="AS36" s="115">
        <f t="shared" si="7"/>
        <v>842000</v>
      </c>
      <c r="AT36" s="115">
        <f t="shared" si="7"/>
        <v>50000</v>
      </c>
      <c r="AU36" s="115">
        <f t="shared" si="7"/>
        <v>137000</v>
      </c>
      <c r="AV36" s="115">
        <f t="shared" si="7"/>
        <v>0</v>
      </c>
      <c r="AW36" s="115">
        <f t="shared" si="7"/>
        <v>77500</v>
      </c>
      <c r="AX36" s="115">
        <f t="shared" si="7"/>
        <v>0</v>
      </c>
      <c r="AY36" s="115">
        <f t="shared" si="7"/>
        <v>23000</v>
      </c>
      <c r="AZ36" s="115">
        <f t="shared" si="7"/>
        <v>0</v>
      </c>
      <c r="BA36" s="115">
        <f t="shared" si="7"/>
        <v>64000</v>
      </c>
      <c r="BB36" s="115">
        <f t="shared" si="7"/>
        <v>0</v>
      </c>
      <c r="BC36" s="115">
        <f t="shared" si="7"/>
        <v>110000</v>
      </c>
      <c r="BD36" s="115">
        <f t="shared" si="7"/>
        <v>0</v>
      </c>
      <c r="BE36" s="115">
        <f t="shared" si="7"/>
        <v>60000</v>
      </c>
      <c r="BF36" s="115">
        <f t="shared" si="7"/>
        <v>25000</v>
      </c>
      <c r="BG36" s="115">
        <f t="shared" si="7"/>
        <v>4000</v>
      </c>
      <c r="BH36" s="115">
        <f t="shared" si="7"/>
        <v>8000</v>
      </c>
      <c r="BI36" s="115">
        <f t="shared" si="7"/>
        <v>1000</v>
      </c>
      <c r="BJ36" s="115">
        <f t="shared" si="7"/>
        <v>113000</v>
      </c>
      <c r="BK36" s="115">
        <f t="shared" si="7"/>
        <v>117000</v>
      </c>
      <c r="BL36" s="115">
        <f t="shared" si="7"/>
        <v>18000</v>
      </c>
      <c r="BM36" s="115">
        <f t="shared" si="7"/>
        <v>8000</v>
      </c>
      <c r="BN36" s="115">
        <f t="shared" si="7"/>
        <v>33000</v>
      </c>
      <c r="BO36" s="115">
        <f t="shared" si="7"/>
        <v>16000</v>
      </c>
      <c r="BP36" s="115">
        <f t="shared" si="7"/>
        <v>15000</v>
      </c>
      <c r="BQ36" s="115">
        <f t="shared" si="7"/>
        <v>10000</v>
      </c>
      <c r="BR36" s="115">
        <f t="shared" si="7"/>
        <v>16000</v>
      </c>
      <c r="BS36" s="115">
        <f>SUM(BS5:BS35)</f>
        <v>20000</v>
      </c>
      <c r="BT36" s="115">
        <f t="shared" si="7"/>
        <v>15000</v>
      </c>
      <c r="BU36" s="115">
        <f t="shared" si="7"/>
        <v>40000</v>
      </c>
      <c r="BV36" s="115">
        <f t="shared" si="7"/>
        <v>0</v>
      </c>
      <c r="BW36" s="1"/>
    </row>
    <row r="37" spans="1:75" ht="22" thickTop="1" thickBot="1">
      <c r="A37" s="81" t="s">
        <v>33</v>
      </c>
      <c r="B37" s="82">
        <f t="shared" ref="B37:I37" si="8">SUM(B5:B35)</f>
        <v>3139800</v>
      </c>
      <c r="C37" s="82">
        <f t="shared" si="8"/>
        <v>188500</v>
      </c>
      <c r="D37" s="82">
        <f t="shared" si="8"/>
        <v>3328300</v>
      </c>
      <c r="E37" s="83">
        <f t="shared" si="8"/>
        <v>390897</v>
      </c>
      <c r="F37" s="84">
        <f t="shared" si="8"/>
        <v>25278</v>
      </c>
      <c r="G37" s="84">
        <f t="shared" si="8"/>
        <v>3000</v>
      </c>
      <c r="H37" s="85">
        <f t="shared" si="8"/>
        <v>407463</v>
      </c>
      <c r="I37" s="86">
        <f t="shared" si="8"/>
        <v>0</v>
      </c>
      <c r="J37" s="86" t="str">
        <f>IFERROR(32/I37, "")</f>
        <v/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U37" s="1"/>
      <c r="BV37" s="1"/>
      <c r="BW37" s="1"/>
    </row>
  </sheetData>
  <mergeCells count="56">
    <mergeCell ref="BI3:BI4"/>
    <mergeCell ref="BJ3:BJ4"/>
    <mergeCell ref="BF3:BF4"/>
    <mergeCell ref="BU3:BU4"/>
    <mergeCell ref="BV3:BV4"/>
    <mergeCell ref="BP3:BP4"/>
    <mergeCell ref="BO3:BO4"/>
    <mergeCell ref="BQ3:BQ4"/>
    <mergeCell ref="BH3:BH4"/>
    <mergeCell ref="BS3:BS4"/>
    <mergeCell ref="M19:N19"/>
    <mergeCell ref="N20:N21"/>
    <mergeCell ref="P36:P37"/>
    <mergeCell ref="BT3:BT4"/>
    <mergeCell ref="BM3:BM4"/>
    <mergeCell ref="BK3:BK4"/>
    <mergeCell ref="BG3:BG4"/>
    <mergeCell ref="AZ3:AZ4"/>
    <mergeCell ref="BA3:BA4"/>
    <mergeCell ref="BB3:BB4"/>
    <mergeCell ref="BC3:BC4"/>
    <mergeCell ref="BD3:BD4"/>
    <mergeCell ref="BE3:BE4"/>
    <mergeCell ref="AT3:AT4"/>
    <mergeCell ref="AU3:AU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AS3:AS4"/>
    <mergeCell ref="AC3:AE3"/>
    <mergeCell ref="AF3:AH3"/>
    <mergeCell ref="AJ3:AJ4"/>
    <mergeCell ref="AK3:AK4"/>
    <mergeCell ref="AL3:AL4"/>
    <mergeCell ref="I3:I4"/>
    <mergeCell ref="BL3:BL4"/>
    <mergeCell ref="BR3:BR4"/>
    <mergeCell ref="BN3:BN4"/>
    <mergeCell ref="A1:A2"/>
    <mergeCell ref="B1:B2"/>
    <mergeCell ref="A3:A4"/>
    <mergeCell ref="B3:D3"/>
    <mergeCell ref="E3:H3"/>
    <mergeCell ref="AM3:AM4"/>
    <mergeCell ref="J3:J4"/>
    <mergeCell ref="P3:P4"/>
    <mergeCell ref="Q3:S3"/>
    <mergeCell ref="T3:V3"/>
    <mergeCell ref="W3:Y3"/>
    <mergeCell ref="Z3:AB3"/>
  </mergeCells>
  <phoneticPr fontId="7"/>
  <dataValidations count="6">
    <dataValidation type="list" allowBlank="1" showErrorMessage="1" sqref="Q5:Q6 T5:T35 W5:W35 Z5:Z35 AC5:AC35 AF5:AF35" xr:uid="{55B1A526-F3C6-4A46-8A14-ACA48D52CD00}">
      <formula1>入時間</formula1>
    </dataValidation>
    <dataValidation type="list" allowBlank="1" showErrorMessage="1" sqref="R5:R35 U5:U35 X5:X35 AA5:AA35 AD5:AD35 AG5:AG35" xr:uid="{9143A82B-A12E-9540-997F-28E70C59663F}">
      <formula1>出時間</formula1>
    </dataValidation>
    <dataValidation type="list" allowBlank="1" showErrorMessage="1" sqref="Q3:AH3 AK3:AK4 AM3:AM4 AO3:AO4 BE3:BE4 BA3:BA4 AS3:AS4 AY3:AY4 BC3:BC4 AQ3:AQ4 AU3:AU4 AW3:AW4 BM3:BM4 BL3 BN3:BS3 BT3:BU4 BG3:BG4 BI3:BK4 BH3" xr:uid="{EA237189-0377-2D4F-9C42-57F52AF2A2BB}">
      <formula1>名前</formula1>
    </dataValidation>
    <dataValidation type="list" allowBlank="1" showErrorMessage="1" sqref="Q7:Q35" xr:uid="{F710786D-4E05-0747-A16E-73DF4ECB0A4E}">
      <formula1>#REF!</formula1>
    </dataValidation>
    <dataValidation type="list" allowBlank="1" showErrorMessage="1" sqref="S5:S35 V5:V35 Y5:Y35 AB5:AB35 AE5:AE35 AH5:AH35" xr:uid="{5C9F595D-273E-4B44-807B-255E002AAB90}">
      <formula1>"　,済"</formula1>
    </dataValidation>
    <dataValidation allowBlank="1" showErrorMessage="1" sqref="AL3:AL4 BB3:BB4 AN3:AN4 AV3:AV4 AT3:AT4 AX3:AX4 AZ3:AZ4 BD3:BD4 BV3:BV4 AP3:AP4 AR3:AR4 BF3:BF4" xr:uid="{E07DD110-2060-AD4E-B125-D4A2BFF3EF3B}"/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0AA6-1247-464F-A131-09E804AC219D}">
  <dimension ref="A1:BQ57"/>
  <sheetViews>
    <sheetView topLeftCell="AG1" zoomScale="82" workbookViewId="0">
      <selection activeCell="AO23" sqref="AO23"/>
    </sheetView>
  </sheetViews>
  <sheetFormatPr baseColWidth="10" defaultRowHeight="20"/>
  <cols>
    <col min="1" max="1" width="14.85546875" customWidth="1"/>
    <col min="59" max="59" width="13.85546875" style="1" bestFit="1" customWidth="1"/>
    <col min="60" max="60" width="12.140625" style="1" customWidth="1"/>
    <col min="61" max="66" width="13.85546875" style="1" customWidth="1"/>
  </cols>
  <sheetData>
    <row r="1" spans="1:69">
      <c r="A1" s="498">
        <v>2020</v>
      </c>
      <c r="B1" s="500">
        <v>8</v>
      </c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O1" s="1"/>
      <c r="BP1" s="1"/>
      <c r="BQ1" s="1"/>
    </row>
    <row r="2" spans="1:69" ht="21" thickBot="1">
      <c r="A2" s="499"/>
      <c r="B2" s="499"/>
      <c r="C2" s="1"/>
      <c r="D2" s="1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K2" s="182"/>
      <c r="BL2" s="182"/>
      <c r="BM2" s="182"/>
      <c r="BO2" s="1"/>
      <c r="BP2" s="1"/>
      <c r="BQ2" s="1"/>
    </row>
    <row r="3" spans="1:69" ht="21" thickBot="1">
      <c r="A3" s="501" t="s">
        <v>0</v>
      </c>
      <c r="B3" s="503"/>
      <c r="C3" s="504"/>
      <c r="D3" s="505"/>
      <c r="E3" s="506" t="s">
        <v>2</v>
      </c>
      <c r="F3" s="504"/>
      <c r="G3" s="504"/>
      <c r="H3" s="507"/>
      <c r="I3" s="508" t="s">
        <v>3</v>
      </c>
      <c r="J3" s="510" t="s">
        <v>4</v>
      </c>
      <c r="K3" s="4"/>
      <c r="L3" s="5"/>
      <c r="M3" s="6"/>
      <c r="N3" s="7"/>
      <c r="O3" s="7"/>
      <c r="P3" s="553" t="s">
        <v>5</v>
      </c>
      <c r="Q3" s="555"/>
      <c r="R3" s="504"/>
      <c r="S3" s="507"/>
      <c r="T3" s="555"/>
      <c r="U3" s="504"/>
      <c r="V3" s="507"/>
      <c r="W3" s="555"/>
      <c r="X3" s="504"/>
      <c r="Y3" s="507"/>
      <c r="Z3" s="555"/>
      <c r="AA3" s="504"/>
      <c r="AB3" s="507"/>
      <c r="AC3" s="555"/>
      <c r="AD3" s="504"/>
      <c r="AE3" s="507"/>
      <c r="AF3" s="555"/>
      <c r="AG3" s="504"/>
      <c r="AH3" s="507"/>
      <c r="AI3" s="8"/>
      <c r="AJ3" s="512" t="s">
        <v>8</v>
      </c>
      <c r="AK3" s="514" t="s">
        <v>7</v>
      </c>
      <c r="AL3" s="494">
        <v>0.3</v>
      </c>
      <c r="AM3" s="514" t="s">
        <v>49</v>
      </c>
      <c r="AN3" s="494">
        <v>0.3</v>
      </c>
      <c r="AO3" s="514" t="s">
        <v>10</v>
      </c>
      <c r="AP3" s="494">
        <v>0.3</v>
      </c>
      <c r="AQ3" s="514" t="s">
        <v>50</v>
      </c>
      <c r="AR3" s="494">
        <v>0.3</v>
      </c>
      <c r="AS3" s="514" t="s">
        <v>77</v>
      </c>
      <c r="AT3" s="494">
        <v>0.3</v>
      </c>
      <c r="AU3" s="492" t="s">
        <v>139</v>
      </c>
      <c r="AV3" s="494">
        <v>0.3</v>
      </c>
      <c r="AW3" s="496" t="s">
        <v>199</v>
      </c>
      <c r="AX3" s="494">
        <v>0.3</v>
      </c>
      <c r="AY3" s="527" t="s">
        <v>188</v>
      </c>
      <c r="AZ3" s="494">
        <v>0.3</v>
      </c>
      <c r="BA3" s="492" t="s">
        <v>74</v>
      </c>
      <c r="BB3" s="494">
        <v>0.3</v>
      </c>
      <c r="BC3" s="496" t="s">
        <v>213</v>
      </c>
      <c r="BD3" s="494">
        <v>0.3</v>
      </c>
      <c r="BE3" s="496" t="s">
        <v>209</v>
      </c>
      <c r="BF3" s="523">
        <v>0.3</v>
      </c>
      <c r="BG3" s="496" t="s">
        <v>203</v>
      </c>
      <c r="BH3" s="520" t="s">
        <v>184</v>
      </c>
      <c r="BI3" s="520" t="s">
        <v>210</v>
      </c>
      <c r="BJ3" s="520" t="s">
        <v>207</v>
      </c>
      <c r="BK3" s="525" t="s">
        <v>120</v>
      </c>
      <c r="BL3" s="520" t="s">
        <v>215</v>
      </c>
      <c r="BM3" s="522" t="s">
        <v>217</v>
      </c>
      <c r="BN3" s="520" t="s">
        <v>197</v>
      </c>
      <c r="BO3" s="496" t="s">
        <v>154</v>
      </c>
      <c r="BP3" s="494">
        <v>0.3</v>
      </c>
      <c r="BQ3" s="1"/>
    </row>
    <row r="4" spans="1:69" ht="21" thickBot="1">
      <c r="A4" s="502"/>
      <c r="B4" s="9" t="s">
        <v>176</v>
      </c>
      <c r="C4" s="9" t="s">
        <v>13</v>
      </c>
      <c r="D4" s="10" t="s">
        <v>14</v>
      </c>
      <c r="E4" s="11" t="s">
        <v>15</v>
      </c>
      <c r="F4" s="12" t="s">
        <v>16</v>
      </c>
      <c r="G4" s="13" t="s">
        <v>5</v>
      </c>
      <c r="H4" s="14" t="s">
        <v>17</v>
      </c>
      <c r="I4" s="509"/>
      <c r="J4" s="511"/>
      <c r="K4" s="15" t="s">
        <v>18</v>
      </c>
      <c r="L4" s="5"/>
      <c r="M4" s="6"/>
      <c r="N4" s="7"/>
      <c r="O4" s="7"/>
      <c r="P4" s="554"/>
      <c r="Q4" s="16" t="s">
        <v>19</v>
      </c>
      <c r="R4" s="17" t="s">
        <v>20</v>
      </c>
      <c r="S4" s="18" t="s">
        <v>21</v>
      </c>
      <c r="T4" s="19" t="s">
        <v>19</v>
      </c>
      <c r="U4" s="17" t="s">
        <v>20</v>
      </c>
      <c r="V4" s="18" t="s">
        <v>21</v>
      </c>
      <c r="W4" s="16" t="s">
        <v>19</v>
      </c>
      <c r="X4" s="17" t="s">
        <v>20</v>
      </c>
      <c r="Y4" s="18" t="s">
        <v>21</v>
      </c>
      <c r="Z4" s="16" t="s">
        <v>19</v>
      </c>
      <c r="AA4" s="17" t="s">
        <v>20</v>
      </c>
      <c r="AB4" s="18" t="s">
        <v>21</v>
      </c>
      <c r="AC4" s="16" t="s">
        <v>19</v>
      </c>
      <c r="AD4" s="17" t="s">
        <v>20</v>
      </c>
      <c r="AE4" s="18" t="s">
        <v>21</v>
      </c>
      <c r="AF4" s="16" t="s">
        <v>19</v>
      </c>
      <c r="AG4" s="17" t="s">
        <v>20</v>
      </c>
      <c r="AH4" s="18" t="s">
        <v>21</v>
      </c>
      <c r="AI4" s="20"/>
      <c r="AJ4" s="513"/>
      <c r="AK4" s="513"/>
      <c r="AL4" s="495"/>
      <c r="AM4" s="513"/>
      <c r="AN4" s="495"/>
      <c r="AO4" s="515"/>
      <c r="AP4" s="495"/>
      <c r="AQ4" s="515"/>
      <c r="AR4" s="495"/>
      <c r="AS4" s="513"/>
      <c r="AT4" s="495"/>
      <c r="AU4" s="493"/>
      <c r="AV4" s="495"/>
      <c r="AW4" s="497"/>
      <c r="AX4" s="495"/>
      <c r="AY4" s="528"/>
      <c r="AZ4" s="495"/>
      <c r="BA4" s="493"/>
      <c r="BB4" s="495"/>
      <c r="BC4" s="497"/>
      <c r="BD4" s="495"/>
      <c r="BE4" s="497"/>
      <c r="BF4" s="524"/>
      <c r="BG4" s="497"/>
      <c r="BH4" s="521"/>
      <c r="BI4" s="521"/>
      <c r="BJ4" s="521"/>
      <c r="BK4" s="526"/>
      <c r="BL4" s="521"/>
      <c r="BM4" s="522"/>
      <c r="BN4" s="521"/>
      <c r="BO4" s="497"/>
      <c r="BP4" s="495"/>
      <c r="BQ4" s="1"/>
    </row>
    <row r="5" spans="1:69" ht="21" thickTop="1">
      <c r="A5" s="21">
        <f t="shared" ref="A5:A35" si="0">IF(DAY(DATE($A$1,$B$1,ROW()-4))=ROW()-4,DATE($A$1,$B$1,ROW()-4),"")</f>
        <v>44044</v>
      </c>
      <c r="B5" s="23">
        <v>233000</v>
      </c>
      <c r="C5" s="23">
        <v>37000</v>
      </c>
      <c r="D5" s="24">
        <f t="shared" ref="D5:D35" si="1">B5+C5</f>
        <v>270000</v>
      </c>
      <c r="E5" s="25">
        <f>21307+11061</f>
        <v>32368</v>
      </c>
      <c r="F5" s="26"/>
      <c r="G5" s="27"/>
      <c r="H5" s="28">
        <f t="shared" ref="H5:H23" si="2">E5+F5+G5</f>
        <v>32368</v>
      </c>
      <c r="I5" s="27">
        <v>100000</v>
      </c>
      <c r="J5" s="28">
        <f t="shared" ref="J5:J35" si="3">IFERROR(B5/I5, "")</f>
        <v>2.33</v>
      </c>
      <c r="K5" s="29"/>
      <c r="L5" s="5"/>
      <c r="M5" s="30" t="s">
        <v>22</v>
      </c>
      <c r="N5" s="31" t="s">
        <v>23</v>
      </c>
      <c r="O5" s="7"/>
      <c r="P5" s="32">
        <f t="shared" ref="P5:P32" si="4">A5</f>
        <v>44044</v>
      </c>
      <c r="Q5" s="110"/>
      <c r="R5" s="33"/>
      <c r="S5" s="112"/>
      <c r="T5" s="111"/>
      <c r="U5" s="33"/>
      <c r="V5" s="113"/>
      <c r="W5" s="111"/>
      <c r="X5" s="33"/>
      <c r="Y5" s="113"/>
      <c r="Z5" s="111"/>
      <c r="AA5" s="33"/>
      <c r="AB5" s="113"/>
      <c r="AC5" s="111"/>
      <c r="AD5" s="33"/>
      <c r="AE5" s="113"/>
      <c r="AF5" s="111"/>
      <c r="AG5" s="33"/>
      <c r="AH5" s="113"/>
      <c r="AI5" s="20"/>
      <c r="AJ5" s="34">
        <f t="shared" ref="AJ5:AJ32" si="5">P5</f>
        <v>44044</v>
      </c>
      <c r="AK5" s="35"/>
      <c r="AL5" s="138"/>
      <c r="AM5" s="139"/>
      <c r="AN5" s="138"/>
      <c r="AO5" s="190">
        <v>63000</v>
      </c>
      <c r="AP5" s="138"/>
      <c r="AQ5" s="141">
        <v>90000</v>
      </c>
      <c r="AR5" s="138"/>
      <c r="AS5" s="142"/>
      <c r="AT5" s="138"/>
      <c r="AU5" s="143">
        <v>32000</v>
      </c>
      <c r="AV5" s="138"/>
      <c r="AW5" s="144">
        <v>20000</v>
      </c>
      <c r="AX5" s="138"/>
      <c r="AY5" s="145">
        <v>28000</v>
      </c>
      <c r="AZ5" s="138"/>
      <c r="BA5" s="146">
        <v>1000</v>
      </c>
      <c r="BB5" s="138"/>
      <c r="BC5" s="144"/>
      <c r="BD5" s="138"/>
      <c r="BE5" s="144">
        <v>11000</v>
      </c>
      <c r="BF5" s="160"/>
      <c r="BG5" s="158"/>
      <c r="BH5" s="172"/>
      <c r="BI5" s="172"/>
      <c r="BJ5" s="172"/>
      <c r="BK5" s="172">
        <v>25000</v>
      </c>
      <c r="BL5" s="172"/>
      <c r="BM5" s="172"/>
      <c r="BN5" s="172"/>
      <c r="BO5" s="161"/>
      <c r="BP5" s="138"/>
      <c r="BQ5" s="1"/>
    </row>
    <row r="6" spans="1:69">
      <c r="A6" s="21">
        <f t="shared" si="0"/>
        <v>44045</v>
      </c>
      <c r="B6" s="38">
        <v>86000</v>
      </c>
      <c r="C6" s="23">
        <v>20000</v>
      </c>
      <c r="D6" s="39">
        <f t="shared" si="1"/>
        <v>106000</v>
      </c>
      <c r="E6" s="40"/>
      <c r="F6" s="35"/>
      <c r="G6" s="27"/>
      <c r="H6" s="28">
        <f t="shared" si="2"/>
        <v>0</v>
      </c>
      <c r="I6" s="35"/>
      <c r="J6" s="41" t="str">
        <f t="shared" si="3"/>
        <v/>
      </c>
      <c r="K6" s="29"/>
      <c r="L6" s="5"/>
      <c r="M6" s="30" t="s">
        <v>24</v>
      </c>
      <c r="N6" s="31" t="s">
        <v>25</v>
      </c>
      <c r="O6" s="7"/>
      <c r="P6" s="32">
        <f t="shared" si="4"/>
        <v>44045</v>
      </c>
      <c r="Q6" s="111"/>
      <c r="R6" s="33"/>
      <c r="S6" s="113"/>
      <c r="T6" s="111"/>
      <c r="U6" s="33"/>
      <c r="V6" s="113"/>
      <c r="W6" s="111"/>
      <c r="X6" s="33"/>
      <c r="Y6" s="113"/>
      <c r="Z6" s="111"/>
      <c r="AA6" s="33"/>
      <c r="AB6" s="113"/>
      <c r="AC6" s="111"/>
      <c r="AD6" s="33"/>
      <c r="AE6" s="113"/>
      <c r="AF6" s="111"/>
      <c r="AG6" s="33"/>
      <c r="AH6" s="113"/>
      <c r="AI6" s="20"/>
      <c r="AJ6" s="34">
        <f t="shared" si="5"/>
        <v>44045</v>
      </c>
      <c r="AK6" s="35"/>
      <c r="AL6" s="138"/>
      <c r="AM6" s="139"/>
      <c r="AN6" s="138"/>
      <c r="AO6" s="143">
        <v>16000</v>
      </c>
      <c r="AP6" s="138"/>
      <c r="AQ6" s="147"/>
      <c r="AR6" s="138"/>
      <c r="AS6" s="142">
        <v>36000</v>
      </c>
      <c r="AT6" s="138"/>
      <c r="AU6" s="143">
        <v>20000</v>
      </c>
      <c r="AV6" s="138"/>
      <c r="AW6" s="147"/>
      <c r="AX6" s="138"/>
      <c r="AY6" s="145"/>
      <c r="AZ6" s="138"/>
      <c r="BA6" s="146">
        <v>30000</v>
      </c>
      <c r="BB6" s="138"/>
      <c r="BC6" s="144"/>
      <c r="BD6" s="138"/>
      <c r="BE6" s="144"/>
      <c r="BF6" s="160"/>
      <c r="BG6" s="168"/>
      <c r="BH6" s="168"/>
      <c r="BI6" s="158"/>
      <c r="BJ6" s="172"/>
      <c r="BK6" s="172"/>
      <c r="BL6" s="172"/>
      <c r="BM6" s="172"/>
      <c r="BN6" s="172"/>
      <c r="BO6" s="161">
        <v>4000</v>
      </c>
      <c r="BP6" s="138"/>
      <c r="BQ6" s="1"/>
    </row>
    <row r="7" spans="1:69">
      <c r="A7" s="21">
        <f t="shared" si="0"/>
        <v>44046</v>
      </c>
      <c r="B7" s="38">
        <v>61000</v>
      </c>
      <c r="C7" s="23"/>
      <c r="D7" s="39">
        <f t="shared" si="1"/>
        <v>61000</v>
      </c>
      <c r="E7" s="40">
        <v>28167</v>
      </c>
      <c r="F7" s="35"/>
      <c r="G7" s="27"/>
      <c r="H7" s="28">
        <f t="shared" si="2"/>
        <v>28167</v>
      </c>
      <c r="I7" s="35"/>
      <c r="J7" s="41" t="str">
        <f t="shared" si="3"/>
        <v/>
      </c>
      <c r="K7" s="29"/>
      <c r="L7" s="5"/>
      <c r="M7" s="6"/>
      <c r="N7" s="7"/>
      <c r="O7" s="7"/>
      <c r="P7" s="32">
        <f t="shared" si="4"/>
        <v>44046</v>
      </c>
      <c r="Q7" s="42"/>
      <c r="R7" s="33"/>
      <c r="S7" s="113"/>
      <c r="T7" s="111"/>
      <c r="U7" s="33"/>
      <c r="V7" s="113"/>
      <c r="W7" s="111"/>
      <c r="X7" s="33"/>
      <c r="Y7" s="113"/>
      <c r="Z7" s="111"/>
      <c r="AA7" s="33"/>
      <c r="AB7" s="113"/>
      <c r="AC7" s="111"/>
      <c r="AD7" s="33"/>
      <c r="AE7" s="113"/>
      <c r="AF7" s="111"/>
      <c r="AG7" s="33"/>
      <c r="AH7" s="113"/>
      <c r="AI7" s="20"/>
      <c r="AJ7" s="34">
        <f t="shared" si="5"/>
        <v>44046</v>
      </c>
      <c r="AK7" s="35"/>
      <c r="AL7" s="138"/>
      <c r="AM7" s="139"/>
      <c r="AN7" s="138"/>
      <c r="AO7" s="143">
        <v>29000</v>
      </c>
      <c r="AP7" s="138"/>
      <c r="AQ7" s="147">
        <v>12000</v>
      </c>
      <c r="AR7" s="138"/>
      <c r="AS7" s="142">
        <v>20000</v>
      </c>
      <c r="AT7" s="138"/>
      <c r="AU7" s="139"/>
      <c r="AV7" s="138"/>
      <c r="AW7" s="148"/>
      <c r="AX7" s="138"/>
      <c r="AY7" s="149"/>
      <c r="AZ7" s="138"/>
      <c r="BA7" s="149"/>
      <c r="BB7" s="138"/>
      <c r="BC7" s="150"/>
      <c r="BD7" s="138"/>
      <c r="BE7" s="150"/>
      <c r="BF7" s="160"/>
      <c r="BG7" s="168"/>
      <c r="BH7" s="168"/>
      <c r="BI7" s="158"/>
      <c r="BJ7" s="172"/>
      <c r="BK7" s="172"/>
      <c r="BL7" s="172"/>
      <c r="BM7" s="172"/>
      <c r="BN7" s="172"/>
      <c r="BO7" s="162"/>
      <c r="BP7" s="138"/>
      <c r="BQ7" s="1"/>
    </row>
    <row r="8" spans="1:69">
      <c r="A8" s="21">
        <f t="shared" si="0"/>
        <v>44047</v>
      </c>
      <c r="B8" s="38">
        <v>0</v>
      </c>
      <c r="C8" s="23"/>
      <c r="D8" s="39">
        <f t="shared" si="1"/>
        <v>0</v>
      </c>
      <c r="E8" s="40"/>
      <c r="F8" s="35"/>
      <c r="G8" s="27"/>
      <c r="H8" s="28">
        <f t="shared" si="2"/>
        <v>0</v>
      </c>
      <c r="I8" s="35"/>
      <c r="J8" s="41" t="str">
        <f t="shared" si="3"/>
        <v/>
      </c>
      <c r="K8" s="29"/>
      <c r="L8" s="5"/>
      <c r="M8" s="6"/>
      <c r="N8" s="7"/>
      <c r="O8" s="7"/>
      <c r="P8" s="32">
        <f t="shared" si="4"/>
        <v>44047</v>
      </c>
      <c r="Q8" s="42"/>
      <c r="R8" s="33"/>
      <c r="S8" s="113"/>
      <c r="T8" s="111"/>
      <c r="U8" s="33"/>
      <c r="V8" s="113"/>
      <c r="W8" s="111"/>
      <c r="X8" s="33"/>
      <c r="Y8" s="113"/>
      <c r="Z8" s="111"/>
      <c r="AA8" s="33"/>
      <c r="AB8" s="113"/>
      <c r="AC8" s="111"/>
      <c r="AD8" s="33"/>
      <c r="AE8" s="113"/>
      <c r="AF8" s="111"/>
      <c r="AG8" s="33"/>
      <c r="AH8" s="113"/>
      <c r="AI8" s="20"/>
      <c r="AJ8" s="34">
        <f t="shared" si="5"/>
        <v>44047</v>
      </c>
      <c r="AK8" s="35"/>
      <c r="AL8" s="138"/>
      <c r="AM8" s="139"/>
      <c r="AN8" s="138"/>
      <c r="AO8" s="143"/>
      <c r="AP8" s="138"/>
      <c r="AQ8" s="147"/>
      <c r="AR8" s="138"/>
      <c r="AS8" s="142"/>
      <c r="AT8" s="138"/>
      <c r="AU8" s="139"/>
      <c r="AV8" s="138"/>
      <c r="AW8" s="151"/>
      <c r="AX8" s="138"/>
      <c r="AY8" s="149"/>
      <c r="AZ8" s="138"/>
      <c r="BA8" s="149"/>
      <c r="BB8" s="138"/>
      <c r="BC8" s="149"/>
      <c r="BD8" s="138"/>
      <c r="BE8" s="149"/>
      <c r="BF8" s="138"/>
      <c r="BG8" s="169"/>
      <c r="BH8" s="158"/>
      <c r="BI8" s="167"/>
      <c r="BJ8" s="158"/>
      <c r="BK8" s="172"/>
      <c r="BL8" s="172"/>
      <c r="BM8" s="172"/>
      <c r="BN8" s="172"/>
      <c r="BO8" s="145"/>
      <c r="BP8" s="138"/>
      <c r="BQ8" s="1"/>
    </row>
    <row r="9" spans="1:69">
      <c r="A9" s="21">
        <f t="shared" si="0"/>
        <v>44048</v>
      </c>
      <c r="B9" s="38">
        <v>12000</v>
      </c>
      <c r="C9" s="23"/>
      <c r="D9" s="39">
        <f t="shared" si="1"/>
        <v>12000</v>
      </c>
      <c r="E9" s="40"/>
      <c r="F9" s="35">
        <v>330</v>
      </c>
      <c r="G9" s="27"/>
      <c r="H9" s="28">
        <f t="shared" si="2"/>
        <v>330</v>
      </c>
      <c r="I9" s="35"/>
      <c r="J9" s="41" t="str">
        <f t="shared" si="3"/>
        <v/>
      </c>
      <c r="K9" s="29"/>
      <c r="L9" s="5"/>
      <c r="M9" s="6"/>
      <c r="N9" s="7"/>
      <c r="O9" s="7"/>
      <c r="P9" s="32">
        <f t="shared" si="4"/>
        <v>44048</v>
      </c>
      <c r="Q9" s="42"/>
      <c r="R9" s="33"/>
      <c r="S9" s="113"/>
      <c r="T9" s="111"/>
      <c r="U9" s="33"/>
      <c r="V9" s="113"/>
      <c r="W9" s="111"/>
      <c r="X9" s="33"/>
      <c r="Y9" s="113"/>
      <c r="Z9" s="111"/>
      <c r="AA9" s="33"/>
      <c r="AB9" s="113"/>
      <c r="AC9" s="111"/>
      <c r="AD9" s="33"/>
      <c r="AE9" s="113"/>
      <c r="AF9" s="111"/>
      <c r="AG9" s="33"/>
      <c r="AH9" s="113"/>
      <c r="AI9" s="20"/>
      <c r="AJ9" s="34">
        <f t="shared" si="5"/>
        <v>44048</v>
      </c>
      <c r="AK9" s="35"/>
      <c r="AL9" s="138"/>
      <c r="AM9" s="139"/>
      <c r="AN9" s="138"/>
      <c r="AO9" s="139"/>
      <c r="AP9" s="138"/>
      <c r="AQ9" s="152">
        <v>12000</v>
      </c>
      <c r="AR9" s="138"/>
      <c r="AS9" s="139"/>
      <c r="AT9" s="138"/>
      <c r="AU9" s="139"/>
      <c r="AV9" s="138"/>
      <c r="AW9" s="151"/>
      <c r="AX9" s="138"/>
      <c r="AY9" s="149"/>
      <c r="AZ9" s="138"/>
      <c r="BA9" s="149"/>
      <c r="BB9" s="138"/>
      <c r="BC9" s="149"/>
      <c r="BD9" s="138"/>
      <c r="BE9" s="149"/>
      <c r="BF9" s="138"/>
      <c r="BG9" s="160"/>
      <c r="BH9" s="158"/>
      <c r="BI9" s="167"/>
      <c r="BJ9" s="168"/>
      <c r="BK9" s="158"/>
      <c r="BL9" s="158"/>
      <c r="BM9" s="158"/>
      <c r="BN9" s="158"/>
      <c r="BO9" s="145"/>
      <c r="BP9" s="138"/>
      <c r="BQ9" s="1"/>
    </row>
    <row r="10" spans="1:69">
      <c r="A10" s="21">
        <f t="shared" si="0"/>
        <v>44049</v>
      </c>
      <c r="B10" s="38">
        <v>105000</v>
      </c>
      <c r="C10" s="23">
        <v>38000</v>
      </c>
      <c r="D10" s="39">
        <f t="shared" si="1"/>
        <v>143000</v>
      </c>
      <c r="E10" s="40"/>
      <c r="F10" s="35"/>
      <c r="G10" s="27"/>
      <c r="H10" s="28">
        <f t="shared" si="2"/>
        <v>0</v>
      </c>
      <c r="I10" s="35"/>
      <c r="J10" s="41" t="str">
        <f t="shared" si="3"/>
        <v/>
      </c>
      <c r="K10" s="29"/>
      <c r="L10" s="5"/>
      <c r="M10" s="6"/>
      <c r="N10" s="7"/>
      <c r="O10" s="7"/>
      <c r="P10" s="32">
        <f t="shared" si="4"/>
        <v>44049</v>
      </c>
      <c r="Q10" s="42"/>
      <c r="R10" s="33"/>
      <c r="S10" s="113"/>
      <c r="T10" s="111"/>
      <c r="U10" s="33"/>
      <c r="V10" s="113"/>
      <c r="W10" s="111"/>
      <c r="X10" s="33"/>
      <c r="Y10" s="113"/>
      <c r="Z10" s="111"/>
      <c r="AA10" s="33"/>
      <c r="AB10" s="113"/>
      <c r="AC10" s="111"/>
      <c r="AD10" s="33"/>
      <c r="AE10" s="113"/>
      <c r="AF10" s="111"/>
      <c r="AG10" s="33"/>
      <c r="AH10" s="113"/>
      <c r="AI10" s="20"/>
      <c r="AJ10" s="34">
        <f t="shared" si="5"/>
        <v>44049</v>
      </c>
      <c r="AK10" s="35">
        <v>4000</v>
      </c>
      <c r="AL10" s="138"/>
      <c r="AM10" s="139"/>
      <c r="AN10" s="138"/>
      <c r="AO10" s="139">
        <v>12000</v>
      </c>
      <c r="AP10" s="138"/>
      <c r="AQ10" s="139"/>
      <c r="AR10" s="138"/>
      <c r="AS10" s="139">
        <v>54000</v>
      </c>
      <c r="AT10" s="138"/>
      <c r="AU10" s="139">
        <v>16000</v>
      </c>
      <c r="AV10" s="138"/>
      <c r="AW10" s="151"/>
      <c r="AX10" s="138"/>
      <c r="AY10" s="149">
        <v>32000</v>
      </c>
      <c r="AZ10" s="138"/>
      <c r="BA10" s="149"/>
      <c r="BB10" s="138"/>
      <c r="BC10" s="149"/>
      <c r="BD10" s="138"/>
      <c r="BE10" s="149"/>
      <c r="BF10" s="138"/>
      <c r="BG10" s="160">
        <v>25000</v>
      </c>
      <c r="BH10" s="158"/>
      <c r="BI10" s="167"/>
      <c r="BJ10" s="168"/>
      <c r="BK10" s="158"/>
      <c r="BL10" s="158"/>
      <c r="BM10" s="158"/>
      <c r="BN10" s="158"/>
      <c r="BO10" s="145"/>
      <c r="BP10" s="138"/>
      <c r="BQ10" s="1"/>
    </row>
    <row r="11" spans="1:69">
      <c r="A11" s="21">
        <f t="shared" si="0"/>
        <v>44050</v>
      </c>
      <c r="B11" s="38">
        <v>61000</v>
      </c>
      <c r="C11" s="23"/>
      <c r="D11" s="39">
        <f t="shared" si="1"/>
        <v>61000</v>
      </c>
      <c r="E11" s="40">
        <v>12463</v>
      </c>
      <c r="F11" s="35"/>
      <c r="G11" s="27"/>
      <c r="H11" s="28">
        <f t="shared" si="2"/>
        <v>12463</v>
      </c>
      <c r="I11" s="35"/>
      <c r="J11" s="41" t="str">
        <f t="shared" si="3"/>
        <v/>
      </c>
      <c r="K11" s="29"/>
      <c r="L11" s="5"/>
      <c r="M11" s="6"/>
      <c r="N11" s="7"/>
      <c r="O11" s="7"/>
      <c r="P11" s="32">
        <f t="shared" si="4"/>
        <v>44050</v>
      </c>
      <c r="Q11" s="42"/>
      <c r="R11" s="33"/>
      <c r="S11" s="113"/>
      <c r="T11" s="111"/>
      <c r="U11" s="33"/>
      <c r="V11" s="113"/>
      <c r="W11" s="111"/>
      <c r="X11" s="33"/>
      <c r="Y11" s="113"/>
      <c r="Z11" s="111"/>
      <c r="AA11" s="33"/>
      <c r="AB11" s="113"/>
      <c r="AC11" s="111"/>
      <c r="AD11" s="33"/>
      <c r="AE11" s="113"/>
      <c r="AF11" s="111"/>
      <c r="AG11" s="33"/>
      <c r="AH11" s="113"/>
      <c r="AI11" s="20"/>
      <c r="AJ11" s="34">
        <f t="shared" si="5"/>
        <v>44050</v>
      </c>
      <c r="AK11" s="35"/>
      <c r="AL11" s="138"/>
      <c r="AM11" s="139">
        <v>5000</v>
      </c>
      <c r="AN11" s="138"/>
      <c r="AO11" s="139">
        <v>6000</v>
      </c>
      <c r="AP11" s="138"/>
      <c r="AQ11" s="139"/>
      <c r="AR11" s="138"/>
      <c r="AS11" s="139">
        <v>50000</v>
      </c>
      <c r="AT11" s="138"/>
      <c r="AU11" s="139"/>
      <c r="AV11" s="138"/>
      <c r="AW11" s="151"/>
      <c r="AX11" s="138"/>
      <c r="AY11" s="149"/>
      <c r="AZ11" s="138"/>
      <c r="BA11" s="149"/>
      <c r="BB11" s="138"/>
      <c r="BC11" s="149"/>
      <c r="BD11" s="138"/>
      <c r="BE11" s="149"/>
      <c r="BF11" s="138"/>
      <c r="BG11" s="160"/>
      <c r="BH11" s="158"/>
      <c r="BI11" s="167"/>
      <c r="BJ11" s="168"/>
      <c r="BK11" s="158"/>
      <c r="BL11" s="158"/>
      <c r="BM11" s="158"/>
      <c r="BN11" s="158"/>
      <c r="BO11" s="145"/>
      <c r="BP11" s="138"/>
      <c r="BQ11" s="1"/>
    </row>
    <row r="12" spans="1:69">
      <c r="A12" s="21">
        <f t="shared" si="0"/>
        <v>44051</v>
      </c>
      <c r="B12" s="38">
        <v>10000</v>
      </c>
      <c r="C12" s="23">
        <v>60000</v>
      </c>
      <c r="D12" s="39">
        <f t="shared" si="1"/>
        <v>70000</v>
      </c>
      <c r="E12" s="40"/>
      <c r="F12" s="35"/>
      <c r="G12" s="27"/>
      <c r="H12" s="28">
        <f t="shared" si="2"/>
        <v>0</v>
      </c>
      <c r="I12" s="35"/>
      <c r="J12" s="41" t="str">
        <f t="shared" si="3"/>
        <v/>
      </c>
      <c r="K12" s="29"/>
      <c r="L12" s="5"/>
      <c r="M12" s="6"/>
      <c r="N12" s="7"/>
      <c r="O12" s="7"/>
      <c r="P12" s="32">
        <f t="shared" si="4"/>
        <v>44051</v>
      </c>
      <c r="Q12" s="42"/>
      <c r="R12" s="33"/>
      <c r="S12" s="113"/>
      <c r="T12" s="111"/>
      <c r="U12" s="33"/>
      <c r="V12" s="113"/>
      <c r="W12" s="111"/>
      <c r="X12" s="33"/>
      <c r="Y12" s="113"/>
      <c r="Z12" s="111"/>
      <c r="AA12" s="33"/>
      <c r="AB12" s="113"/>
      <c r="AC12" s="111"/>
      <c r="AD12" s="33"/>
      <c r="AE12" s="113"/>
      <c r="AF12" s="111"/>
      <c r="AG12" s="33"/>
      <c r="AH12" s="113"/>
      <c r="AI12" s="8"/>
      <c r="AJ12" s="34">
        <f t="shared" si="5"/>
        <v>44051</v>
      </c>
      <c r="AK12" s="35"/>
      <c r="AL12" s="138"/>
      <c r="AM12" s="139"/>
      <c r="AN12" s="138"/>
      <c r="AO12" s="139">
        <v>40000</v>
      </c>
      <c r="AP12" s="138"/>
      <c r="AQ12" s="139">
        <v>10000</v>
      </c>
      <c r="AR12" s="138"/>
      <c r="AS12" s="139"/>
      <c r="AT12" s="138"/>
      <c r="AU12" s="139"/>
      <c r="AV12" s="138"/>
      <c r="AW12" s="151"/>
      <c r="AX12" s="138"/>
      <c r="AY12" s="149">
        <v>20000</v>
      </c>
      <c r="AZ12" s="138"/>
      <c r="BA12" s="149"/>
      <c r="BB12" s="138"/>
      <c r="BC12" s="149"/>
      <c r="BD12" s="138"/>
      <c r="BE12" s="149"/>
      <c r="BF12" s="138"/>
      <c r="BG12" s="160"/>
      <c r="BH12" s="158"/>
      <c r="BI12" s="167"/>
      <c r="BJ12" s="168"/>
      <c r="BK12" s="158"/>
      <c r="BL12" s="158"/>
      <c r="BM12" s="158"/>
      <c r="BN12" s="158"/>
      <c r="BO12" s="145"/>
      <c r="BP12" s="138"/>
      <c r="BQ12" s="1"/>
    </row>
    <row r="13" spans="1:69">
      <c r="A13" s="21">
        <f t="shared" si="0"/>
        <v>44052</v>
      </c>
      <c r="B13" s="38">
        <v>70000</v>
      </c>
      <c r="C13" s="23"/>
      <c r="D13" s="39">
        <f t="shared" si="1"/>
        <v>70000</v>
      </c>
      <c r="E13" s="40"/>
      <c r="F13" s="35"/>
      <c r="G13" s="27">
        <v>3000</v>
      </c>
      <c r="H13" s="28">
        <f t="shared" si="2"/>
        <v>3000</v>
      </c>
      <c r="I13" s="35">
        <v>50000</v>
      </c>
      <c r="J13" s="41">
        <f t="shared" si="3"/>
        <v>1.4</v>
      </c>
      <c r="K13" s="29"/>
      <c r="L13" s="5"/>
      <c r="M13" s="6"/>
      <c r="N13" s="7"/>
      <c r="O13" s="7"/>
      <c r="P13" s="32">
        <f t="shared" si="4"/>
        <v>44052</v>
      </c>
      <c r="Q13" s="42"/>
      <c r="R13" s="33"/>
      <c r="S13" s="113"/>
      <c r="T13" s="111"/>
      <c r="U13" s="33"/>
      <c r="V13" s="113"/>
      <c r="W13" s="111"/>
      <c r="X13" s="33"/>
      <c r="Y13" s="113"/>
      <c r="Z13" s="111"/>
      <c r="AA13" s="33"/>
      <c r="AB13" s="113"/>
      <c r="AC13" s="111"/>
      <c r="AD13" s="33"/>
      <c r="AE13" s="113"/>
      <c r="AF13" s="111"/>
      <c r="AG13" s="33"/>
      <c r="AH13" s="113"/>
      <c r="AI13" s="20"/>
      <c r="AJ13" s="34">
        <f t="shared" si="5"/>
        <v>44052</v>
      </c>
      <c r="AK13" s="35"/>
      <c r="AL13" s="138"/>
      <c r="AM13" s="139"/>
      <c r="AN13" s="138"/>
      <c r="AO13" s="139">
        <v>5000</v>
      </c>
      <c r="AP13" s="138"/>
      <c r="AQ13" s="139"/>
      <c r="AR13" s="138"/>
      <c r="AS13" s="139"/>
      <c r="AT13" s="138"/>
      <c r="AU13" s="139"/>
      <c r="AV13" s="138"/>
      <c r="AW13" s="151">
        <v>30000</v>
      </c>
      <c r="AX13" s="138"/>
      <c r="AY13" s="149"/>
      <c r="AZ13" s="138"/>
      <c r="BA13" s="149">
        <v>2000</v>
      </c>
      <c r="BB13" s="138"/>
      <c r="BC13" s="149"/>
      <c r="BD13" s="138"/>
      <c r="BE13" s="149"/>
      <c r="BF13" s="138"/>
      <c r="BG13" s="160"/>
      <c r="BH13" s="158"/>
      <c r="BI13" s="167">
        <v>23000</v>
      </c>
      <c r="BJ13" s="168"/>
      <c r="BK13" s="158"/>
      <c r="BL13" s="158"/>
      <c r="BM13" s="158"/>
      <c r="BN13" s="158">
        <v>10000</v>
      </c>
      <c r="BO13" s="145"/>
      <c r="BP13" s="138"/>
      <c r="BQ13" s="1"/>
    </row>
    <row r="14" spans="1:69">
      <c r="A14" s="21">
        <f t="shared" si="0"/>
        <v>44053</v>
      </c>
      <c r="B14" s="38">
        <v>26000</v>
      </c>
      <c r="C14" s="23">
        <v>11000</v>
      </c>
      <c r="D14" s="39">
        <f t="shared" si="1"/>
        <v>37000</v>
      </c>
      <c r="E14" s="40">
        <v>33472</v>
      </c>
      <c r="F14" s="44">
        <v>5644</v>
      </c>
      <c r="G14" s="27"/>
      <c r="H14" s="28">
        <f t="shared" si="2"/>
        <v>39116</v>
      </c>
      <c r="I14" s="35"/>
      <c r="J14" s="41" t="str">
        <f t="shared" si="3"/>
        <v/>
      </c>
      <c r="K14" s="29"/>
      <c r="L14" s="5"/>
      <c r="M14" s="6"/>
      <c r="N14" s="7"/>
      <c r="O14" s="7"/>
      <c r="P14" s="32">
        <f t="shared" si="4"/>
        <v>44053</v>
      </c>
      <c r="Q14" s="42"/>
      <c r="R14" s="33"/>
      <c r="S14" s="113"/>
      <c r="T14" s="111"/>
      <c r="U14" s="33"/>
      <c r="V14" s="113"/>
      <c r="W14" s="111"/>
      <c r="X14" s="33"/>
      <c r="Y14" s="113"/>
      <c r="Z14" s="111"/>
      <c r="AA14" s="33"/>
      <c r="AB14" s="113"/>
      <c r="AC14" s="111"/>
      <c r="AD14" s="33"/>
      <c r="AE14" s="113"/>
      <c r="AF14" s="111"/>
      <c r="AG14" s="33"/>
      <c r="AH14" s="113"/>
      <c r="AI14" s="20"/>
      <c r="AJ14" s="34">
        <f t="shared" si="5"/>
        <v>44053</v>
      </c>
      <c r="AK14" s="35">
        <v>9000</v>
      </c>
      <c r="AL14" s="138"/>
      <c r="AM14" s="139"/>
      <c r="AN14" s="138"/>
      <c r="AO14" s="139">
        <v>12000</v>
      </c>
      <c r="AP14" s="138"/>
      <c r="AQ14" s="139">
        <v>5000</v>
      </c>
      <c r="AR14" s="138"/>
      <c r="AS14" s="139">
        <v>2000</v>
      </c>
      <c r="AT14" s="138"/>
      <c r="AU14" s="139"/>
      <c r="AV14" s="138"/>
      <c r="AW14" s="151"/>
      <c r="AX14" s="138"/>
      <c r="AY14" s="149"/>
      <c r="AZ14" s="138"/>
      <c r="BA14" s="149"/>
      <c r="BB14" s="138"/>
      <c r="BC14" s="149"/>
      <c r="BD14" s="138"/>
      <c r="BE14" s="149"/>
      <c r="BF14" s="138"/>
      <c r="BG14" s="160"/>
      <c r="BH14" s="158"/>
      <c r="BI14" s="249">
        <v>9000</v>
      </c>
      <c r="BJ14" s="168"/>
      <c r="BK14" s="158"/>
      <c r="BL14" s="158"/>
      <c r="BM14" s="158"/>
      <c r="BN14" s="158"/>
      <c r="BO14" s="145"/>
      <c r="BP14" s="138"/>
      <c r="BQ14" s="1"/>
    </row>
    <row r="15" spans="1:69">
      <c r="A15" s="21">
        <f t="shared" si="0"/>
        <v>44054</v>
      </c>
      <c r="B15" s="38">
        <v>0</v>
      </c>
      <c r="C15" s="23"/>
      <c r="D15" s="39">
        <f t="shared" si="1"/>
        <v>0</v>
      </c>
      <c r="E15" s="40"/>
      <c r="F15" s="35"/>
      <c r="G15" s="27"/>
      <c r="H15" s="28">
        <f t="shared" si="2"/>
        <v>0</v>
      </c>
      <c r="I15" s="35"/>
      <c r="J15" s="41" t="str">
        <f t="shared" si="3"/>
        <v/>
      </c>
      <c r="K15" s="29"/>
      <c r="L15" s="5"/>
      <c r="M15" s="6"/>
      <c r="N15" s="7"/>
      <c r="O15" s="7"/>
      <c r="P15" s="32">
        <f t="shared" si="4"/>
        <v>44054</v>
      </c>
      <c r="Q15" s="42"/>
      <c r="R15" s="33"/>
      <c r="S15" s="113"/>
      <c r="T15" s="111"/>
      <c r="U15" s="33"/>
      <c r="V15" s="113"/>
      <c r="W15" s="111"/>
      <c r="X15" s="33"/>
      <c r="Y15" s="113"/>
      <c r="Z15" s="111"/>
      <c r="AA15" s="33"/>
      <c r="AB15" s="113"/>
      <c r="AC15" s="111"/>
      <c r="AD15" s="33"/>
      <c r="AE15" s="113"/>
      <c r="AF15" s="111"/>
      <c r="AG15" s="33"/>
      <c r="AH15" s="113"/>
      <c r="AI15" s="20"/>
      <c r="AJ15" s="34">
        <f t="shared" si="5"/>
        <v>44054</v>
      </c>
      <c r="AK15" s="35"/>
      <c r="AL15" s="138"/>
      <c r="AM15" s="139"/>
      <c r="AN15" s="138"/>
      <c r="AO15" s="139"/>
      <c r="AP15" s="138"/>
      <c r="AQ15" s="139"/>
      <c r="AR15" s="138"/>
      <c r="AS15" s="139"/>
      <c r="AT15" s="138"/>
      <c r="AU15" s="139"/>
      <c r="AV15" s="138"/>
      <c r="AW15" s="151"/>
      <c r="AX15" s="138"/>
      <c r="AY15" s="149"/>
      <c r="AZ15" s="138"/>
      <c r="BA15" s="149"/>
      <c r="BB15" s="138"/>
      <c r="BC15" s="149"/>
      <c r="BD15" s="138"/>
      <c r="BE15" s="149"/>
      <c r="BF15" s="138"/>
      <c r="BG15" s="160"/>
      <c r="BH15" s="158"/>
      <c r="BI15" s="250"/>
      <c r="BJ15" s="168"/>
      <c r="BK15" s="158"/>
      <c r="BL15" s="158"/>
      <c r="BM15" s="158"/>
      <c r="BN15" s="158"/>
      <c r="BO15" s="145"/>
      <c r="BP15" s="138"/>
      <c r="BQ15" s="1"/>
    </row>
    <row r="16" spans="1:69">
      <c r="A16" s="21">
        <f t="shared" si="0"/>
        <v>44055</v>
      </c>
      <c r="B16" s="38">
        <v>0</v>
      </c>
      <c r="C16" s="23"/>
      <c r="D16" s="39">
        <f t="shared" si="1"/>
        <v>0</v>
      </c>
      <c r="E16" s="40"/>
      <c r="F16" s="35"/>
      <c r="G16" s="27"/>
      <c r="H16" s="28">
        <f t="shared" si="2"/>
        <v>0</v>
      </c>
      <c r="I16" s="35"/>
      <c r="J16" s="41" t="str">
        <f t="shared" si="3"/>
        <v/>
      </c>
      <c r="K16" s="29"/>
      <c r="L16" s="5"/>
      <c r="M16" s="6"/>
      <c r="N16" s="7"/>
      <c r="O16" s="7"/>
      <c r="P16" s="32">
        <f t="shared" si="4"/>
        <v>44055</v>
      </c>
      <c r="Q16" s="42"/>
      <c r="R16" s="33"/>
      <c r="S16" s="113"/>
      <c r="T16" s="111"/>
      <c r="U16" s="33"/>
      <c r="V16" s="113"/>
      <c r="W16" s="111"/>
      <c r="X16" s="33"/>
      <c r="Y16" s="113"/>
      <c r="Z16" s="111"/>
      <c r="AA16" s="33"/>
      <c r="AB16" s="113"/>
      <c r="AC16" s="111"/>
      <c r="AD16" s="33"/>
      <c r="AE16" s="113"/>
      <c r="AF16" s="111"/>
      <c r="AG16" s="33"/>
      <c r="AH16" s="113"/>
      <c r="AI16" s="20"/>
      <c r="AJ16" s="34">
        <f t="shared" si="5"/>
        <v>44055</v>
      </c>
      <c r="AK16" s="35"/>
      <c r="AL16" s="138"/>
      <c r="AM16" s="139"/>
      <c r="AN16" s="138"/>
      <c r="AO16" s="139"/>
      <c r="AP16" s="138"/>
      <c r="AQ16" s="139"/>
      <c r="AR16" s="138"/>
      <c r="AS16" s="139"/>
      <c r="AT16" s="138"/>
      <c r="AU16" s="139"/>
      <c r="AV16" s="138"/>
      <c r="AW16" s="151"/>
      <c r="AX16" s="138"/>
      <c r="AY16" s="149"/>
      <c r="AZ16" s="138"/>
      <c r="BA16" s="149"/>
      <c r="BB16" s="138"/>
      <c r="BC16" s="149"/>
      <c r="BD16" s="138"/>
      <c r="BE16" s="149"/>
      <c r="BF16" s="138"/>
      <c r="BG16" s="138"/>
      <c r="BH16" s="159"/>
      <c r="BI16" s="160"/>
      <c r="BJ16" s="168"/>
      <c r="BK16" s="158"/>
      <c r="BL16" s="158"/>
      <c r="BM16" s="158"/>
      <c r="BN16" s="158"/>
      <c r="BO16" s="145"/>
      <c r="BP16" s="138"/>
      <c r="BQ16" s="1"/>
    </row>
    <row r="17" spans="1:69">
      <c r="A17" s="21">
        <f t="shared" si="0"/>
        <v>44056</v>
      </c>
      <c r="B17" s="38">
        <v>0</v>
      </c>
      <c r="C17" s="23"/>
      <c r="D17" s="39">
        <f t="shared" si="1"/>
        <v>0</v>
      </c>
      <c r="E17" s="40"/>
      <c r="F17" s="35"/>
      <c r="G17" s="27"/>
      <c r="H17" s="28">
        <f t="shared" si="2"/>
        <v>0</v>
      </c>
      <c r="I17" s="35"/>
      <c r="J17" s="41" t="str">
        <f t="shared" si="3"/>
        <v/>
      </c>
      <c r="K17" s="29"/>
      <c r="L17" s="5"/>
      <c r="M17" s="6"/>
      <c r="N17" s="7"/>
      <c r="O17" s="7"/>
      <c r="P17" s="32">
        <f t="shared" si="4"/>
        <v>44056</v>
      </c>
      <c r="Q17" s="42"/>
      <c r="R17" s="33"/>
      <c r="S17" s="113"/>
      <c r="T17" s="111"/>
      <c r="U17" s="33"/>
      <c r="V17" s="113"/>
      <c r="W17" s="111"/>
      <c r="X17" s="33"/>
      <c r="Y17" s="113"/>
      <c r="Z17" s="111"/>
      <c r="AA17" s="33"/>
      <c r="AB17" s="113"/>
      <c r="AC17" s="111"/>
      <c r="AD17" s="33"/>
      <c r="AE17" s="113"/>
      <c r="AF17" s="111"/>
      <c r="AG17" s="33"/>
      <c r="AH17" s="113"/>
      <c r="AI17" s="20"/>
      <c r="AJ17" s="34">
        <f t="shared" si="5"/>
        <v>44056</v>
      </c>
      <c r="AK17" s="35"/>
      <c r="AL17" s="138"/>
      <c r="AM17" s="139"/>
      <c r="AN17" s="138"/>
      <c r="AO17" s="139"/>
      <c r="AP17" s="138"/>
      <c r="AQ17" s="139"/>
      <c r="AR17" s="138"/>
      <c r="AS17" s="139"/>
      <c r="AT17" s="138"/>
      <c r="AU17" s="139"/>
      <c r="AV17" s="138"/>
      <c r="AW17" s="151"/>
      <c r="AX17" s="138"/>
      <c r="AY17" s="149"/>
      <c r="AZ17" s="138"/>
      <c r="BA17" s="149"/>
      <c r="BB17" s="138"/>
      <c r="BC17" s="149"/>
      <c r="BD17" s="138"/>
      <c r="BE17" s="149"/>
      <c r="BF17" s="138"/>
      <c r="BG17" s="138"/>
      <c r="BH17" s="138"/>
      <c r="BI17" s="160"/>
      <c r="BJ17" s="168"/>
      <c r="BK17" s="158"/>
      <c r="BL17" s="158"/>
      <c r="BM17" s="158"/>
      <c r="BN17" s="158"/>
      <c r="BO17" s="145"/>
      <c r="BP17" s="138"/>
      <c r="BQ17" s="1"/>
    </row>
    <row r="18" spans="1:69">
      <c r="A18" s="21">
        <f t="shared" si="0"/>
        <v>44057</v>
      </c>
      <c r="B18" s="38">
        <v>0</v>
      </c>
      <c r="C18" s="23"/>
      <c r="D18" s="39">
        <f t="shared" si="1"/>
        <v>0</v>
      </c>
      <c r="E18" s="40"/>
      <c r="F18" s="35"/>
      <c r="G18" s="27"/>
      <c r="H18" s="28">
        <f t="shared" si="2"/>
        <v>0</v>
      </c>
      <c r="I18" s="35"/>
      <c r="J18" s="41" t="str">
        <f t="shared" si="3"/>
        <v/>
      </c>
      <c r="K18" s="29"/>
      <c r="L18" s="5"/>
      <c r="M18" s="45"/>
      <c r="N18" s="46"/>
      <c r="O18" s="7"/>
      <c r="P18" s="32">
        <f t="shared" si="4"/>
        <v>44057</v>
      </c>
      <c r="Q18" s="42"/>
      <c r="R18" s="33"/>
      <c r="S18" s="113"/>
      <c r="T18" s="111"/>
      <c r="U18" s="33"/>
      <c r="V18" s="113"/>
      <c r="W18" s="111"/>
      <c r="X18" s="33"/>
      <c r="Y18" s="113"/>
      <c r="Z18" s="111"/>
      <c r="AA18" s="33"/>
      <c r="AB18" s="113"/>
      <c r="AC18" s="111"/>
      <c r="AD18" s="33"/>
      <c r="AE18" s="113"/>
      <c r="AF18" s="111"/>
      <c r="AG18" s="33"/>
      <c r="AH18" s="113"/>
      <c r="AI18" s="20"/>
      <c r="AJ18" s="34">
        <f t="shared" si="5"/>
        <v>44057</v>
      </c>
      <c r="AK18" s="35"/>
      <c r="AL18" s="138"/>
      <c r="AM18" s="139"/>
      <c r="AN18" s="138"/>
      <c r="AO18" s="139"/>
      <c r="AP18" s="138"/>
      <c r="AQ18" s="139"/>
      <c r="AR18" s="138"/>
      <c r="AS18" s="139"/>
      <c r="AT18" s="138"/>
      <c r="AU18" s="139"/>
      <c r="AV18" s="138"/>
      <c r="AW18" s="151"/>
      <c r="AX18" s="138"/>
      <c r="AY18" s="149"/>
      <c r="AZ18" s="138"/>
      <c r="BA18" s="149"/>
      <c r="BB18" s="138"/>
      <c r="BC18" s="149"/>
      <c r="BD18" s="138"/>
      <c r="BE18" s="149"/>
      <c r="BF18" s="138"/>
      <c r="BG18" s="138"/>
      <c r="BH18" s="138"/>
      <c r="BI18" s="160"/>
      <c r="BJ18" s="168"/>
      <c r="BK18" s="158"/>
      <c r="BL18" s="158"/>
      <c r="BM18" s="158"/>
      <c r="BN18" s="158"/>
      <c r="BO18" s="145"/>
      <c r="BP18" s="138"/>
      <c r="BQ18" s="1"/>
    </row>
    <row r="19" spans="1:69">
      <c r="A19" s="21">
        <f t="shared" si="0"/>
        <v>44058</v>
      </c>
      <c r="B19" s="38">
        <v>10000</v>
      </c>
      <c r="C19" s="23"/>
      <c r="D19" s="39">
        <f t="shared" si="1"/>
        <v>10000</v>
      </c>
      <c r="E19" s="40"/>
      <c r="F19" s="35"/>
      <c r="G19" s="27"/>
      <c r="H19" s="28">
        <f t="shared" si="2"/>
        <v>0</v>
      </c>
      <c r="I19" s="35"/>
      <c r="J19" s="41" t="str">
        <f t="shared" si="3"/>
        <v/>
      </c>
      <c r="K19" s="29"/>
      <c r="L19" s="5"/>
      <c r="M19" s="516" t="s">
        <v>26</v>
      </c>
      <c r="N19" s="517"/>
      <c r="O19" s="6"/>
      <c r="P19" s="32">
        <f t="shared" si="4"/>
        <v>44058</v>
      </c>
      <c r="Q19" s="42"/>
      <c r="R19" s="33"/>
      <c r="S19" s="113"/>
      <c r="T19" s="111"/>
      <c r="U19" s="33"/>
      <c r="V19" s="113"/>
      <c r="W19" s="111"/>
      <c r="X19" s="33"/>
      <c r="Y19" s="113"/>
      <c r="Z19" s="111"/>
      <c r="AA19" s="33"/>
      <c r="AB19" s="113"/>
      <c r="AC19" s="111"/>
      <c r="AD19" s="33"/>
      <c r="AE19" s="113"/>
      <c r="AF19" s="111"/>
      <c r="AG19" s="33"/>
      <c r="AH19" s="113"/>
      <c r="AI19" s="20"/>
      <c r="AJ19" s="34">
        <f t="shared" si="5"/>
        <v>44058</v>
      </c>
      <c r="AK19" s="35"/>
      <c r="AL19" s="138"/>
      <c r="AM19" s="139"/>
      <c r="AN19" s="138"/>
      <c r="AO19" s="139">
        <v>5000</v>
      </c>
      <c r="AP19" s="138"/>
      <c r="AQ19" s="139">
        <v>5000</v>
      </c>
      <c r="AR19" s="138"/>
      <c r="AS19" s="139"/>
      <c r="AT19" s="138"/>
      <c r="AU19" s="139"/>
      <c r="AV19" s="138"/>
      <c r="AW19" s="151"/>
      <c r="AX19" s="138"/>
      <c r="AY19" s="149"/>
      <c r="AZ19" s="138"/>
      <c r="BA19" s="149"/>
      <c r="BB19" s="138"/>
      <c r="BC19" s="149"/>
      <c r="BD19" s="138"/>
      <c r="BE19" s="149"/>
      <c r="BF19" s="138"/>
      <c r="BG19" s="138"/>
      <c r="BH19" s="138"/>
      <c r="BI19" s="160"/>
      <c r="BJ19" s="168"/>
      <c r="BK19" s="158"/>
      <c r="BL19" s="158"/>
      <c r="BM19" s="158"/>
      <c r="BN19" s="158"/>
      <c r="BO19" s="145"/>
      <c r="BP19" s="138"/>
      <c r="BQ19" s="1"/>
    </row>
    <row r="20" spans="1:69">
      <c r="A20" s="21">
        <f t="shared" si="0"/>
        <v>44059</v>
      </c>
      <c r="B20" s="38">
        <v>54000</v>
      </c>
      <c r="C20" s="38"/>
      <c r="D20" s="39">
        <f t="shared" si="1"/>
        <v>54000</v>
      </c>
      <c r="E20" s="40"/>
      <c r="F20" s="35"/>
      <c r="G20" s="27"/>
      <c r="H20" s="28">
        <f t="shared" si="2"/>
        <v>0</v>
      </c>
      <c r="I20" s="35"/>
      <c r="J20" s="41" t="str">
        <f t="shared" si="3"/>
        <v/>
      </c>
      <c r="K20" s="29"/>
      <c r="L20" s="5"/>
      <c r="M20" s="47" t="s">
        <v>27</v>
      </c>
      <c r="N20" s="518">
        <v>310000</v>
      </c>
      <c r="O20" s="6"/>
      <c r="P20" s="32">
        <f t="shared" si="4"/>
        <v>44059</v>
      </c>
      <c r="Q20" s="42"/>
      <c r="R20" s="33"/>
      <c r="S20" s="113"/>
      <c r="T20" s="111"/>
      <c r="U20" s="33"/>
      <c r="V20" s="113"/>
      <c r="W20" s="111"/>
      <c r="X20" s="33"/>
      <c r="Y20" s="113"/>
      <c r="Z20" s="111"/>
      <c r="AA20" s="33"/>
      <c r="AB20" s="113"/>
      <c r="AC20" s="111"/>
      <c r="AD20" s="33"/>
      <c r="AE20" s="113"/>
      <c r="AF20" s="111"/>
      <c r="AG20" s="33"/>
      <c r="AH20" s="113"/>
      <c r="AI20" s="20"/>
      <c r="AJ20" s="34">
        <f t="shared" si="5"/>
        <v>44059</v>
      </c>
      <c r="AK20" s="35"/>
      <c r="AL20" s="138"/>
      <c r="AM20" s="139"/>
      <c r="AN20" s="138"/>
      <c r="AO20" s="139"/>
      <c r="AP20" s="138"/>
      <c r="AQ20" s="139">
        <v>10000</v>
      </c>
      <c r="AR20" s="138"/>
      <c r="AS20" s="139">
        <v>38000</v>
      </c>
      <c r="AT20" s="138"/>
      <c r="AU20" s="139"/>
      <c r="AV20" s="138"/>
      <c r="AW20" s="151"/>
      <c r="AX20" s="138"/>
      <c r="AY20" s="149"/>
      <c r="AZ20" s="138"/>
      <c r="BA20" s="149"/>
      <c r="BB20" s="138"/>
      <c r="BC20" s="149"/>
      <c r="BD20" s="138"/>
      <c r="BE20" s="149"/>
      <c r="BF20" s="138"/>
      <c r="BG20" s="138"/>
      <c r="BH20" s="138"/>
      <c r="BI20" s="160"/>
      <c r="BJ20" s="168"/>
      <c r="BK20" s="158">
        <v>6000</v>
      </c>
      <c r="BL20" s="158"/>
      <c r="BM20" s="158"/>
      <c r="BN20" s="158"/>
      <c r="BO20" s="145"/>
      <c r="BP20" s="138"/>
      <c r="BQ20" s="1"/>
    </row>
    <row r="21" spans="1:69">
      <c r="A21" s="21">
        <f t="shared" si="0"/>
        <v>44060</v>
      </c>
      <c r="B21" s="38">
        <v>109000</v>
      </c>
      <c r="C21" s="38"/>
      <c r="D21" s="39">
        <f t="shared" si="1"/>
        <v>109000</v>
      </c>
      <c r="E21" s="40">
        <v>14969</v>
      </c>
      <c r="F21" s="35"/>
      <c r="G21" s="27"/>
      <c r="H21" s="28">
        <f t="shared" si="2"/>
        <v>14969</v>
      </c>
      <c r="I21" s="35">
        <v>60000</v>
      </c>
      <c r="J21" s="41">
        <f t="shared" si="3"/>
        <v>1.8166666666666667</v>
      </c>
      <c r="K21" s="29"/>
      <c r="L21" s="5"/>
      <c r="M21" s="47" t="s">
        <v>28</v>
      </c>
      <c r="N21" s="519"/>
      <c r="O21" s="6"/>
      <c r="P21" s="32">
        <f t="shared" si="4"/>
        <v>44060</v>
      </c>
      <c r="Q21" s="42"/>
      <c r="R21" s="33"/>
      <c r="S21" s="113"/>
      <c r="T21" s="111"/>
      <c r="U21" s="33"/>
      <c r="V21" s="113"/>
      <c r="W21" s="111"/>
      <c r="X21" s="33"/>
      <c r="Y21" s="113"/>
      <c r="Z21" s="111"/>
      <c r="AA21" s="33"/>
      <c r="AB21" s="113"/>
      <c r="AC21" s="111"/>
      <c r="AD21" s="33"/>
      <c r="AE21" s="113"/>
      <c r="AF21" s="111"/>
      <c r="AG21" s="33"/>
      <c r="AH21" s="113"/>
      <c r="AI21" s="20"/>
      <c r="AJ21" s="34">
        <f t="shared" si="5"/>
        <v>44060</v>
      </c>
      <c r="AK21" s="35"/>
      <c r="AL21" s="138"/>
      <c r="AM21" s="139"/>
      <c r="AN21" s="138"/>
      <c r="AO21" s="139">
        <v>56000</v>
      </c>
      <c r="AP21" s="138"/>
      <c r="AQ21" s="139"/>
      <c r="AR21" s="138"/>
      <c r="AS21" s="139">
        <v>30000</v>
      </c>
      <c r="AT21" s="138"/>
      <c r="AU21" s="139"/>
      <c r="AV21" s="138"/>
      <c r="AW21" s="151"/>
      <c r="AX21" s="138"/>
      <c r="AY21" s="149"/>
      <c r="AZ21" s="138"/>
      <c r="BA21" s="149"/>
      <c r="BB21" s="138"/>
      <c r="BC21" s="149"/>
      <c r="BD21" s="138"/>
      <c r="BE21" s="149"/>
      <c r="BF21" s="138"/>
      <c r="BG21" s="138"/>
      <c r="BH21" s="138">
        <v>23000</v>
      </c>
      <c r="BI21" s="138"/>
      <c r="BJ21" s="169"/>
      <c r="BK21" s="158"/>
      <c r="BL21" s="158"/>
      <c r="BM21" s="158"/>
      <c r="BN21" s="158"/>
      <c r="BO21" s="145"/>
      <c r="BP21" s="138"/>
      <c r="BQ21" s="1"/>
    </row>
    <row r="22" spans="1:69">
      <c r="A22" s="21">
        <f t="shared" si="0"/>
        <v>44061</v>
      </c>
      <c r="B22" s="38">
        <v>0</v>
      </c>
      <c r="C22" s="38"/>
      <c r="D22" s="39">
        <f t="shared" si="1"/>
        <v>0</v>
      </c>
      <c r="E22" s="40"/>
      <c r="F22" s="35">
        <v>943</v>
      </c>
      <c r="G22" s="27"/>
      <c r="H22" s="28">
        <f t="shared" si="2"/>
        <v>943</v>
      </c>
      <c r="I22" s="35"/>
      <c r="J22" s="41" t="str">
        <f t="shared" si="3"/>
        <v/>
      </c>
      <c r="K22" s="29"/>
      <c r="L22" s="5"/>
      <c r="M22" s="47" t="s">
        <v>29</v>
      </c>
      <c r="N22" s="35">
        <v>7000</v>
      </c>
      <c r="O22" s="6"/>
      <c r="P22" s="32">
        <f t="shared" si="4"/>
        <v>44061</v>
      </c>
      <c r="Q22" s="42"/>
      <c r="R22" s="33"/>
      <c r="S22" s="113"/>
      <c r="T22" s="111"/>
      <c r="U22" s="33"/>
      <c r="V22" s="113"/>
      <c r="W22" s="111"/>
      <c r="X22" s="33"/>
      <c r="Y22" s="113"/>
      <c r="Z22" s="111"/>
      <c r="AA22" s="33"/>
      <c r="AB22" s="113"/>
      <c r="AC22" s="111"/>
      <c r="AD22" s="33"/>
      <c r="AE22" s="113"/>
      <c r="AF22" s="111"/>
      <c r="AG22" s="33"/>
      <c r="AH22" s="113"/>
      <c r="AI22" s="20"/>
      <c r="AJ22" s="34">
        <f t="shared" si="5"/>
        <v>44061</v>
      </c>
      <c r="AK22" s="35"/>
      <c r="AL22" s="138"/>
      <c r="AM22" s="139"/>
      <c r="AN22" s="138"/>
      <c r="AO22" s="139"/>
      <c r="AP22" s="138"/>
      <c r="AQ22" s="139"/>
      <c r="AR22" s="138"/>
      <c r="AS22" s="153"/>
      <c r="AT22" s="138"/>
      <c r="AU22" s="139"/>
      <c r="AV22" s="138"/>
      <c r="AW22" s="151"/>
      <c r="AX22" s="138"/>
      <c r="AY22" s="139"/>
      <c r="AZ22" s="138"/>
      <c r="BA22" s="139"/>
      <c r="BB22" s="138"/>
      <c r="BC22" s="149"/>
      <c r="BD22" s="138"/>
      <c r="BE22" s="149"/>
      <c r="BF22" s="138"/>
      <c r="BG22" s="138"/>
      <c r="BH22" s="138"/>
      <c r="BI22" s="138"/>
      <c r="BJ22" s="160"/>
      <c r="BK22" s="158"/>
      <c r="BL22" s="158"/>
      <c r="BM22" s="158"/>
      <c r="BN22" s="158"/>
      <c r="BO22" s="145"/>
      <c r="BP22" s="138"/>
      <c r="BQ22" s="1"/>
    </row>
    <row r="23" spans="1:69">
      <c r="A23" s="21">
        <f t="shared" si="0"/>
        <v>44062</v>
      </c>
      <c r="B23" s="38">
        <v>0</v>
      </c>
      <c r="C23" s="38"/>
      <c r="D23" s="39">
        <f t="shared" si="1"/>
        <v>0</v>
      </c>
      <c r="E23" s="40"/>
      <c r="F23" s="35"/>
      <c r="G23" s="27"/>
      <c r="H23" s="28">
        <f t="shared" si="2"/>
        <v>0</v>
      </c>
      <c r="I23" s="35"/>
      <c r="J23" s="41" t="str">
        <f t="shared" si="3"/>
        <v/>
      </c>
      <c r="K23" s="29"/>
      <c r="L23" s="5"/>
      <c r="M23" s="47" t="s">
        <v>30</v>
      </c>
      <c r="N23" s="35">
        <v>4800</v>
      </c>
      <c r="O23" s="6"/>
      <c r="P23" s="32">
        <f t="shared" si="4"/>
        <v>44062</v>
      </c>
      <c r="Q23" s="42"/>
      <c r="R23" s="33"/>
      <c r="S23" s="113"/>
      <c r="T23" s="111"/>
      <c r="U23" s="33"/>
      <c r="V23" s="113"/>
      <c r="W23" s="111"/>
      <c r="X23" s="33"/>
      <c r="Y23" s="113"/>
      <c r="Z23" s="111"/>
      <c r="AA23" s="33"/>
      <c r="AB23" s="113"/>
      <c r="AC23" s="111"/>
      <c r="AD23" s="33"/>
      <c r="AE23" s="113"/>
      <c r="AF23" s="111"/>
      <c r="AG23" s="33"/>
      <c r="AH23" s="113"/>
      <c r="AI23" s="20"/>
      <c r="AJ23" s="34">
        <f t="shared" si="5"/>
        <v>44062</v>
      </c>
      <c r="AK23" s="35"/>
      <c r="AL23" s="138"/>
      <c r="AM23" s="139"/>
      <c r="AN23" s="138"/>
      <c r="AO23" s="139"/>
      <c r="AP23" s="138"/>
      <c r="AQ23" s="139"/>
      <c r="AR23" s="138"/>
      <c r="AS23" s="139"/>
      <c r="AT23" s="138"/>
      <c r="AU23" s="139"/>
      <c r="AV23" s="138"/>
      <c r="AW23" s="151"/>
      <c r="AX23" s="138"/>
      <c r="AY23" s="149"/>
      <c r="AZ23" s="138"/>
      <c r="BA23" s="149"/>
      <c r="BB23" s="138"/>
      <c r="BC23" s="149"/>
      <c r="BD23" s="138"/>
      <c r="BE23" s="149"/>
      <c r="BF23" s="138"/>
      <c r="BG23" s="138"/>
      <c r="BH23" s="138"/>
      <c r="BI23" s="138"/>
      <c r="BJ23" s="160"/>
      <c r="BK23" s="158"/>
      <c r="BL23" s="158"/>
      <c r="BM23" s="158"/>
      <c r="BN23" s="158"/>
      <c r="BO23" s="145"/>
      <c r="BP23" s="138"/>
      <c r="BQ23" s="1"/>
    </row>
    <row r="24" spans="1:69">
      <c r="A24" s="21">
        <f t="shared" si="0"/>
        <v>44063</v>
      </c>
      <c r="B24" s="38">
        <v>4000</v>
      </c>
      <c r="C24" s="38"/>
      <c r="D24" s="39">
        <f t="shared" si="1"/>
        <v>4000</v>
      </c>
      <c r="E24" s="40"/>
      <c r="F24" s="35"/>
      <c r="G24" s="27"/>
      <c r="H24" s="28">
        <f>E24+F24+H19</f>
        <v>0</v>
      </c>
      <c r="I24" s="35"/>
      <c r="J24" s="41" t="str">
        <f t="shared" si="3"/>
        <v/>
      </c>
      <c r="K24" s="29"/>
      <c r="L24" s="5"/>
      <c r="M24" s="47" t="s">
        <v>31</v>
      </c>
      <c r="N24" s="35">
        <v>200000</v>
      </c>
      <c r="O24" s="6"/>
      <c r="P24" s="32">
        <f t="shared" si="4"/>
        <v>44063</v>
      </c>
      <c r="Q24" s="42"/>
      <c r="R24" s="33"/>
      <c r="S24" s="113"/>
      <c r="T24" s="111"/>
      <c r="U24" s="33"/>
      <c r="V24" s="113"/>
      <c r="W24" s="111"/>
      <c r="X24" s="33"/>
      <c r="Y24" s="113"/>
      <c r="Z24" s="111"/>
      <c r="AA24" s="33"/>
      <c r="AB24" s="113"/>
      <c r="AC24" s="111"/>
      <c r="AD24" s="33"/>
      <c r="AE24" s="113"/>
      <c r="AF24" s="111"/>
      <c r="AG24" s="33"/>
      <c r="AH24" s="113"/>
      <c r="AI24" s="20"/>
      <c r="AJ24" s="34">
        <f t="shared" si="5"/>
        <v>44063</v>
      </c>
      <c r="AK24" s="35"/>
      <c r="AL24" s="138"/>
      <c r="AM24" s="139"/>
      <c r="AN24" s="138"/>
      <c r="AO24" s="139"/>
      <c r="AP24" s="138"/>
      <c r="AQ24" s="139"/>
      <c r="AR24" s="138"/>
      <c r="AS24" s="139"/>
      <c r="AT24" s="138"/>
      <c r="AU24" s="139"/>
      <c r="AV24" s="138"/>
      <c r="AW24" s="151"/>
      <c r="AX24" s="138"/>
      <c r="AY24" s="149"/>
      <c r="AZ24" s="138"/>
      <c r="BA24" s="149">
        <v>4000</v>
      </c>
      <c r="BB24" s="138"/>
      <c r="BC24" s="149"/>
      <c r="BD24" s="138"/>
      <c r="BE24" s="149"/>
      <c r="BF24" s="138"/>
      <c r="BG24" s="138"/>
      <c r="BH24" s="138"/>
      <c r="BI24" s="138"/>
      <c r="BJ24" s="160"/>
      <c r="BK24" s="158"/>
      <c r="BL24" s="158"/>
      <c r="BM24" s="158"/>
      <c r="BN24" s="158"/>
      <c r="BO24" s="145"/>
      <c r="BP24" s="138"/>
      <c r="BQ24" s="1"/>
    </row>
    <row r="25" spans="1:69">
      <c r="A25" s="21">
        <f t="shared" si="0"/>
        <v>44064</v>
      </c>
      <c r="B25" s="38">
        <v>13000</v>
      </c>
      <c r="C25" s="38"/>
      <c r="D25" s="39">
        <f t="shared" si="1"/>
        <v>13000</v>
      </c>
      <c r="E25" s="40"/>
      <c r="F25" s="35"/>
      <c r="G25" s="27"/>
      <c r="H25" s="28">
        <f t="shared" ref="H25:H35" si="6">E25+F25+G25</f>
        <v>0</v>
      </c>
      <c r="I25" s="35"/>
      <c r="J25" s="41" t="str">
        <f t="shared" si="3"/>
        <v/>
      </c>
      <c r="K25" s="29"/>
      <c r="L25" s="5"/>
      <c r="M25" s="47" t="s">
        <v>32</v>
      </c>
      <c r="N25" s="35">
        <v>44000</v>
      </c>
      <c r="O25" s="6"/>
      <c r="P25" s="32">
        <f t="shared" si="4"/>
        <v>44064</v>
      </c>
      <c r="Q25" s="42"/>
      <c r="R25" s="33"/>
      <c r="S25" s="113"/>
      <c r="T25" s="111"/>
      <c r="U25" s="33"/>
      <c r="V25" s="113"/>
      <c r="W25" s="111"/>
      <c r="X25" s="33"/>
      <c r="Y25" s="113"/>
      <c r="Z25" s="111"/>
      <c r="AA25" s="33"/>
      <c r="AB25" s="113"/>
      <c r="AC25" s="111"/>
      <c r="AD25" s="33"/>
      <c r="AE25" s="113"/>
      <c r="AF25" s="111"/>
      <c r="AG25" s="33"/>
      <c r="AH25" s="113"/>
      <c r="AI25" s="20"/>
      <c r="AJ25" s="34">
        <f t="shared" si="5"/>
        <v>44064</v>
      </c>
      <c r="AK25" s="35"/>
      <c r="AL25" s="138"/>
      <c r="AM25" s="139"/>
      <c r="AN25" s="138"/>
      <c r="AO25" s="139">
        <v>3000</v>
      </c>
      <c r="AP25" s="138"/>
      <c r="AQ25" s="139"/>
      <c r="AR25" s="138"/>
      <c r="AS25" s="139"/>
      <c r="AT25" s="138"/>
      <c r="AU25" s="139"/>
      <c r="AV25" s="138"/>
      <c r="AW25" s="151"/>
      <c r="AX25" s="138"/>
      <c r="AY25" s="149"/>
      <c r="AZ25" s="138"/>
      <c r="BA25" s="149">
        <v>10000</v>
      </c>
      <c r="BB25" s="138"/>
      <c r="BC25" s="149"/>
      <c r="BD25" s="138"/>
      <c r="BE25" s="149"/>
      <c r="BF25" s="138"/>
      <c r="BG25" s="138"/>
      <c r="BH25" s="138"/>
      <c r="BI25" s="138"/>
      <c r="BJ25" s="160"/>
      <c r="BK25" s="158"/>
      <c r="BL25" s="158"/>
      <c r="BM25" s="158"/>
      <c r="BN25" s="158"/>
      <c r="BO25" s="145"/>
      <c r="BP25" s="138"/>
      <c r="BQ25" s="1"/>
    </row>
    <row r="26" spans="1:69">
      <c r="A26" s="21">
        <f t="shared" si="0"/>
        <v>44065</v>
      </c>
      <c r="B26" s="38">
        <v>104000</v>
      </c>
      <c r="C26" s="38">
        <v>10000</v>
      </c>
      <c r="D26" s="39">
        <f t="shared" si="1"/>
        <v>114000</v>
      </c>
      <c r="E26" s="40">
        <v>16889</v>
      </c>
      <c r="F26" s="35"/>
      <c r="G26" s="27"/>
      <c r="H26" s="28">
        <f t="shared" si="6"/>
        <v>16889</v>
      </c>
      <c r="I26" s="35"/>
      <c r="J26" s="41" t="str">
        <f t="shared" si="3"/>
        <v/>
      </c>
      <c r="K26" s="29"/>
      <c r="L26" s="5"/>
      <c r="M26" s="47"/>
      <c r="N26" s="35"/>
      <c r="O26" s="6"/>
      <c r="P26" s="32">
        <f t="shared" si="4"/>
        <v>44065</v>
      </c>
      <c r="Q26" s="42"/>
      <c r="R26" s="33"/>
      <c r="S26" s="113"/>
      <c r="T26" s="111"/>
      <c r="U26" s="33"/>
      <c r="V26" s="113"/>
      <c r="W26" s="111"/>
      <c r="X26" s="33"/>
      <c r="Y26" s="113"/>
      <c r="Z26" s="111"/>
      <c r="AA26" s="33"/>
      <c r="AB26" s="113"/>
      <c r="AC26" s="111"/>
      <c r="AD26" s="33"/>
      <c r="AE26" s="113"/>
      <c r="AF26" s="111"/>
      <c r="AG26" s="33"/>
      <c r="AH26" s="113"/>
      <c r="AI26" s="20"/>
      <c r="AJ26" s="34">
        <f t="shared" si="5"/>
        <v>44065</v>
      </c>
      <c r="AK26" s="35"/>
      <c r="AL26" s="138"/>
      <c r="AM26" s="139"/>
      <c r="AN26" s="138"/>
      <c r="AO26" s="139">
        <v>19000</v>
      </c>
      <c r="AP26" s="138"/>
      <c r="AQ26" s="139"/>
      <c r="AR26" s="138"/>
      <c r="AS26" s="139"/>
      <c r="AT26" s="138"/>
      <c r="AU26" s="139">
        <v>26000</v>
      </c>
      <c r="AV26" s="138"/>
      <c r="AW26" s="151"/>
      <c r="AX26" s="138"/>
      <c r="AY26" s="149">
        <v>12000</v>
      </c>
      <c r="AZ26" s="138"/>
      <c r="BA26" s="149"/>
      <c r="BB26" s="138"/>
      <c r="BC26" s="149"/>
      <c r="BD26" s="138"/>
      <c r="BE26" s="149"/>
      <c r="BF26" s="138"/>
      <c r="BG26" s="138"/>
      <c r="BH26" s="138"/>
      <c r="BI26" s="138"/>
      <c r="BJ26" s="160">
        <v>32000</v>
      </c>
      <c r="BK26" s="158">
        <v>25000</v>
      </c>
      <c r="BL26" s="158"/>
      <c r="BM26" s="158"/>
      <c r="BN26" s="158"/>
      <c r="BO26" s="145"/>
      <c r="BP26" s="138"/>
      <c r="BQ26" s="1"/>
    </row>
    <row r="27" spans="1:69">
      <c r="A27" s="21">
        <f t="shared" si="0"/>
        <v>44066</v>
      </c>
      <c r="B27" s="38">
        <v>83000</v>
      </c>
      <c r="C27" s="38">
        <v>200000</v>
      </c>
      <c r="D27" s="39">
        <f t="shared" si="1"/>
        <v>283000</v>
      </c>
      <c r="E27" s="40">
        <f>2786+24200</f>
        <v>26986</v>
      </c>
      <c r="F27" s="35"/>
      <c r="G27" s="27"/>
      <c r="H27" s="28">
        <f t="shared" si="6"/>
        <v>26986</v>
      </c>
      <c r="I27" s="35">
        <v>50000</v>
      </c>
      <c r="J27" s="41">
        <f t="shared" si="3"/>
        <v>1.66</v>
      </c>
      <c r="K27" s="29"/>
      <c r="L27" s="5"/>
      <c r="M27" s="47"/>
      <c r="N27" s="35"/>
      <c r="O27" s="7"/>
      <c r="P27" s="32">
        <f t="shared" si="4"/>
        <v>44066</v>
      </c>
      <c r="Q27" s="42"/>
      <c r="R27" s="33"/>
      <c r="S27" s="113"/>
      <c r="T27" s="111"/>
      <c r="U27" s="33"/>
      <c r="V27" s="113"/>
      <c r="W27" s="111"/>
      <c r="X27" s="33"/>
      <c r="Y27" s="113"/>
      <c r="Z27" s="111"/>
      <c r="AA27" s="33"/>
      <c r="AB27" s="113"/>
      <c r="AC27" s="111"/>
      <c r="AD27" s="33"/>
      <c r="AE27" s="113"/>
      <c r="AF27" s="111"/>
      <c r="AG27" s="33"/>
      <c r="AH27" s="113"/>
      <c r="AI27" s="20"/>
      <c r="AJ27" s="34">
        <f t="shared" si="5"/>
        <v>44066</v>
      </c>
      <c r="AK27" s="35"/>
      <c r="AL27" s="138"/>
      <c r="AM27" s="139"/>
      <c r="AN27" s="138"/>
      <c r="AO27" s="139">
        <v>20000</v>
      </c>
      <c r="AP27" s="138"/>
      <c r="AQ27" s="139"/>
      <c r="AR27" s="138"/>
      <c r="AS27" s="139"/>
      <c r="AT27" s="138"/>
      <c r="AU27" s="139">
        <v>13000</v>
      </c>
      <c r="AV27" s="138"/>
      <c r="AW27" s="151"/>
      <c r="AX27" s="138"/>
      <c r="AY27" s="149"/>
      <c r="AZ27" s="138"/>
      <c r="BA27" s="149"/>
      <c r="BB27" s="138"/>
      <c r="BC27" s="149">
        <v>60000</v>
      </c>
      <c r="BD27" s="138">
        <v>190000</v>
      </c>
      <c r="BE27" s="149"/>
      <c r="BF27" s="138"/>
      <c r="BG27" s="138"/>
      <c r="BH27" s="138"/>
      <c r="BI27" s="138"/>
      <c r="BJ27" s="160"/>
      <c r="BK27" s="158"/>
      <c r="BL27" s="158"/>
      <c r="BM27" s="158"/>
      <c r="BN27" s="158"/>
      <c r="BO27" s="145"/>
      <c r="BP27" s="138"/>
      <c r="BQ27" s="1"/>
    </row>
    <row r="28" spans="1:69">
      <c r="A28" s="21">
        <f t="shared" si="0"/>
        <v>44067</v>
      </c>
      <c r="B28" s="38">
        <v>23000</v>
      </c>
      <c r="C28" s="38">
        <v>8000</v>
      </c>
      <c r="D28" s="39">
        <f t="shared" si="1"/>
        <v>31000</v>
      </c>
      <c r="E28" s="299">
        <v>45570</v>
      </c>
      <c r="F28" s="35">
        <v>200</v>
      </c>
      <c r="G28" s="27"/>
      <c r="H28" s="28">
        <f t="shared" si="6"/>
        <v>45770</v>
      </c>
      <c r="I28" s="35"/>
      <c r="J28" s="41" t="str">
        <f t="shared" si="3"/>
        <v/>
      </c>
      <c r="K28" s="29"/>
      <c r="L28" s="5"/>
      <c r="M28" s="49" t="s">
        <v>33</v>
      </c>
      <c r="N28" s="50">
        <f>SUM(N20:N27)</f>
        <v>565800</v>
      </c>
      <c r="O28" s="7"/>
      <c r="P28" s="32">
        <f t="shared" si="4"/>
        <v>44067</v>
      </c>
      <c r="Q28" s="42"/>
      <c r="R28" s="33"/>
      <c r="S28" s="113"/>
      <c r="T28" s="111"/>
      <c r="U28" s="33"/>
      <c r="V28" s="113"/>
      <c r="W28" s="111"/>
      <c r="X28" s="33"/>
      <c r="Y28" s="113"/>
      <c r="Z28" s="111"/>
      <c r="AA28" s="33"/>
      <c r="AB28" s="113"/>
      <c r="AC28" s="111"/>
      <c r="AD28" s="33"/>
      <c r="AE28" s="113"/>
      <c r="AF28" s="111"/>
      <c r="AG28" s="33"/>
      <c r="AH28" s="113"/>
      <c r="AI28" s="20"/>
      <c r="AJ28" s="34">
        <f t="shared" si="5"/>
        <v>44067</v>
      </c>
      <c r="AK28" s="35"/>
      <c r="AL28" s="138"/>
      <c r="AM28" s="139"/>
      <c r="AN28" s="138"/>
      <c r="AO28" s="139">
        <v>14000</v>
      </c>
      <c r="AP28" s="138"/>
      <c r="AQ28" s="139"/>
      <c r="AR28" s="138"/>
      <c r="AS28" s="139"/>
      <c r="AT28" s="138"/>
      <c r="AU28" s="139"/>
      <c r="AV28" s="138"/>
      <c r="AW28" s="151"/>
      <c r="AX28" s="138"/>
      <c r="AY28" s="149"/>
      <c r="AZ28" s="138"/>
      <c r="BA28" s="149"/>
      <c r="BB28" s="138"/>
      <c r="BC28" s="149"/>
      <c r="BD28" s="138"/>
      <c r="BE28" s="149"/>
      <c r="BF28" s="138"/>
      <c r="BG28" s="138"/>
      <c r="BH28" s="138"/>
      <c r="BI28" s="138"/>
      <c r="BJ28" s="138"/>
      <c r="BK28" s="159"/>
      <c r="BL28" s="159">
        <v>3000</v>
      </c>
      <c r="BM28" s="159">
        <v>14000</v>
      </c>
      <c r="BN28" s="159"/>
      <c r="BO28" s="149"/>
      <c r="BP28" s="138"/>
      <c r="BQ28" s="1"/>
    </row>
    <row r="29" spans="1:69">
      <c r="A29" s="21">
        <f t="shared" si="0"/>
        <v>44068</v>
      </c>
      <c r="B29" s="38">
        <v>0</v>
      </c>
      <c r="C29" s="38"/>
      <c r="D29" s="39">
        <f t="shared" si="1"/>
        <v>0</v>
      </c>
      <c r="E29" s="40"/>
      <c r="F29" s="35"/>
      <c r="G29" s="27"/>
      <c r="H29" s="28">
        <f t="shared" si="6"/>
        <v>0</v>
      </c>
      <c r="I29" s="35"/>
      <c r="J29" s="41" t="str">
        <f t="shared" si="3"/>
        <v/>
      </c>
      <c r="K29" s="29"/>
      <c r="L29" s="5"/>
      <c r="M29" s="51"/>
      <c r="N29" s="7"/>
      <c r="O29" s="7"/>
      <c r="P29" s="32">
        <f t="shared" si="4"/>
        <v>44068</v>
      </c>
      <c r="Q29" s="42"/>
      <c r="R29" s="33"/>
      <c r="S29" s="113"/>
      <c r="T29" s="111"/>
      <c r="U29" s="33"/>
      <c r="V29" s="113"/>
      <c r="W29" s="111"/>
      <c r="X29" s="33"/>
      <c r="Y29" s="113"/>
      <c r="Z29" s="111"/>
      <c r="AA29" s="33"/>
      <c r="AB29" s="113"/>
      <c r="AC29" s="111"/>
      <c r="AD29" s="33"/>
      <c r="AE29" s="113"/>
      <c r="AF29" s="111"/>
      <c r="AG29" s="33"/>
      <c r="AH29" s="113"/>
      <c r="AI29" s="20"/>
      <c r="AJ29" s="34">
        <f t="shared" si="5"/>
        <v>44068</v>
      </c>
      <c r="AK29" s="35"/>
      <c r="AL29" s="138"/>
      <c r="AM29" s="139"/>
      <c r="AN29" s="138"/>
      <c r="AO29" s="139"/>
      <c r="AP29" s="138"/>
      <c r="AQ29" s="139"/>
      <c r="AR29" s="138"/>
      <c r="AS29" s="139"/>
      <c r="AT29" s="138"/>
      <c r="AU29" s="139"/>
      <c r="AV29" s="138"/>
      <c r="AW29" s="151"/>
      <c r="AX29" s="138"/>
      <c r="AY29" s="149"/>
      <c r="AZ29" s="138"/>
      <c r="BA29" s="149"/>
      <c r="BB29" s="138"/>
      <c r="BC29" s="149"/>
      <c r="BD29" s="138"/>
      <c r="BE29" s="149"/>
      <c r="BF29" s="138"/>
      <c r="BG29" s="138"/>
      <c r="BH29" s="138"/>
      <c r="BI29" s="138"/>
      <c r="BJ29" s="138"/>
      <c r="BK29" s="138"/>
      <c r="BL29" s="138"/>
      <c r="BM29" s="138"/>
      <c r="BN29" s="138"/>
      <c r="BO29" s="149"/>
      <c r="BP29" s="138"/>
      <c r="BQ29" s="1"/>
    </row>
    <row r="30" spans="1:69">
      <c r="A30" s="21">
        <f t="shared" si="0"/>
        <v>44069</v>
      </c>
      <c r="B30" s="38">
        <v>31000</v>
      </c>
      <c r="C30" s="38">
        <v>10000</v>
      </c>
      <c r="D30" s="39">
        <f t="shared" si="1"/>
        <v>41000</v>
      </c>
      <c r="E30" s="40">
        <v>15936</v>
      </c>
      <c r="F30" s="35"/>
      <c r="G30" s="27"/>
      <c r="H30" s="28">
        <f t="shared" si="6"/>
        <v>15936</v>
      </c>
      <c r="I30" s="35"/>
      <c r="J30" s="41" t="str">
        <f t="shared" si="3"/>
        <v/>
      </c>
      <c r="K30" s="29"/>
      <c r="L30" s="5"/>
      <c r="M30" s="45"/>
      <c r="N30" s="7"/>
      <c r="O30" s="7"/>
      <c r="P30" s="32">
        <f t="shared" si="4"/>
        <v>44069</v>
      </c>
      <c r="Q30" s="42"/>
      <c r="R30" s="33"/>
      <c r="S30" s="113"/>
      <c r="T30" s="111"/>
      <c r="U30" s="33"/>
      <c r="V30" s="113"/>
      <c r="W30" s="111"/>
      <c r="X30" s="33"/>
      <c r="Y30" s="113"/>
      <c r="Z30" s="111"/>
      <c r="AA30" s="33"/>
      <c r="AB30" s="113"/>
      <c r="AC30" s="111"/>
      <c r="AD30" s="33"/>
      <c r="AE30" s="113"/>
      <c r="AF30" s="111"/>
      <c r="AG30" s="33"/>
      <c r="AH30" s="113"/>
      <c r="AI30" s="20"/>
      <c r="AJ30" s="34">
        <f t="shared" si="5"/>
        <v>44069</v>
      </c>
      <c r="AK30" s="35"/>
      <c r="AL30" s="138"/>
      <c r="AM30" s="139"/>
      <c r="AN30" s="138"/>
      <c r="AO30" s="139">
        <v>18000</v>
      </c>
      <c r="AP30" s="138"/>
      <c r="AQ30" s="139"/>
      <c r="AR30" s="138"/>
      <c r="AS30" s="139"/>
      <c r="AT30" s="138"/>
      <c r="AU30" s="139">
        <v>10000</v>
      </c>
      <c r="AV30" s="138"/>
      <c r="AW30" s="151"/>
      <c r="AX30" s="138"/>
      <c r="AY30" s="149">
        <v>10000</v>
      </c>
      <c r="AZ30" s="138"/>
      <c r="BA30" s="149"/>
      <c r="BB30" s="138"/>
      <c r="BC30" s="149"/>
      <c r="BD30" s="138"/>
      <c r="BE30" s="149"/>
      <c r="BF30" s="138"/>
      <c r="BG30" s="138"/>
      <c r="BH30" s="138"/>
      <c r="BI30" s="138"/>
      <c r="BJ30" s="138"/>
      <c r="BK30" s="138">
        <v>3000</v>
      </c>
      <c r="BL30" s="138"/>
      <c r="BM30" s="138"/>
      <c r="BN30" s="138"/>
      <c r="BO30" s="149"/>
      <c r="BP30" s="138"/>
      <c r="BQ30" s="1"/>
    </row>
    <row r="31" spans="1:69">
      <c r="A31" s="21">
        <f t="shared" si="0"/>
        <v>44070</v>
      </c>
      <c r="B31" s="38">
        <v>39000</v>
      </c>
      <c r="C31" s="38"/>
      <c r="D31" s="39">
        <f t="shared" si="1"/>
        <v>39000</v>
      </c>
      <c r="E31" s="40"/>
      <c r="F31" s="35">
        <v>5026</v>
      </c>
      <c r="G31" s="27">
        <v>3000</v>
      </c>
      <c r="H31" s="28">
        <f t="shared" si="6"/>
        <v>8026</v>
      </c>
      <c r="I31" s="35">
        <v>21000</v>
      </c>
      <c r="J31" s="41">
        <f t="shared" si="3"/>
        <v>1.8571428571428572</v>
      </c>
      <c r="K31" s="29"/>
      <c r="L31" s="5"/>
      <c r="M31" s="45"/>
      <c r="N31" s="52"/>
      <c r="O31" s="7"/>
      <c r="P31" s="32">
        <f t="shared" si="4"/>
        <v>44070</v>
      </c>
      <c r="Q31" s="42"/>
      <c r="R31" s="33"/>
      <c r="S31" s="113"/>
      <c r="T31" s="111"/>
      <c r="U31" s="33"/>
      <c r="V31" s="113"/>
      <c r="W31" s="111"/>
      <c r="X31" s="33"/>
      <c r="Y31" s="113"/>
      <c r="Z31" s="111"/>
      <c r="AA31" s="33"/>
      <c r="AB31" s="113"/>
      <c r="AC31" s="111"/>
      <c r="AD31" s="33"/>
      <c r="AE31" s="113"/>
      <c r="AF31" s="111"/>
      <c r="AG31" s="33"/>
      <c r="AH31" s="113"/>
      <c r="AI31" s="20"/>
      <c r="AJ31" s="34">
        <f t="shared" si="5"/>
        <v>44070</v>
      </c>
      <c r="AK31" s="35"/>
      <c r="AL31" s="138"/>
      <c r="AM31" s="139"/>
      <c r="AN31" s="138"/>
      <c r="AO31" s="139">
        <v>2000</v>
      </c>
      <c r="AP31" s="138"/>
      <c r="AQ31" s="139"/>
      <c r="AR31" s="138"/>
      <c r="AS31" s="139"/>
      <c r="AT31" s="138"/>
      <c r="AU31" s="139"/>
      <c r="AV31" s="138"/>
      <c r="AW31" s="151"/>
      <c r="AX31" s="138"/>
      <c r="AY31" s="149"/>
      <c r="AZ31" s="138"/>
      <c r="BA31" s="149">
        <v>2000</v>
      </c>
      <c r="BB31" s="138"/>
      <c r="BC31" s="149"/>
      <c r="BD31" s="138"/>
      <c r="BE31" s="149"/>
      <c r="BF31" s="138"/>
      <c r="BG31" s="138"/>
      <c r="BH31" s="138"/>
      <c r="BI31" s="138"/>
      <c r="BJ31" s="138"/>
      <c r="BK31" s="138"/>
      <c r="BL31" s="138"/>
      <c r="BM31" s="138"/>
      <c r="BN31" s="138"/>
      <c r="BO31" s="149"/>
      <c r="BP31" s="138"/>
      <c r="BQ31" s="1"/>
    </row>
    <row r="32" spans="1:69">
      <c r="A32" s="21">
        <f t="shared" si="0"/>
        <v>44071</v>
      </c>
      <c r="B32" s="38">
        <v>66000</v>
      </c>
      <c r="C32" s="38"/>
      <c r="D32" s="39">
        <f t="shared" si="1"/>
        <v>66000</v>
      </c>
      <c r="E32" s="40">
        <v>9438</v>
      </c>
      <c r="F32" s="35"/>
      <c r="G32" s="27"/>
      <c r="H32" s="28">
        <f t="shared" si="6"/>
        <v>9438</v>
      </c>
      <c r="I32" s="35"/>
      <c r="J32" s="41" t="str">
        <f t="shared" si="3"/>
        <v/>
      </c>
      <c r="K32" s="29"/>
      <c r="L32" s="5"/>
      <c r="M32" s="53" t="s">
        <v>34</v>
      </c>
      <c r="N32" s="38">
        <f>D37</f>
        <v>1765000</v>
      </c>
      <c r="O32" s="6"/>
      <c r="P32" s="32">
        <f t="shared" si="4"/>
        <v>44071</v>
      </c>
      <c r="Q32" s="42"/>
      <c r="R32" s="33"/>
      <c r="S32" s="113"/>
      <c r="T32" s="111"/>
      <c r="U32" s="33"/>
      <c r="V32" s="113"/>
      <c r="W32" s="111"/>
      <c r="X32" s="33"/>
      <c r="Y32" s="113"/>
      <c r="Z32" s="111"/>
      <c r="AA32" s="33"/>
      <c r="AB32" s="113"/>
      <c r="AC32" s="111"/>
      <c r="AD32" s="33"/>
      <c r="AE32" s="113"/>
      <c r="AF32" s="111"/>
      <c r="AG32" s="33"/>
      <c r="AH32" s="113"/>
      <c r="AI32" s="20"/>
      <c r="AJ32" s="54">
        <f t="shared" si="5"/>
        <v>44071</v>
      </c>
      <c r="AK32" s="35"/>
      <c r="AL32" s="138"/>
      <c r="AM32" s="139">
        <v>20000</v>
      </c>
      <c r="AN32" s="138"/>
      <c r="AO32" s="139">
        <v>23000</v>
      </c>
      <c r="AP32" s="138"/>
      <c r="AQ32" s="139">
        <v>20000</v>
      </c>
      <c r="AR32" s="138"/>
      <c r="AS32" s="139"/>
      <c r="AT32" s="138"/>
      <c r="AU32" s="139"/>
      <c r="AV32" s="138"/>
      <c r="AW32" s="151"/>
      <c r="AX32" s="138"/>
      <c r="AY32" s="149"/>
      <c r="AZ32" s="138"/>
      <c r="BA32" s="149">
        <v>3000</v>
      </c>
      <c r="BB32" s="138"/>
      <c r="BC32" s="149"/>
      <c r="BD32" s="138"/>
      <c r="BE32" s="149"/>
      <c r="BF32" s="138"/>
      <c r="BG32" s="138"/>
      <c r="BH32" s="138"/>
      <c r="BI32" s="138"/>
      <c r="BJ32" s="138"/>
      <c r="BK32" s="138"/>
      <c r="BL32" s="138"/>
      <c r="BM32" s="138"/>
      <c r="BN32" s="138"/>
      <c r="BO32" s="149"/>
      <c r="BP32" s="138"/>
      <c r="BQ32" s="1"/>
    </row>
    <row r="33" spans="1:69">
      <c r="A33" s="21">
        <f t="shared" si="0"/>
        <v>44072</v>
      </c>
      <c r="B33" s="38">
        <v>103000</v>
      </c>
      <c r="C33" s="38">
        <v>68000</v>
      </c>
      <c r="D33" s="39">
        <f t="shared" si="1"/>
        <v>171000</v>
      </c>
      <c r="E33" s="40">
        <v>7119</v>
      </c>
      <c r="F33" s="35"/>
      <c r="G33" s="27"/>
      <c r="H33" s="28">
        <f t="shared" si="6"/>
        <v>7119</v>
      </c>
      <c r="I33" s="35"/>
      <c r="J33" s="41" t="str">
        <f t="shared" si="3"/>
        <v/>
      </c>
      <c r="K33" s="29"/>
      <c r="L33" s="5"/>
      <c r="M33" s="53" t="s">
        <v>35</v>
      </c>
      <c r="N33" s="38">
        <f>H37</f>
        <v>261520</v>
      </c>
      <c r="O33" s="6"/>
      <c r="P33" s="32">
        <f>IF($A$33="","",$A$33)</f>
        <v>44072</v>
      </c>
      <c r="Q33" s="42"/>
      <c r="R33" s="33"/>
      <c r="S33" s="113"/>
      <c r="T33" s="111"/>
      <c r="U33" s="33"/>
      <c r="V33" s="113"/>
      <c r="W33" s="111"/>
      <c r="X33" s="33"/>
      <c r="Y33" s="113"/>
      <c r="Z33" s="111"/>
      <c r="AA33" s="33"/>
      <c r="AB33" s="113"/>
      <c r="AC33" s="111"/>
      <c r="AD33" s="33"/>
      <c r="AE33" s="113"/>
      <c r="AF33" s="111"/>
      <c r="AG33" s="33"/>
      <c r="AH33" s="113"/>
      <c r="AI33" s="20"/>
      <c r="AJ33" s="55">
        <f>IF($A$33="","",$A$33)</f>
        <v>44072</v>
      </c>
      <c r="AK33" s="56"/>
      <c r="AL33" s="138"/>
      <c r="AM33" s="139">
        <v>10000</v>
      </c>
      <c r="AN33" s="138"/>
      <c r="AO33" s="139">
        <v>89000</v>
      </c>
      <c r="AP33" s="138"/>
      <c r="AQ33" s="139">
        <v>3000</v>
      </c>
      <c r="AR33" s="138"/>
      <c r="AS33" s="139"/>
      <c r="AT33" s="138"/>
      <c r="AU33" s="139"/>
      <c r="AV33" s="138"/>
      <c r="AW33" s="151">
        <v>18000</v>
      </c>
      <c r="AX33" s="138"/>
      <c r="AY33" s="149"/>
      <c r="AZ33" s="138"/>
      <c r="BA33" s="149"/>
      <c r="BB33" s="138"/>
      <c r="BC33" s="149"/>
      <c r="BD33" s="138"/>
      <c r="BE33" s="149"/>
      <c r="BF33" s="138"/>
      <c r="BG33" s="138"/>
      <c r="BH33" s="138"/>
      <c r="BI33" s="138"/>
      <c r="BJ33" s="138">
        <v>8000</v>
      </c>
      <c r="BK33" s="138">
        <v>43000</v>
      </c>
      <c r="BL33" s="138"/>
      <c r="BM33" s="138"/>
      <c r="BN33" s="138"/>
      <c r="BO33" s="149"/>
      <c r="BP33" s="138"/>
      <c r="BQ33" s="1"/>
    </row>
    <row r="34" spans="1:69">
      <c r="A34" s="21">
        <f t="shared" si="0"/>
        <v>44073</v>
      </c>
      <c r="B34" s="38">
        <v>25000</v>
      </c>
      <c r="C34" s="38"/>
      <c r="D34" s="39">
        <f t="shared" si="1"/>
        <v>25000</v>
      </c>
      <c r="E34" s="40">
        <f>5192+7260</f>
        <v>12452</v>
      </c>
      <c r="F34" s="35"/>
      <c r="G34" s="27"/>
      <c r="H34" s="28">
        <f t="shared" si="6"/>
        <v>12452</v>
      </c>
      <c r="I34" s="35"/>
      <c r="J34" s="41" t="str">
        <f t="shared" si="3"/>
        <v/>
      </c>
      <c r="K34" s="29"/>
      <c r="L34" s="5"/>
      <c r="M34" s="53" t="s">
        <v>36</v>
      </c>
      <c r="N34" s="38">
        <f>N28</f>
        <v>565800</v>
      </c>
      <c r="O34" s="6"/>
      <c r="P34" s="32">
        <f>IF($A$34="","",$A$34)</f>
        <v>44073</v>
      </c>
      <c r="Q34" s="42"/>
      <c r="R34" s="33"/>
      <c r="S34" s="113"/>
      <c r="T34" s="111"/>
      <c r="U34" s="33"/>
      <c r="V34" s="113"/>
      <c r="W34" s="111"/>
      <c r="X34" s="33"/>
      <c r="Y34" s="113"/>
      <c r="Z34" s="111"/>
      <c r="AA34" s="33"/>
      <c r="AB34" s="113"/>
      <c r="AC34" s="111"/>
      <c r="AD34" s="33"/>
      <c r="AE34" s="113"/>
      <c r="AF34" s="111"/>
      <c r="AG34" s="33"/>
      <c r="AH34" s="113"/>
      <c r="AI34" s="20"/>
      <c r="AJ34" s="55">
        <f>IF($A$34="","",$A$34)</f>
        <v>44073</v>
      </c>
      <c r="AK34" s="137"/>
      <c r="AL34" s="154"/>
      <c r="AM34" s="155"/>
      <c r="AN34" s="154"/>
      <c r="AO34" s="155">
        <v>20000</v>
      </c>
      <c r="AP34" s="154"/>
      <c r="AQ34" s="155">
        <v>5000</v>
      </c>
      <c r="AR34" s="154"/>
      <c r="AS34" s="155"/>
      <c r="AT34" s="154"/>
      <c r="AU34" s="155"/>
      <c r="AV34" s="154"/>
      <c r="AW34" s="156"/>
      <c r="AX34" s="154"/>
      <c r="AY34" s="157"/>
      <c r="AZ34" s="154"/>
      <c r="BA34" s="157"/>
      <c r="BB34" s="154"/>
      <c r="BC34" s="157"/>
      <c r="BD34" s="154"/>
      <c r="BE34" s="157"/>
      <c r="BF34" s="154"/>
      <c r="BG34" s="154"/>
      <c r="BH34" s="154"/>
      <c r="BI34" s="154"/>
      <c r="BJ34" s="154"/>
      <c r="BK34" s="154"/>
      <c r="BL34" s="154"/>
      <c r="BM34" s="154"/>
      <c r="BN34" s="154"/>
      <c r="BO34" s="157"/>
      <c r="BP34" s="154"/>
      <c r="BQ34" s="1"/>
    </row>
    <row r="35" spans="1:69" ht="21" thickBot="1">
      <c r="A35" s="21">
        <f t="shared" si="0"/>
        <v>44074</v>
      </c>
      <c r="B35" s="38">
        <v>18000</v>
      </c>
      <c r="C35" s="38"/>
      <c r="D35" s="39">
        <f t="shared" si="1"/>
        <v>18000</v>
      </c>
      <c r="E35" s="40"/>
      <c r="F35" s="35"/>
      <c r="G35" s="27"/>
      <c r="H35" s="28">
        <f t="shared" si="6"/>
        <v>0</v>
      </c>
      <c r="I35" s="57"/>
      <c r="J35" s="58" t="str">
        <f t="shared" si="3"/>
        <v/>
      </c>
      <c r="K35" s="59"/>
      <c r="L35" s="5"/>
      <c r="M35" s="60" t="s">
        <v>37</v>
      </c>
      <c r="N35" s="61">
        <f>IFERROR(N32-N33-N34, "")</f>
        <v>937680</v>
      </c>
      <c r="O35" s="6"/>
      <c r="P35" s="32">
        <f>IF($A$35="","",$A$35)</f>
        <v>44074</v>
      </c>
      <c r="Q35" s="42"/>
      <c r="R35" s="33"/>
      <c r="S35" s="113"/>
      <c r="T35" s="111"/>
      <c r="U35" s="33"/>
      <c r="V35" s="113"/>
      <c r="W35" s="111"/>
      <c r="X35" s="33"/>
      <c r="Y35" s="113"/>
      <c r="Z35" s="111"/>
      <c r="AA35" s="33"/>
      <c r="AB35" s="113"/>
      <c r="AC35" s="111"/>
      <c r="AD35" s="33"/>
      <c r="AE35" s="113"/>
      <c r="AF35" s="111"/>
      <c r="AG35" s="33"/>
      <c r="AH35" s="113"/>
      <c r="AI35" s="20"/>
      <c r="AJ35" s="136">
        <f>IF($A$35="","",$A$35)</f>
        <v>44074</v>
      </c>
      <c r="AK35" s="115"/>
      <c r="AL35" s="158"/>
      <c r="AM35" s="147"/>
      <c r="AN35" s="158"/>
      <c r="AO35" s="147">
        <v>18000</v>
      </c>
      <c r="AP35" s="158"/>
      <c r="AQ35" s="147"/>
      <c r="AR35" s="158"/>
      <c r="AS35" s="147"/>
      <c r="AT35" s="158"/>
      <c r="AU35" s="147"/>
      <c r="AV35" s="158"/>
      <c r="AW35" s="147"/>
      <c r="AX35" s="158"/>
      <c r="AY35" s="147"/>
      <c r="AZ35" s="158"/>
      <c r="BA35" s="147"/>
      <c r="BB35" s="158"/>
      <c r="BC35" s="147"/>
      <c r="BD35" s="158"/>
      <c r="BE35" s="147"/>
      <c r="BF35" s="158"/>
      <c r="BG35" s="158"/>
      <c r="BH35" s="158"/>
      <c r="BI35" s="158"/>
      <c r="BJ35" s="158"/>
      <c r="BK35" s="158"/>
      <c r="BL35" s="158"/>
      <c r="BM35" s="158"/>
      <c r="BN35" s="158"/>
      <c r="BO35" s="147"/>
      <c r="BP35" s="158"/>
      <c r="BQ35" s="1"/>
    </row>
    <row r="36" spans="1:69" ht="22" thickTop="1" thickBot="1">
      <c r="A36" s="65"/>
      <c r="B36" s="66" t="s">
        <v>38</v>
      </c>
      <c r="C36" s="66" t="s">
        <v>39</v>
      </c>
      <c r="D36" s="67" t="s">
        <v>34</v>
      </c>
      <c r="E36" s="68" t="s">
        <v>40</v>
      </c>
      <c r="F36" s="69" t="s">
        <v>16</v>
      </c>
      <c r="G36" s="70" t="s">
        <v>5</v>
      </c>
      <c r="H36" s="71" t="s">
        <v>41</v>
      </c>
      <c r="I36" s="72" t="s">
        <v>42</v>
      </c>
      <c r="J36" s="72" t="s">
        <v>43</v>
      </c>
      <c r="K36" s="73"/>
      <c r="L36" s="5"/>
      <c r="M36" s="74"/>
      <c r="N36" s="75"/>
      <c r="O36" s="7"/>
      <c r="P36" s="557"/>
      <c r="Q36" s="76" t="s">
        <v>44</v>
      </c>
      <c r="R36" s="77"/>
      <c r="S36" s="78"/>
      <c r="T36" s="76" t="s">
        <v>44</v>
      </c>
      <c r="U36" s="77"/>
      <c r="V36" s="79"/>
      <c r="W36" s="76" t="s">
        <v>44</v>
      </c>
      <c r="X36" s="77"/>
      <c r="Y36" s="79"/>
      <c r="Z36" s="76" t="s">
        <v>44</v>
      </c>
      <c r="AA36" s="77"/>
      <c r="AB36" s="79"/>
      <c r="AC36" s="76" t="s">
        <v>44</v>
      </c>
      <c r="AD36" s="77"/>
      <c r="AE36" s="79"/>
      <c r="AF36" s="76" t="s">
        <v>44</v>
      </c>
      <c r="AG36" s="77"/>
      <c r="AH36" s="79"/>
      <c r="AI36" s="80"/>
      <c r="AJ36" s="80"/>
      <c r="AK36" s="115">
        <f>SUM(AK5:AK35)</f>
        <v>13000</v>
      </c>
      <c r="AL36" s="115">
        <f>SUM(AL5:AL35)</f>
        <v>0</v>
      </c>
      <c r="AM36" s="115">
        <f t="shared" ref="AM36:BP36" si="7">SUM(AM5:AM35)</f>
        <v>35000</v>
      </c>
      <c r="AN36" s="115">
        <f t="shared" si="7"/>
        <v>0</v>
      </c>
      <c r="AO36" s="115">
        <f t="shared" si="7"/>
        <v>470000</v>
      </c>
      <c r="AP36" s="115">
        <f t="shared" si="7"/>
        <v>0</v>
      </c>
      <c r="AQ36" s="115">
        <f t="shared" si="7"/>
        <v>172000</v>
      </c>
      <c r="AR36" s="115">
        <f t="shared" si="7"/>
        <v>0</v>
      </c>
      <c r="AS36" s="115">
        <f t="shared" si="7"/>
        <v>230000</v>
      </c>
      <c r="AT36" s="115">
        <f t="shared" si="7"/>
        <v>0</v>
      </c>
      <c r="AU36" s="115">
        <f t="shared" si="7"/>
        <v>117000</v>
      </c>
      <c r="AV36" s="115">
        <f t="shared" si="7"/>
        <v>0</v>
      </c>
      <c r="AW36" s="115">
        <f t="shared" si="7"/>
        <v>68000</v>
      </c>
      <c r="AX36" s="115">
        <f t="shared" si="7"/>
        <v>0</v>
      </c>
      <c r="AY36" s="115">
        <f t="shared" si="7"/>
        <v>102000</v>
      </c>
      <c r="AZ36" s="115">
        <f t="shared" si="7"/>
        <v>0</v>
      </c>
      <c r="BA36" s="115">
        <f t="shared" si="7"/>
        <v>52000</v>
      </c>
      <c r="BB36" s="115">
        <f t="shared" si="7"/>
        <v>0</v>
      </c>
      <c r="BC36" s="115">
        <f t="shared" si="7"/>
        <v>60000</v>
      </c>
      <c r="BD36" s="115">
        <f t="shared" si="7"/>
        <v>190000</v>
      </c>
      <c r="BE36" s="115">
        <f t="shared" si="7"/>
        <v>11000</v>
      </c>
      <c r="BF36" s="115">
        <f t="shared" si="7"/>
        <v>0</v>
      </c>
      <c r="BG36" s="115">
        <f t="shared" si="7"/>
        <v>25000</v>
      </c>
      <c r="BH36" s="115">
        <f t="shared" si="7"/>
        <v>23000</v>
      </c>
      <c r="BI36" s="115">
        <f t="shared" si="7"/>
        <v>32000</v>
      </c>
      <c r="BJ36" s="115">
        <f t="shared" si="7"/>
        <v>40000</v>
      </c>
      <c r="BK36" s="115">
        <f t="shared" si="7"/>
        <v>102000</v>
      </c>
      <c r="BL36" s="115">
        <f t="shared" si="7"/>
        <v>3000</v>
      </c>
      <c r="BM36" s="115">
        <f t="shared" si="7"/>
        <v>14000</v>
      </c>
      <c r="BN36" s="115">
        <f t="shared" si="7"/>
        <v>10000</v>
      </c>
      <c r="BO36" s="115">
        <f t="shared" si="7"/>
        <v>4000</v>
      </c>
      <c r="BP36" s="115">
        <f t="shared" si="7"/>
        <v>0</v>
      </c>
      <c r="BQ36" s="1"/>
    </row>
    <row r="37" spans="1:69" ht="22" thickTop="1" thickBot="1">
      <c r="A37" s="81" t="s">
        <v>33</v>
      </c>
      <c r="B37" s="82">
        <f>SUM(B5:B35)</f>
        <v>1346000</v>
      </c>
      <c r="C37" s="82">
        <f>SUM(C5:C33)</f>
        <v>462000</v>
      </c>
      <c r="D37" s="82">
        <f>SUM(D5:D33)</f>
        <v>1765000</v>
      </c>
      <c r="E37" s="83">
        <f>SUM(E5:E33)</f>
        <v>243377</v>
      </c>
      <c r="F37" s="84">
        <f>SUM(F5:F35)</f>
        <v>12143</v>
      </c>
      <c r="G37" s="84">
        <f>SUM(G5:G35)</f>
        <v>6000</v>
      </c>
      <c r="H37" s="85">
        <f>SUM(H5:H33)</f>
        <v>261520</v>
      </c>
      <c r="I37" s="86">
        <f>SUM(I5:I35)</f>
        <v>281000</v>
      </c>
      <c r="J37" s="86">
        <f>IFERROR(32/I37, "")</f>
        <v>1.1387900355871886E-4</v>
      </c>
      <c r="K37" s="53"/>
      <c r="L37" s="5"/>
      <c r="M37" s="1"/>
      <c r="N37" s="1"/>
      <c r="O37" s="1"/>
      <c r="P37" s="554"/>
      <c r="Q37" s="87" t="s">
        <v>45</v>
      </c>
      <c r="R37" s="88">
        <f>SUM(R5:R35)-SUM(Q5:Q35)</f>
        <v>0</v>
      </c>
      <c r="S37" s="89"/>
      <c r="T37" s="87" t="s">
        <v>45</v>
      </c>
      <c r="U37" s="88">
        <f>SUM(U5:U35)-SUM(T5:T35)</f>
        <v>0</v>
      </c>
      <c r="V37" s="90"/>
      <c r="W37" s="87" t="s">
        <v>45</v>
      </c>
      <c r="X37" s="88">
        <f>SUM(X5:X35)-SUM(W5:W35)</f>
        <v>0</v>
      </c>
      <c r="Y37" s="90"/>
      <c r="Z37" s="87" t="s">
        <v>45</v>
      </c>
      <c r="AA37" s="88">
        <f>SUM(AA5:AA35)-SUM(Z5:Z35)</f>
        <v>0</v>
      </c>
      <c r="AB37" s="90"/>
      <c r="AC37" s="87" t="s">
        <v>45</v>
      </c>
      <c r="AD37" s="88">
        <f>SUM(AD5:AD35)-SUM(AC5:AC35)</f>
        <v>0</v>
      </c>
      <c r="AE37" s="90"/>
      <c r="AF37" s="87" t="s">
        <v>45</v>
      </c>
      <c r="AG37" s="88">
        <f>SUM(AG5:AG35)-SUM(AF5:AF35)</f>
        <v>0</v>
      </c>
      <c r="AH37" s="90"/>
      <c r="AI37" s="80"/>
      <c r="AJ37" s="80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O37" s="1"/>
      <c r="BP37" s="1"/>
      <c r="BQ37" s="1"/>
    </row>
    <row r="38" spans="1:69">
      <c r="A38" s="181"/>
      <c r="H38" s="181" t="s">
        <v>220</v>
      </c>
    </row>
    <row r="39" spans="1:69">
      <c r="A39" s="308"/>
      <c r="B39" s="309"/>
      <c r="C39" s="182"/>
      <c r="H39" s="181" t="s">
        <v>221</v>
      </c>
    </row>
    <row r="40" spans="1:69">
      <c r="A40" s="308"/>
      <c r="B40" s="309"/>
      <c r="C40" s="182"/>
    </row>
    <row r="41" spans="1:69">
      <c r="A41" s="182"/>
      <c r="B41" s="182"/>
      <c r="C41" s="182"/>
    </row>
    <row r="42" spans="1:69">
      <c r="A42" s="182"/>
      <c r="B42" s="182"/>
      <c r="C42" s="182"/>
    </row>
    <row r="43" spans="1:69">
      <c r="A43" s="182"/>
      <c r="B43" s="182"/>
      <c r="C43" s="182"/>
    </row>
    <row r="44" spans="1:69">
      <c r="A44" s="182"/>
      <c r="B44" s="182"/>
      <c r="C44" s="182"/>
    </row>
    <row r="45" spans="1:69">
      <c r="A45" s="182"/>
      <c r="B45" s="182"/>
      <c r="C45" s="182"/>
    </row>
    <row r="46" spans="1:69">
      <c r="A46" s="182"/>
      <c r="B46" s="182"/>
      <c r="C46" s="182"/>
    </row>
    <row r="47" spans="1:69">
      <c r="A47" s="182"/>
      <c r="B47" s="182"/>
      <c r="C47" s="182"/>
    </row>
    <row r="48" spans="1:69">
      <c r="A48" s="182"/>
      <c r="B48" s="182"/>
      <c r="C48" s="182"/>
    </row>
    <row r="49" spans="1:3">
      <c r="A49" s="182"/>
      <c r="B49" s="182"/>
      <c r="C49" s="182"/>
    </row>
    <row r="50" spans="1:3">
      <c r="A50" s="182"/>
      <c r="B50" s="182"/>
      <c r="C50" s="182"/>
    </row>
    <row r="51" spans="1:3">
      <c r="A51" s="182"/>
      <c r="B51" s="182"/>
      <c r="C51" s="182"/>
    </row>
    <row r="52" spans="1:3">
      <c r="A52" s="182"/>
      <c r="B52" s="182"/>
      <c r="C52" s="182"/>
    </row>
    <row r="53" spans="1:3">
      <c r="A53" s="182"/>
      <c r="B53" s="182"/>
      <c r="C53" s="182"/>
    </row>
    <row r="54" spans="1:3">
      <c r="A54" s="182"/>
      <c r="B54" s="182"/>
      <c r="C54" s="182"/>
    </row>
    <row r="55" spans="1:3">
      <c r="A55" s="182"/>
      <c r="B55" s="182"/>
      <c r="C55" s="182"/>
    </row>
    <row r="56" spans="1:3">
      <c r="A56" s="182"/>
      <c r="B56" s="182"/>
      <c r="C56" s="182"/>
    </row>
    <row r="57" spans="1:3">
      <c r="A57" s="310"/>
      <c r="B57" s="182"/>
      <c r="C57" s="182"/>
    </row>
  </sheetData>
  <mergeCells count="50">
    <mergeCell ref="BM3:BM4"/>
    <mergeCell ref="BL3:BL4"/>
    <mergeCell ref="BO3:BO4"/>
    <mergeCell ref="BP3:BP4"/>
    <mergeCell ref="M19:N19"/>
    <mergeCell ref="BH3:BH4"/>
    <mergeCell ref="BJ3:BJ4"/>
    <mergeCell ref="N20:N21"/>
    <mergeCell ref="BD3:BD4"/>
    <mergeCell ref="BE3:BE4"/>
    <mergeCell ref="AS3:AS4"/>
    <mergeCell ref="AC3:AE3"/>
    <mergeCell ref="AF3:AH3"/>
    <mergeCell ref="AJ3:AJ4"/>
    <mergeCell ref="AK3:AK4"/>
    <mergeCell ref="AL3:AL4"/>
    <mergeCell ref="AM3:AM4"/>
    <mergeCell ref="Z3:AB3"/>
    <mergeCell ref="P36:P37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Y3:AY4"/>
    <mergeCell ref="AN3:AN4"/>
    <mergeCell ref="AO3:AO4"/>
    <mergeCell ref="AP3:AP4"/>
    <mergeCell ref="AQ3:AQ4"/>
    <mergeCell ref="AR3:AR4"/>
    <mergeCell ref="I3:I4"/>
    <mergeCell ref="BG3:BG4"/>
    <mergeCell ref="BN3:BN4"/>
    <mergeCell ref="BI3:BI4"/>
    <mergeCell ref="A1:A2"/>
    <mergeCell ref="B1:B2"/>
    <mergeCell ref="A3:A4"/>
    <mergeCell ref="B3:D3"/>
    <mergeCell ref="E3:H3"/>
    <mergeCell ref="J3:J4"/>
    <mergeCell ref="P3:P4"/>
    <mergeCell ref="Q3:S3"/>
    <mergeCell ref="T3:V3"/>
    <mergeCell ref="W3:Y3"/>
    <mergeCell ref="BF3:BF4"/>
    <mergeCell ref="BK3:BK4"/>
  </mergeCells>
  <phoneticPr fontId="7"/>
  <dataValidations count="6">
    <dataValidation type="list" allowBlank="1" showErrorMessage="1" sqref="Q5:Q6 T5:T35 W5:W35 Z5:Z35 AC5:AC35 AF5:AF35" xr:uid="{850044B7-90AE-F743-ADF8-02480FD1EBDD}">
      <formula1>入時間</formula1>
    </dataValidation>
    <dataValidation type="list" allowBlank="1" showErrorMessage="1" sqref="R5:R35 U5:U35 X5:X35 AA5:AA35 AD5:AD35 AG5:AG35" xr:uid="{DBF51963-3275-3A48-B64D-178BF0FEA2DD}">
      <formula1>出時間</formula1>
    </dataValidation>
    <dataValidation type="list" allowBlank="1" showErrorMessage="1" sqref="Q3:AH3 AK3:AK4 AW3:AW4 AM3:AM4 AO3:AO4 BE3:BE4 BA3:BA4 AS3:AS4 AY3:AY4 BC3:BC4 AQ3:AQ4 AU3:AU4 BO3:BO4 BG3:BG4 BH3:BN3" xr:uid="{CB94C9E7-C9E2-C041-BEF9-52CCC942FC25}">
      <formula1>名前</formula1>
    </dataValidation>
    <dataValidation type="list" allowBlank="1" showErrorMessage="1" sqref="Q7:Q35" xr:uid="{3CB496BF-7335-284D-87A6-AF88CF55CE04}">
      <formula1>#REF!</formula1>
    </dataValidation>
    <dataValidation type="list" allowBlank="1" showErrorMessage="1" sqref="S5:S35 V5:V35 Y5:Y35 AB5:AB35 AE5:AE35 AH5:AH35" xr:uid="{B2060DBC-98D3-344D-94FF-BCA368F90658}">
      <formula1>"　,済"</formula1>
    </dataValidation>
    <dataValidation allowBlank="1" showErrorMessage="1" sqref="AL3:AL4 BB3:BB4 AN3:AN4 AV3:AV4 AT3:AT4 AX3:AX4 AZ3:AZ4 BD3:BD4 BP3:BP4 AP3:AP4 AR3:AR4 BF3:BF4" xr:uid="{6BE3F055-16B8-1447-BE51-819D0C19823A}"/>
  </dataValidations>
  <pageMargins left="0.7" right="0.7" top="0.75" bottom="0.75" header="0.3" footer="0.3"/>
  <pageSetup paperSize="9"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C A A g A r r w 1 U K I d 0 S m p A A A A + A A A A B I A H A B D b 2 5 m a W c v U G F j a 2 F n Z S 5 4 b W w g o h g A K K A U A A A A A A A A A A A A A A A A A A A A A A A A A A A A h Y 9 N D o I w G E S v Q r q n L R h + Q j 7 K w p 2 R h M T E u G 1 K h S o U Q 4 t w N x c e y S t I o q g 7 l z N 5 k 7 x 5 3 O 6 Q T W 3 j X G V v V K d T 5 G G K H K l F V y p d p W i w R z d G G Y O C i z O v p D P D 2 i S T U S m q r b 0 k h I z j i M c V 7 v q K + J R 6 5 J B v d 6 K W L X e V N p Z r I d F n V f 5 f I Q b 7 l w z z c R T i I I x i H M Q e k K W G X O k v 4 s / G m A L 5 K W E 9 N H b o J T t x d 1 M A W S K Q 9 w v 2 B F B L A w Q U A A I A C A C u v D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w 1 U M k W 9 A j Q A A A A G w E A A B M A H A B G b 3 J t d W x h c y 9 T Z W N 0 a W 9 u M S 5 t I K I Y A C i g F A A A A A A A A A A A A A A A A A A A A A A A A A A A A C t O T S 7 J z M 9 T C I b Q h t a 8 X L x c x R m J R a k p C o + b 2 x 4 3 7 3 n c P O 1 x 8 2 p D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l p 6 1 I l H Y U S o I R C X m l u U m p R r Y 4 C U L R 9 F z b R C b 1 P O 3 t h E i W p F S W 1 t Z q 8 X J l 5 u N x h D Q B Q S w E C L Q A U A A I A C A C u v D V Q o h 3 R K a k A A A D 4 A A A A E g A A A A A A A A A A A A A A A A A A A A A A Q 2 9 u Z m l n L 1 B h Y 2 t h Z 2 U u e G 1 s U E s B A i 0 A F A A C A A g A r r w 1 U A / K 6 a u k A A A A 6 Q A A A B M A A A A A A A A A A A A A A A A A 9 Q A A A F t D b 2 5 0 Z W 5 0 X 1 R 5 c G V z X S 5 4 b W x Q S w E C L Q A U A A I A C A C u v D V Q y R b 0 C N A A A A A b A Q A A E w A A A A A A A A A A A A A A A A D m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Q A A A A A A A G g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x V D E 0 O j M 3 O j E y L j Y x N D k 0 N D V a I i A v P j x F b n R y e S B U e X B l P S J G a W x s Q 2 9 s d W 1 u V H l w Z X M i I F Z h b H V l P S J z Q l F V R y I g L z 4 8 R W 5 0 c n k g V H l w Z T 0 i R m l s b E N v b H V t b k 5 h b W V z I i B W Y W x 1 Z T 0 i c 1 s m c X V v d D v l h a U m c X V v d D s s J n F 1 b 3 Q 7 5 Y e 6 J n F 1 b 3 Q 7 L C Z x d W 9 0 O + W Q j e W J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z E v 5 a S J 5 p u 0 4 4 G V 4 4 K M 4 4 G f 5 Z 6 L L n v l h a U s M H 0 m c X V v d D s s J n F 1 b 3 Q 7 U 2 V j d G l v b j E v 4 4 O G 4 4 O 8 4 4 O W 4 4 O r M S / l p I n m m 7 T j g Z X j g o z j g Z / l n o s u e + W H u i w x f S Z x d W 9 0 O y w m c X V v d D t T Z W N 0 a W 9 u M S / j g 4 b j g 7 z j g 5 b j g 6 s x L + W k i e a b t O O B l e O C j O O B n + W e i y 5 7 5 Z C N 5 Y m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O D h u O D v O O D l u O D q z E v 5 a S J 5 p u 0 4 4 G V 4 4 K M 4 4 G f 5 Z 6 L L n v l h a U s M H 0 m c X V v d D s s J n F 1 b 3 Q 7 U 2 V j d G l v b j E v 4 4 O G 4 4 O 8 4 4 O W 4 4 O r M S / l p I n m m 7 T j g Z X j g o z j g Z / l n o s u e + W H u i w x f S Z x d W 9 0 O y w m c X V v d D t T Z W N 0 a W 9 u M S / j g 4 b j g 7 z j g 5 b j g 6 s x L + W k i e a b t O O B l e O C j O O B n + W e i y 5 7 5 Z C N 5 Y m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6 t u g p 8 I J C n 8 + l E 9 Q g B G o A A A A A A g A A A A A A E G Y A A A A B A A A g A A A A f K X 5 d q t Z F H o + n O m o 9 H Z F k v 7 p 9 0 e 2 M v b B z 4 z G Z K F Q 8 q 4 A A A A A D o A A A A A C A A A g A A A A U J q s i d 4 R M 8 f C + b x p 7 8 W B K Q 1 m M B p B G D v o S + o D P O 3 k m Q t Q A A A A / Y W L s k m 9 V 6 j T n c y k X 6 l a S m D P j J O g N B d 1 Y D i C g M y 0 o G 7 o n X M K k w 7 t 0 S g x m / c y j m e 7 O g N Y b B V i h 9 m a / R D / 6 z j A X q j i Y o k R U X x / o O A g N v 3 n P i h A A A A A J H k t F i a k k E h e M W e M F b X J b 2 N M k U i 6 k O 9 U f c T e z 4 B i c u v / U B c q V 4 R 6 n b l E q y R j F K H o c u n L 5 B 0 Z e w r S l c 1 d 4 J q V K w = = < / D a t a M a s h u p > 
</file>

<file path=customXml/itemProps1.xml><?xml version="1.0" encoding="utf-8"?>
<ds:datastoreItem xmlns:ds="http://schemas.openxmlformats.org/officeDocument/2006/customXml" ds:itemID="{AB9BB17C-E641-41AC-8E5A-E8C6883D3D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6</vt:i4>
      </vt:variant>
    </vt:vector>
  </HeadingPairs>
  <TitlesOfParts>
    <vt:vector size="38" baseType="lpstr">
      <vt:lpstr>1月</vt:lpstr>
      <vt:lpstr>Sheet4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2021年1月</vt:lpstr>
      <vt:lpstr>12月</vt:lpstr>
      <vt:lpstr>2021年2月</vt:lpstr>
      <vt:lpstr>2021年3月</vt:lpstr>
      <vt:lpstr>2021年4月</vt:lpstr>
      <vt:lpstr>2021年5月</vt:lpstr>
      <vt:lpstr>2021年6月</vt:lpstr>
      <vt:lpstr>2021年7月</vt:lpstr>
      <vt:lpstr>2021年8月</vt:lpstr>
      <vt:lpstr>2021年9月</vt:lpstr>
      <vt:lpstr>2021年10月</vt:lpstr>
      <vt:lpstr>2021年11月</vt:lpstr>
      <vt:lpstr>見本</vt:lpstr>
      <vt:lpstr>名前と時間記入</vt:lpstr>
      <vt:lpstr>2021年12月</vt:lpstr>
      <vt:lpstr>2022年1月</vt:lpstr>
      <vt:lpstr>2202年2月</vt:lpstr>
      <vt:lpstr>2022年3月</vt:lpstr>
      <vt:lpstr>2022年4月</vt:lpstr>
      <vt:lpstr>Sheet1</vt:lpstr>
      <vt:lpstr>見本!出時間</vt:lpstr>
      <vt:lpstr>出時間</vt:lpstr>
      <vt:lpstr>見本!入時間</vt:lpstr>
      <vt:lpstr>入時間</vt:lpstr>
      <vt:lpstr>見本!名前</vt:lpstr>
      <vt:lpstr>名前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atsusyama</dc:creator>
  <cp:keywords/>
  <dc:description/>
  <cp:lastModifiedBy>藤田陸</cp:lastModifiedBy>
  <cp:lastPrinted>2021-02-20T10:32:34Z</cp:lastPrinted>
  <dcterms:created xsi:type="dcterms:W3CDTF">2020-01-16T09:04:59Z</dcterms:created>
  <dcterms:modified xsi:type="dcterms:W3CDTF">2022-05-02T03:11:58Z</dcterms:modified>
  <cp:category/>
</cp:coreProperties>
</file>