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49D253F6-39C3-4522-B0BF-271AFC60332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きたすな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A11" i="2"/>
  <c r="H23" i="1"/>
  <c r="G9" i="2"/>
  <c r="A10" i="2"/>
  <c r="H9" i="2"/>
  <c r="A9" i="2"/>
  <c r="B13" i="2"/>
  <c r="B10" i="2"/>
  <c r="B9" i="2"/>
  <c r="F9" i="2"/>
  <c r="F10" i="2"/>
  <c r="G10" i="2" s="1"/>
  <c r="F11" i="2"/>
  <c r="G11" i="2" s="1"/>
  <c r="A8" i="2"/>
  <c r="A7" i="2"/>
  <c r="C6" i="2"/>
  <c r="B15" i="2"/>
  <c r="B14" i="2"/>
  <c r="B12" i="2"/>
  <c r="F12" i="2"/>
  <c r="G12" i="2" s="1"/>
  <c r="F13" i="2"/>
  <c r="G13" i="2" s="1"/>
  <c r="F14" i="2"/>
  <c r="G14" i="2" s="1"/>
  <c r="F10" i="1"/>
  <c r="I9" i="1"/>
  <c r="V6" i="1"/>
  <c r="B5" i="1"/>
  <c r="Q1" i="2"/>
  <c r="H11" i="2" l="1"/>
  <c r="G16" i="2"/>
  <c r="H10" i="2"/>
  <c r="H12" i="2"/>
  <c r="H13" i="2"/>
  <c r="H14" i="2"/>
  <c r="B7" i="1"/>
  <c r="B8" i="2"/>
  <c r="B7" i="2"/>
  <c r="B6" i="2"/>
  <c r="B5" i="2"/>
  <c r="B4" i="2"/>
  <c r="B3" i="2"/>
  <c r="B2" i="2"/>
  <c r="F15" i="2"/>
  <c r="H15" i="2" s="1"/>
  <c r="F8" i="2"/>
  <c r="H8" i="2" s="1"/>
  <c r="F7" i="2"/>
  <c r="G7" i="2" s="1"/>
  <c r="F6" i="2"/>
  <c r="H6" i="2" s="1"/>
  <c r="F5" i="2"/>
  <c r="H5" i="2" s="1"/>
  <c r="F4" i="2"/>
  <c r="H4" i="2" s="1"/>
  <c r="F3" i="2"/>
  <c r="H3" i="2" s="1"/>
  <c r="F2" i="2"/>
  <c r="H2" i="2" s="1"/>
  <c r="N8" i="1"/>
  <c r="R4" i="1"/>
  <c r="H7" i="2" l="1"/>
  <c r="H16" i="2"/>
  <c r="G5" i="2"/>
  <c r="G6" i="2"/>
  <c r="G8" i="2"/>
  <c r="G15" i="2"/>
  <c r="G2" i="2"/>
  <c r="G3" i="2"/>
  <c r="G4" i="2"/>
  <c r="B8" i="1"/>
  <c r="B11" i="1"/>
</calcChain>
</file>

<file path=xl/sharedStrings.xml><?xml version="1.0" encoding="utf-8"?>
<sst xmlns="http://schemas.openxmlformats.org/spreadsheetml/2006/main" count="56" uniqueCount="41">
  <si>
    <t>元金</t>
    <rPh sb="0" eb="2">
      <t>ガンキン</t>
    </rPh>
    <phoneticPr fontId="3"/>
  </si>
  <si>
    <t>遅延日数</t>
    <rPh sb="0" eb="2">
      <t>チエン</t>
    </rPh>
    <rPh sb="2" eb="4">
      <t>ニッスウ</t>
    </rPh>
    <phoneticPr fontId="3"/>
  </si>
  <si>
    <t>遅延金額</t>
    <rPh sb="0" eb="2">
      <t>チエン</t>
    </rPh>
    <rPh sb="2" eb="4">
      <t>キンガク</t>
    </rPh>
    <phoneticPr fontId="3"/>
  </si>
  <si>
    <t>総計</t>
    <rPh sb="0" eb="2">
      <t>ソウケイ</t>
    </rPh>
    <phoneticPr fontId="3"/>
  </si>
  <si>
    <t>年月</t>
    <rPh sb="0" eb="2">
      <t>ネンゲツ</t>
    </rPh>
    <phoneticPr fontId="2"/>
  </si>
  <si>
    <t>澁谷貴嗣</t>
  </si>
  <si>
    <t>氏名</t>
    <rPh sb="0" eb="2">
      <t>シメイ</t>
    </rPh>
    <phoneticPr fontId="2"/>
  </si>
  <si>
    <t>元金：9900</t>
    <rPh sb="0" eb="2">
      <t>ガンキン</t>
    </rPh>
    <phoneticPr fontId="2"/>
  </si>
  <si>
    <t>横山　裕哉</t>
  </si>
  <si>
    <t>元金：13200</t>
    <rPh sb="0" eb="2">
      <t>ガンキン</t>
    </rPh>
    <phoneticPr fontId="2"/>
  </si>
  <si>
    <t>島田　宏樹</t>
  </si>
  <si>
    <t>合計</t>
    <rPh sb="0" eb="2">
      <t>ゴウケイ</t>
    </rPh>
    <phoneticPr fontId="2"/>
  </si>
  <si>
    <t>完済済</t>
    <rPh sb="0" eb="2">
      <t>カンサイ</t>
    </rPh>
    <rPh sb="2" eb="3">
      <t>ズ</t>
    </rPh>
    <phoneticPr fontId="2"/>
  </si>
  <si>
    <t>計算式</t>
    <rPh sb="0" eb="3">
      <t>ケイサンシキ</t>
    </rPh>
    <phoneticPr fontId="2"/>
  </si>
  <si>
    <t>年率</t>
    <rPh sb="0" eb="2">
      <t>ネンリツ</t>
    </rPh>
    <phoneticPr fontId="2"/>
  </si>
  <si>
    <t>日割り</t>
    <rPh sb="0" eb="2">
      <t>ヒワ</t>
    </rPh>
    <phoneticPr fontId="2"/>
  </si>
  <si>
    <t>元金</t>
    <rPh sb="0" eb="2">
      <t>ガンキン</t>
    </rPh>
    <phoneticPr fontId="2"/>
  </si>
  <si>
    <t>遅延日数</t>
    <rPh sb="0" eb="4">
      <t>チエンニッスウ</t>
    </rPh>
    <phoneticPr fontId="2"/>
  </si>
  <si>
    <t>開始日</t>
    <rPh sb="0" eb="3">
      <t>カイシビ</t>
    </rPh>
    <phoneticPr fontId="2"/>
  </si>
  <si>
    <t>終了日</t>
    <rPh sb="0" eb="3">
      <t>シュウリョウビ</t>
    </rPh>
    <phoneticPr fontId="2"/>
  </si>
  <si>
    <t>遅延損害金</t>
    <rPh sb="0" eb="5">
      <t>チエンソンガイキン</t>
    </rPh>
    <phoneticPr fontId="2"/>
  </si>
  <si>
    <t>支払い合計</t>
    <rPh sb="0" eb="2">
      <t>シハラ</t>
    </rPh>
    <rPh sb="3" eb="5">
      <t>ゴウケイ</t>
    </rPh>
    <phoneticPr fontId="2"/>
  </si>
  <si>
    <t>バック金額</t>
    <rPh sb="3" eb="5">
      <t>キンガク</t>
    </rPh>
    <phoneticPr fontId="2"/>
  </si>
  <si>
    <t>バック発生日付</t>
    <rPh sb="3" eb="6">
      <t>ハッセイビ</t>
    </rPh>
    <rPh sb="6" eb="7">
      <t>ヅケ</t>
    </rPh>
    <phoneticPr fontId="2"/>
  </si>
  <si>
    <t>20日しめ</t>
    <rPh sb="2" eb="3">
      <t>ニチ</t>
    </rPh>
    <phoneticPr fontId="2"/>
  </si>
  <si>
    <t>中　静香</t>
    <rPh sb="0" eb="1">
      <t>ナカ</t>
    </rPh>
    <rPh sb="2" eb="4">
      <t>シズカ</t>
    </rPh>
    <phoneticPr fontId="2"/>
  </si>
  <si>
    <t>元金：32,000</t>
    <rPh sb="0" eb="2">
      <t>ガンキン</t>
    </rPh>
    <phoneticPr fontId="2"/>
  </si>
  <si>
    <t/>
  </si>
  <si>
    <t>あまり</t>
    <phoneticPr fontId="2"/>
  </si>
  <si>
    <t>TSUBAKI②</t>
    <phoneticPr fontId="2"/>
  </si>
  <si>
    <t>SAFARI②</t>
    <phoneticPr fontId="2"/>
  </si>
  <si>
    <t>バック</t>
    <phoneticPr fontId="2"/>
  </si>
  <si>
    <t>差引</t>
    <rPh sb="0" eb="2">
      <t>サシヒキ</t>
    </rPh>
    <phoneticPr fontId="2"/>
  </si>
  <si>
    <t>備考</t>
    <rPh sb="0" eb="2">
      <t>ビコウサシヒキゴチエン</t>
    </rPh>
    <phoneticPr fontId="2"/>
  </si>
  <si>
    <t>あまり8820円を元金から差引 結果は7行目</t>
    <rPh sb="7" eb="8">
      <t>エン</t>
    </rPh>
    <rPh sb="9" eb="11">
      <t>ガンキン</t>
    </rPh>
    <rPh sb="13" eb="15">
      <t>サシヒキ</t>
    </rPh>
    <rPh sb="16" eb="18">
      <t>ケッカ</t>
    </rPh>
    <rPh sb="20" eb="22">
      <t>ギョウメ</t>
    </rPh>
    <phoneticPr fontId="2"/>
  </si>
  <si>
    <t>あまり8844円を元金から差引 結果は8行目</t>
    <rPh sb="7" eb="8">
      <t>エン</t>
    </rPh>
    <rPh sb="9" eb="11">
      <t>ガンキン</t>
    </rPh>
    <rPh sb="13" eb="15">
      <t>サシヒキ</t>
    </rPh>
    <phoneticPr fontId="2"/>
  </si>
  <si>
    <t>あまり6094円を元金から差引 結果は9行目</t>
    <rPh sb="7" eb="8">
      <t>エン</t>
    </rPh>
    <rPh sb="9" eb="11">
      <t>ガンキン</t>
    </rPh>
    <rPh sb="13" eb="15">
      <t>サシヒキ</t>
    </rPh>
    <phoneticPr fontId="2"/>
  </si>
  <si>
    <t>キャンセル代金残り</t>
    <rPh sb="5" eb="7">
      <t>ダイキン</t>
    </rPh>
    <rPh sb="7" eb="8">
      <t>ノコ</t>
    </rPh>
    <phoneticPr fontId="2"/>
  </si>
  <si>
    <t>有効遅延損害金</t>
    <rPh sb="0" eb="2">
      <t>ユウコウ</t>
    </rPh>
    <rPh sb="2" eb="4">
      <t>チエン</t>
    </rPh>
    <rPh sb="4" eb="7">
      <t>ソンガイキン</t>
    </rPh>
    <phoneticPr fontId="2"/>
  </si>
  <si>
    <t>2023/4/23～2023/5/30</t>
    <phoneticPr fontId="2"/>
  </si>
  <si>
    <t>2023/5/31～2023/6/15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</si>
</sst>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"/>
    <numFmt numFmtId="177" formatCode="&quot;¥&quot;#,##0_);[Red]\(&quot;¥&quot;#,##0\)"/>
  </numFmts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vertical="center"/>
    </xf>
    <xf numFmtId="3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38" fontId="0" fillId="0" borderId="0" xfId="1" applyFont="1" applyAlignment="1">
      <alignment horizontal="left" vertical="center" indent="4"/>
    </xf>
    <xf numFmtId="1" fontId="0" fillId="0" borderId="0" xfId="0" applyNumberFormat="1" applyAlignment="1">
      <alignment horizontal="left" vertical="center" indent="4"/>
    </xf>
    <xf numFmtId="176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8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177" fontId="0" fillId="0" borderId="0" xfId="1" applyNumberFormat="1" applyFont="1" applyAlignment="1">
      <alignment horizontal="left" vertical="center"/>
    </xf>
    <xf numFmtId="177" fontId="0" fillId="3" borderId="0" xfId="1" applyNumberFormat="1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177" fontId="0" fillId="0" borderId="0" xfId="0" applyNumberFormat="1" applyAlignment="1">
      <alignment vertical="center"/>
    </xf>
    <xf numFmtId="38" fontId="0" fillId="0" borderId="0" xfId="1" applyFont="1" applyAlignment="1">
      <alignment horizontal="right" vertical="center"/>
    </xf>
    <xf numFmtId="14" fontId="0" fillId="0" borderId="0" xfId="0" applyNumberFormat="1"/>
    <xf numFmtId="38" fontId="0" fillId="2" borderId="0" xfId="1" applyFont="1" applyFill="1" applyAlignment="1"/>
    <xf numFmtId="38" fontId="0" fillId="0" borderId="0" xfId="1" applyFont="1" applyAlignment="1"/>
    <xf numFmtId="14" fontId="0" fillId="0" borderId="0" xfId="0" applyNumberFormat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quotePrefix="1" applyAlignment="1">
      <alignment vertical="center"/>
    </xf>
    <xf numFmtId="177" fontId="0" fillId="3" borderId="0" xfId="0" applyNumberFormat="1" applyFill="1" applyAlignment="1">
      <alignment vertical="center"/>
    </xf>
    <xf numFmtId="38" fontId="0" fillId="0" borderId="0" xfId="0" applyNumberFormat="1"/>
    <xf numFmtId="0" fontId="0" fillId="0" borderId="0" xfId="0" applyAlignment="1">
      <alignment horizontal="right"/>
    </xf>
  </cellXfs>
  <cellStyles count="2">
    <cellStyle name="桁区切り" xfId="1" builtinId="6"/>
    <cellStyle name="標準" xfId="0" builtinId="0"/>
  </cellStyles>
  <dxfs count="12">
    <dxf>
      <numFmt numFmtId="6" formatCode="#,##0;[Red]\-#,##0"/>
    </dxf>
    <dxf>
      <numFmt numFmtId="6" formatCode="#,##0;[Red]\-#,##0"/>
    </dxf>
    <dxf>
      <numFmt numFmtId="19" formatCode="yyyy/m/d"/>
    </dxf>
    <dxf>
      <numFmt numFmtId="19" formatCode="yyyy/m/d"/>
    </dxf>
    <dxf>
      <numFmt numFmtId="6" formatCode="#,##0;[Red]\-#,##0"/>
    </dxf>
    <dxf>
      <numFmt numFmtId="19" formatCode="yyyy/m/d"/>
    </dxf>
    <dxf>
      <numFmt numFmtId="6" formatCode="#,##0;[Red]\-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yyyy/m/d"/>
    </dxf>
    <dxf>
      <numFmt numFmtId="19" formatCode="yyyy/m/d"/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4D2C6-A372-4ADE-8814-E0809C8EEF8C}" name="テーブル1" displayName="テーブル1" ref="A1:I16" totalsRowCount="1">
  <autoFilter ref="A1:I15" xr:uid="{0174D2C6-A372-4ADE-8814-E0809C8EEF8C}"/>
  <tableColumns count="9">
    <tableColumn id="1" xr3:uid="{24D0B452-0A01-40B9-AE5F-A19B0CB5AA6B}" name="元金" totalsRowDxfId="6" dataCellStyle="桁区切り"/>
    <tableColumn id="2" xr3:uid="{A0713569-F3F2-40D6-B92A-3779BD571269}" name="バック発生日付" dataDxfId="11" totalsRowDxfId="5"/>
    <tableColumn id="3" xr3:uid="{87647371-B749-40EF-B56C-16BC83B19DA2}" name="バック金額" totalsRowDxfId="4" dataCellStyle="桁区切り"/>
    <tableColumn id="4" xr3:uid="{CC8257B6-0772-4146-AD35-FECE84A92386}" name="開始日" dataDxfId="10" totalsRowDxfId="3"/>
    <tableColumn id="5" xr3:uid="{2DCC1243-BA94-4FE4-A884-2B3DFFB31DE9}" name="終了日" dataDxfId="9" totalsRowDxfId="2"/>
    <tableColumn id="6" xr3:uid="{5976E2B3-DD66-48BA-A0EA-1D2F56FF471F}" name="遅延日数">
      <calculatedColumnFormula>E2-D2</calculatedColumnFormula>
    </tableColumn>
    <tableColumn id="7" xr3:uid="{BBDD6D6D-A310-4923-8A9D-6BAFCF27E5C3}" name="遅延損害金" totalsRowFunction="custom" dataDxfId="8" totalsRowDxfId="1" dataCellStyle="桁区切り">
      <calculatedColumnFormula>A2*$M$1*F2/$M$2</calculatedColumnFormula>
      <totalsRowFormula>SUM(テーブル1[遅延損害金])-SUM(テーブル1[バック金額])+SUM(8820,8844,6094)</totalsRowFormula>
    </tableColumn>
    <tableColumn id="9" xr3:uid="{A28E5F15-27A4-4CEA-B731-3693778A5630}" name="差引" totalsRowFunction="sum" totalsRowDxfId="0" dataCellStyle="桁区切り"/>
    <tableColumn id="10" xr3:uid="{EE300F96-88E8-4F19-8BAF-378E6527C3B1}" name="備考" dataDxfId="7" dataCellStyle="桁区切り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zoomScale="115" zoomScaleNormal="115" workbookViewId="0"/>
  </sheetViews>
  <sheetFormatPr defaultColWidth="9" defaultRowHeight="18.75"/>
  <cols>
    <col min="1" max="1" width="9" style="1"/>
    <col min="2" max="2" width="16.125" style="1" customWidth="1"/>
    <col min="3" max="3" width="17.125" style="1" bestFit="1" customWidth="1"/>
    <col min="4" max="5" width="9" style="1"/>
    <col min="6" max="6" width="11.25" style="1" bestFit="1" customWidth="1"/>
    <col min="7" max="7" width="9" style="1"/>
    <col min="8" max="8" width="14.375" style="1" bestFit="1" customWidth="1"/>
    <col min="9" max="11" width="9" style="1"/>
    <col min="12" max="12" width="11.625" style="1" customWidth="1"/>
    <col min="13" max="13" width="9" style="1"/>
    <col min="14" max="14" width="13.625" style="1" customWidth="1"/>
    <col min="15" max="15" width="9" style="1"/>
    <col min="16" max="16" width="12.375" style="1" bestFit="1" customWidth="1"/>
    <col min="17" max="17" width="9.25" style="1" bestFit="1" customWidth="1"/>
    <col min="18" max="18" width="12.25" style="1" bestFit="1" customWidth="1"/>
    <col min="19" max="19" width="9" style="1"/>
    <col min="20" max="20" width="13" style="1" bestFit="1" customWidth="1"/>
    <col min="21" max="16384" width="9" style="1"/>
  </cols>
  <sheetData>
    <row r="1" spans="1:22">
      <c r="A1" s="1" t="s">
        <v>0</v>
      </c>
      <c r="B1" s="2">
        <v>9900</v>
      </c>
      <c r="D1" s="13" t="s">
        <v>12</v>
      </c>
      <c r="F1" s="1" t="s">
        <v>6</v>
      </c>
      <c r="G1" s="1" t="s">
        <v>4</v>
      </c>
      <c r="L1" s="1" t="s">
        <v>6</v>
      </c>
      <c r="M1" s="1" t="s">
        <v>4</v>
      </c>
      <c r="P1" s="1" t="s">
        <v>6</v>
      </c>
      <c r="Q1" s="1" t="s">
        <v>4</v>
      </c>
      <c r="T1" s="1" t="s">
        <v>6</v>
      </c>
      <c r="U1" s="1" t="s">
        <v>4</v>
      </c>
    </row>
    <row r="2" spans="1:22">
      <c r="A2" s="1" t="s">
        <v>14</v>
      </c>
      <c r="B2" s="1">
        <v>0.14599999999999999</v>
      </c>
      <c r="F2" s="1" t="s">
        <v>5</v>
      </c>
      <c r="G2" s="20">
        <v>44562</v>
      </c>
      <c r="H2" s="11">
        <v>7835.64</v>
      </c>
      <c r="L2" s="1" t="s">
        <v>8</v>
      </c>
      <c r="M2" s="6">
        <v>44715</v>
      </c>
      <c r="N2" s="7">
        <v>14007.84</v>
      </c>
      <c r="P2" s="1" t="s">
        <v>10</v>
      </c>
      <c r="Q2" s="6">
        <v>44825</v>
      </c>
      <c r="R2" s="7">
        <v>10066</v>
      </c>
      <c r="T2" s="1" t="s">
        <v>25</v>
      </c>
      <c r="U2" s="6">
        <v>44901</v>
      </c>
      <c r="V2" s="1">
        <v>33408</v>
      </c>
    </row>
    <row r="3" spans="1:22">
      <c r="A3" s="1" t="s">
        <v>18</v>
      </c>
      <c r="B3" s="19">
        <v>45076</v>
      </c>
      <c r="F3" s="1" t="s">
        <v>7</v>
      </c>
      <c r="G3" s="20">
        <v>44593</v>
      </c>
      <c r="H3" s="11">
        <v>11131.56</v>
      </c>
      <c r="L3" s="1" t="s">
        <v>9</v>
      </c>
      <c r="M3" s="6">
        <v>44745</v>
      </c>
      <c r="N3" s="7">
        <v>13849.44</v>
      </c>
      <c r="P3" s="1" t="s">
        <v>7</v>
      </c>
      <c r="Q3" s="6">
        <v>44855</v>
      </c>
      <c r="R3" s="4">
        <v>9948</v>
      </c>
      <c r="T3" s="1" t="s">
        <v>26</v>
      </c>
      <c r="U3" s="6">
        <v>44932</v>
      </c>
      <c r="V3" s="3">
        <v>33011.199999999997</v>
      </c>
    </row>
    <row r="4" spans="1:22">
      <c r="A4" s="1" t="s">
        <v>19</v>
      </c>
      <c r="B4" s="19">
        <v>45107</v>
      </c>
      <c r="F4" s="1" t="s">
        <v>24</v>
      </c>
      <c r="G4" s="20">
        <v>44621</v>
      </c>
      <c r="H4" s="11">
        <v>11008.8</v>
      </c>
      <c r="M4" s="6">
        <v>44776</v>
      </c>
      <c r="N4" s="7">
        <v>13691.04</v>
      </c>
      <c r="Q4" s="6" t="s">
        <v>11</v>
      </c>
      <c r="R4" s="8">
        <f>SUM(R2:R3)</f>
        <v>20014</v>
      </c>
      <c r="U4" s="6">
        <v>44963</v>
      </c>
      <c r="V4" s="3">
        <v>32358.400000000001</v>
      </c>
    </row>
    <row r="5" spans="1:22">
      <c r="A5" s="1" t="s">
        <v>1</v>
      </c>
      <c r="B5" s="1">
        <f>B4-B3</f>
        <v>31</v>
      </c>
      <c r="G5" s="20">
        <v>44652</v>
      </c>
      <c r="H5" s="11">
        <v>10866</v>
      </c>
      <c r="J5" s="12"/>
      <c r="M5" s="6">
        <v>44807</v>
      </c>
      <c r="N5" s="7">
        <v>13532.64</v>
      </c>
      <c r="R5" s="4"/>
      <c r="U5" s="6">
        <v>44991</v>
      </c>
      <c r="V5" s="3">
        <v>32000</v>
      </c>
    </row>
    <row r="6" spans="1:22">
      <c r="A6" s="1" t="s">
        <v>15</v>
      </c>
      <c r="B6" s="1">
        <v>365</v>
      </c>
      <c r="C6" s="5"/>
      <c r="G6" s="20">
        <v>44682</v>
      </c>
      <c r="H6" s="11">
        <v>10767.24</v>
      </c>
      <c r="M6" s="6">
        <v>44837</v>
      </c>
      <c r="N6" s="7">
        <v>13374.24</v>
      </c>
      <c r="R6" s="7"/>
      <c r="U6" s="6" t="s">
        <v>11</v>
      </c>
      <c r="V6" s="7">
        <f>SUM(V2:V5)</f>
        <v>130777.60000000001</v>
      </c>
    </row>
    <row r="7" spans="1:22">
      <c r="A7" s="1" t="s">
        <v>2</v>
      </c>
      <c r="B7" s="3">
        <f>B1*B2*B5/B6</f>
        <v>122.75999999999999</v>
      </c>
      <c r="G7" s="20">
        <v>44713</v>
      </c>
      <c r="H7" s="11">
        <v>2281</v>
      </c>
      <c r="M7" s="6">
        <v>44868</v>
      </c>
      <c r="N7" s="7">
        <v>13215.84</v>
      </c>
      <c r="R7" s="4"/>
    </row>
    <row r="8" spans="1:22">
      <c r="A8" s="1" t="s">
        <v>3</v>
      </c>
      <c r="B8" s="15">
        <f>B1+B7</f>
        <v>10022.76</v>
      </c>
      <c r="G8" s="20">
        <v>44743</v>
      </c>
      <c r="H8" s="11">
        <v>10751.4</v>
      </c>
      <c r="K8" s="9"/>
      <c r="M8" s="6" t="s">
        <v>11</v>
      </c>
      <c r="N8" s="8">
        <f>SUM(N2:N7)</f>
        <v>81671.039999999994</v>
      </c>
    </row>
    <row r="9" spans="1:22">
      <c r="G9" s="20">
        <v>44774</v>
      </c>
      <c r="H9" s="11">
        <v>10633</v>
      </c>
      <c r="I9" s="22">
        <f>30000-SUM(H7:H9)-713</f>
        <v>5621.5999999999985</v>
      </c>
      <c r="J9" s="13" t="s">
        <v>28</v>
      </c>
      <c r="K9" s="9"/>
    </row>
    <row r="10" spans="1:22">
      <c r="E10" s="1" t="s">
        <v>16</v>
      </c>
      <c r="F10" s="1">
        <f>9900-5622</f>
        <v>4278</v>
      </c>
      <c r="G10" s="6">
        <v>44805</v>
      </c>
      <c r="H10" s="9">
        <v>4745.1576000000005</v>
      </c>
      <c r="I10" s="14"/>
      <c r="K10" s="14"/>
    </row>
    <row r="11" spans="1:22">
      <c r="A11" s="1" t="s">
        <v>13</v>
      </c>
      <c r="B11" s="1" t="str">
        <f>B1&amp;"×"&amp;"0.146 ×"&amp;B5&amp;"÷ 365 ="&amp;ROUNDUP(B7,0)</f>
        <v>9900×0.146 ×31÷ 365 =123</v>
      </c>
      <c r="G11" s="6">
        <v>44835</v>
      </c>
      <c r="H11" s="9">
        <v>10862.28</v>
      </c>
    </row>
    <row r="12" spans="1:22">
      <c r="G12" s="6">
        <v>44866</v>
      </c>
      <c r="H12" s="9">
        <v>10739.52</v>
      </c>
    </row>
    <row r="13" spans="1:22">
      <c r="G13" s="6">
        <v>44896</v>
      </c>
      <c r="H13" s="9">
        <v>10620.72</v>
      </c>
      <c r="J13" s="12"/>
    </row>
    <row r="14" spans="1:22">
      <c r="G14" s="6">
        <v>44957</v>
      </c>
      <c r="H14" s="9">
        <v>10497.96</v>
      </c>
    </row>
    <row r="15" spans="1:22">
      <c r="G15" s="6">
        <v>44985</v>
      </c>
      <c r="H15" s="9">
        <v>10383.120000000001</v>
      </c>
      <c r="J15" s="12"/>
      <c r="L15" s="12"/>
    </row>
    <row r="16" spans="1:22">
      <c r="A16" s="14"/>
      <c r="G16" s="6">
        <v>44986</v>
      </c>
      <c r="H16" s="9">
        <v>10272.24</v>
      </c>
    </row>
    <row r="17" spans="7:32">
      <c r="G17" s="6">
        <v>45046</v>
      </c>
      <c r="H17" s="9">
        <v>10141.56</v>
      </c>
    </row>
    <row r="18" spans="7:32">
      <c r="G18" s="6">
        <v>45076</v>
      </c>
      <c r="H18" s="9">
        <v>10022.76</v>
      </c>
    </row>
    <row r="19" spans="7:32">
      <c r="G19" s="6"/>
      <c r="H19" s="9"/>
    </row>
    <row r="20" spans="7:32">
      <c r="G20" s="6"/>
      <c r="H20" s="9"/>
    </row>
    <row r="21" spans="7:32">
      <c r="G21" s="6"/>
      <c r="H21" s="9"/>
    </row>
    <row r="22" spans="7:32">
      <c r="G22" s="6"/>
      <c r="H22" s="10"/>
    </row>
    <row r="23" spans="7:32">
      <c r="G23" s="6" t="s">
        <v>11</v>
      </c>
      <c r="H23" s="10">
        <f>SUM(H10:H22)</f>
        <v>88285.317599999995</v>
      </c>
      <c r="AF23" s="21" t="s">
        <v>27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93EB-9EB4-44DE-96BF-EA1F45D9E10A}">
  <dimension ref="A1:S26"/>
  <sheetViews>
    <sheetView tabSelected="1" workbookViewId="0">
      <selection activeCell="F11" sqref="F11"/>
    </sheetView>
  </sheetViews>
  <sheetFormatPr defaultRowHeight="18.75"/>
  <cols>
    <col min="1" max="1" width="9.5" bestFit="1" customWidth="1"/>
    <col min="2" max="2" width="15.375" customWidth="1"/>
    <col min="3" max="3" width="11.75" customWidth="1"/>
    <col min="4" max="4" width="10.25" bestFit="1" customWidth="1"/>
    <col min="5" max="5" width="10.375" customWidth="1"/>
    <col min="6" max="6" width="9.875" customWidth="1"/>
    <col min="7" max="7" width="14.625" customWidth="1"/>
    <col min="9" max="9" width="40" bestFit="1" customWidth="1"/>
    <col min="11" max="11" width="8.625" customWidth="1"/>
    <col min="13" max="13" width="10.375" bestFit="1" customWidth="1"/>
    <col min="14" max="14" width="22" bestFit="1" customWidth="1"/>
    <col min="16" max="16" width="10.375" bestFit="1" customWidth="1"/>
  </cols>
  <sheetData>
    <row r="1" spans="1:19">
      <c r="A1" t="s">
        <v>16</v>
      </c>
      <c r="B1" t="s">
        <v>23</v>
      </c>
      <c r="C1" t="s">
        <v>22</v>
      </c>
      <c r="D1" t="s">
        <v>18</v>
      </c>
      <c r="E1" t="s">
        <v>19</v>
      </c>
      <c r="F1" t="s">
        <v>17</v>
      </c>
      <c r="G1" t="s">
        <v>20</v>
      </c>
      <c r="H1" t="s">
        <v>32</v>
      </c>
      <c r="I1" t="s">
        <v>33</v>
      </c>
      <c r="L1" t="s">
        <v>14</v>
      </c>
      <c r="M1">
        <v>0.14599999999999999</v>
      </c>
      <c r="P1" t="s">
        <v>21</v>
      </c>
      <c r="Q1" s="17">
        <f ca="1">SUM(INDIRECT("A"&amp;COUNTA(A:A)),SUM(O7:O16))+$N$5</f>
        <v>393921</v>
      </c>
      <c r="S1" t="s">
        <v>31</v>
      </c>
    </row>
    <row r="2" spans="1:19">
      <c r="A2" s="18">
        <v>400000</v>
      </c>
      <c r="B2" s="16">
        <f>テーブル1[[#This Row],[終了日]]</f>
        <v>44975</v>
      </c>
      <c r="C2" s="18">
        <v>6000</v>
      </c>
      <c r="D2" s="16">
        <v>44781</v>
      </c>
      <c r="E2" s="16">
        <v>44975</v>
      </c>
      <c r="F2">
        <f t="shared" ref="F2:F15" si="0">E2-D2</f>
        <v>194</v>
      </c>
      <c r="G2" s="18">
        <f>A2*$M$1*F2/$M$2</f>
        <v>31039.999999999996</v>
      </c>
      <c r="H2" s="18">
        <f>A2*$M$1*F2/$M$2-SUM(C2:C5)-6340</f>
        <v>0</v>
      </c>
      <c r="I2" s="18"/>
      <c r="J2" s="18"/>
      <c r="L2" t="s">
        <v>15</v>
      </c>
      <c r="M2">
        <v>365</v>
      </c>
      <c r="S2" t="s">
        <v>29</v>
      </c>
    </row>
    <row r="3" spans="1:19">
      <c r="A3" s="18">
        <v>400000</v>
      </c>
      <c r="B3" s="16">
        <f>テーブル1[[#This Row],[終了日]]</f>
        <v>44982</v>
      </c>
      <c r="C3" s="18">
        <v>3700</v>
      </c>
      <c r="D3" s="16">
        <v>44976</v>
      </c>
      <c r="E3" s="16">
        <v>44982</v>
      </c>
      <c r="F3">
        <f t="shared" si="0"/>
        <v>6</v>
      </c>
      <c r="G3" s="18">
        <f t="shared" ref="G3:G15" si="1">A3*$M$1*F3/$M$2</f>
        <v>959.99999999999989</v>
      </c>
      <c r="H3" s="18">
        <f>A3*$M$1*F3/$M$2-960</f>
        <v>0</v>
      </c>
      <c r="I3" s="18"/>
      <c r="J3" s="18"/>
      <c r="S3" t="s">
        <v>30</v>
      </c>
    </row>
    <row r="4" spans="1:19">
      <c r="A4" s="18">
        <v>400000</v>
      </c>
      <c r="B4" s="16">
        <f>テーブル1[[#This Row],[終了日]]</f>
        <v>44990</v>
      </c>
      <c r="C4" s="18">
        <v>9000</v>
      </c>
      <c r="D4" s="16">
        <v>44983</v>
      </c>
      <c r="E4" s="16">
        <v>44990</v>
      </c>
      <c r="F4">
        <f t="shared" si="0"/>
        <v>7</v>
      </c>
      <c r="G4" s="18">
        <f t="shared" si="1"/>
        <v>1119.9999999999998</v>
      </c>
      <c r="H4" s="18">
        <f>A4*$M$1*F4/$M$2-1120</f>
        <v>0</v>
      </c>
      <c r="I4" s="18"/>
      <c r="J4" s="18"/>
      <c r="L4" s="24"/>
      <c r="M4" s="24"/>
    </row>
    <row r="5" spans="1:19">
      <c r="A5" s="18">
        <v>400000</v>
      </c>
      <c r="B5" s="16">
        <f>テーブル1[[#This Row],[終了日]]</f>
        <v>44996</v>
      </c>
      <c r="C5" s="18">
        <v>6000</v>
      </c>
      <c r="D5" s="16">
        <v>44991</v>
      </c>
      <c r="E5" s="16">
        <v>44996</v>
      </c>
      <c r="F5">
        <f t="shared" si="0"/>
        <v>5</v>
      </c>
      <c r="G5" s="18">
        <f t="shared" si="1"/>
        <v>799.99999999999989</v>
      </c>
      <c r="H5" s="18">
        <f>A5*$M$1*F5/$M$2-800</f>
        <v>0</v>
      </c>
      <c r="I5" s="18"/>
      <c r="J5" s="18"/>
      <c r="L5" t="s">
        <v>37</v>
      </c>
      <c r="N5">
        <v>9854</v>
      </c>
    </row>
    <row r="6" spans="1:19">
      <c r="A6" s="18">
        <v>400000</v>
      </c>
      <c r="B6" s="16">
        <f>テーブル1[[#This Row],[終了日]]</f>
        <v>45003</v>
      </c>
      <c r="C6" s="18">
        <f>6000+9000+4000</f>
        <v>19000</v>
      </c>
      <c r="D6" s="16">
        <v>44997</v>
      </c>
      <c r="E6" s="16">
        <v>45003</v>
      </c>
      <c r="F6">
        <f t="shared" si="0"/>
        <v>6</v>
      </c>
      <c r="G6" s="18">
        <f t="shared" si="1"/>
        <v>959.99999999999989</v>
      </c>
      <c r="H6" s="18">
        <f>A6*$M$1*F6/$M$2-960</f>
        <v>0</v>
      </c>
      <c r="I6" s="18" t="s">
        <v>34</v>
      </c>
      <c r="J6" s="18"/>
    </row>
    <row r="7" spans="1:19">
      <c r="A7" s="18">
        <f>400000-8820</f>
        <v>391180</v>
      </c>
      <c r="B7" s="16">
        <f>テーブル1[[#This Row],[終了日]]</f>
        <v>45005</v>
      </c>
      <c r="C7" s="18">
        <v>9000</v>
      </c>
      <c r="D7" s="16">
        <v>45004</v>
      </c>
      <c r="E7" s="16">
        <v>45005</v>
      </c>
      <c r="F7">
        <f t="shared" si="0"/>
        <v>1</v>
      </c>
      <c r="G7" s="18">
        <f t="shared" si="1"/>
        <v>156.47200000000001</v>
      </c>
      <c r="H7" s="18">
        <f>A7*$M$1*F7/$M$2-156</f>
        <v>0.47200000000000841</v>
      </c>
      <c r="I7" s="18" t="s">
        <v>35</v>
      </c>
      <c r="J7" s="18"/>
      <c r="L7" t="s">
        <v>38</v>
      </c>
      <c r="N7" t="s">
        <v>39</v>
      </c>
      <c r="O7">
        <v>5568</v>
      </c>
    </row>
    <row r="8" spans="1:19">
      <c r="A8" s="18">
        <f>391180-8844</f>
        <v>382336</v>
      </c>
      <c r="B8" s="16">
        <f>テーブル1[[#This Row],[終了日]]</f>
        <v>45025</v>
      </c>
      <c r="C8" s="18">
        <v>9000</v>
      </c>
      <c r="D8" s="16">
        <v>45006</v>
      </c>
      <c r="E8" s="16">
        <v>45025</v>
      </c>
      <c r="F8">
        <f t="shared" si="0"/>
        <v>19</v>
      </c>
      <c r="G8" s="18">
        <f t="shared" si="1"/>
        <v>2905.7536</v>
      </c>
      <c r="H8" s="18">
        <f t="shared" ref="H8:H11" si="2">A8*$M$1*F8/$M$2</f>
        <v>2905.7536</v>
      </c>
      <c r="I8" s="18" t="s">
        <v>36</v>
      </c>
      <c r="J8" s="18"/>
      <c r="N8" t="s">
        <v>40</v>
      </c>
      <c r="O8">
        <v>2257</v>
      </c>
    </row>
    <row r="9" spans="1:19">
      <c r="A9" s="18">
        <f>382336-6094</f>
        <v>376242</v>
      </c>
      <c r="B9" s="16">
        <f>テーブル1[[#This Row],[終了日]]</f>
        <v>45031</v>
      </c>
      <c r="C9" s="18">
        <v>0</v>
      </c>
      <c r="D9" s="16">
        <v>45026</v>
      </c>
      <c r="E9" s="16">
        <v>45031</v>
      </c>
      <c r="F9">
        <f t="shared" ref="F9:F14" si="3">E9-D9</f>
        <v>5</v>
      </c>
      <c r="G9" s="18">
        <f>A9*$M$1*F9/$M$2+150+150</f>
        <v>1052.4839999999999</v>
      </c>
      <c r="H9" s="18">
        <f t="shared" si="2"/>
        <v>752.48399999999992</v>
      </c>
      <c r="I9" s="18"/>
      <c r="J9" s="18"/>
    </row>
    <row r="10" spans="1:19">
      <c r="A10" s="18">
        <f>376242</f>
        <v>376242</v>
      </c>
      <c r="B10" s="16">
        <f>テーブル1[[#This Row],[終了日]]</f>
        <v>45076</v>
      </c>
      <c r="C10" s="18"/>
      <c r="D10" s="16">
        <v>45039</v>
      </c>
      <c r="E10" s="16">
        <v>45076</v>
      </c>
      <c r="F10">
        <f t="shared" si="3"/>
        <v>37</v>
      </c>
      <c r="G10" s="18">
        <f>A10*$M$1*F10/$M$2</f>
        <v>5568.3815999999997</v>
      </c>
      <c r="H10" s="18">
        <f t="shared" si="2"/>
        <v>5568.3815999999997</v>
      </c>
      <c r="I10" s="18"/>
      <c r="J10" s="18"/>
    </row>
    <row r="11" spans="1:19">
      <c r="A11" s="18">
        <f>376242</f>
        <v>376242</v>
      </c>
      <c r="B11" s="16">
        <v>45092</v>
      </c>
      <c r="C11" s="18"/>
      <c r="D11" s="16">
        <v>45077</v>
      </c>
      <c r="E11" s="16">
        <v>45092</v>
      </c>
      <c r="F11">
        <f t="shared" si="3"/>
        <v>15</v>
      </c>
      <c r="G11" s="18">
        <f>A11*$M$1*F11/$M$2</f>
        <v>2257.4519999999998</v>
      </c>
      <c r="H11" s="18">
        <f t="shared" si="2"/>
        <v>2257.4519999999998</v>
      </c>
      <c r="I11" s="18"/>
      <c r="J11" s="18"/>
    </row>
    <row r="12" spans="1:19">
      <c r="A12" s="18"/>
      <c r="B12" s="16">
        <f>テーブル1[[#This Row],[終了日]]</f>
        <v>0</v>
      </c>
      <c r="C12" s="18"/>
      <c r="D12" s="16"/>
      <c r="E12" s="16"/>
      <c r="F12">
        <f t="shared" si="3"/>
        <v>0</v>
      </c>
      <c r="G12" s="18">
        <f>A12*$M$1*F12/$M$2</f>
        <v>0</v>
      </c>
      <c r="H12" s="18">
        <f t="shared" ref="H12:H15" si="4">A12*$M$1*F12/$M$2</f>
        <v>0</v>
      </c>
      <c r="I12" s="18"/>
      <c r="J12" s="18"/>
    </row>
    <row r="13" spans="1:19">
      <c r="A13" s="18"/>
      <c r="B13" s="16">
        <f>テーブル1[[#This Row],[終了日]]</f>
        <v>0</v>
      </c>
      <c r="C13" s="18"/>
      <c r="D13" s="16"/>
      <c r="E13" s="16"/>
      <c r="F13">
        <f t="shared" si="3"/>
        <v>0</v>
      </c>
      <c r="G13" s="18">
        <f>A13*$M$1*F13/$M$2</f>
        <v>0</v>
      </c>
      <c r="H13" s="18">
        <f t="shared" si="4"/>
        <v>0</v>
      </c>
      <c r="I13" s="18"/>
      <c r="J13" s="18"/>
    </row>
    <row r="14" spans="1:19">
      <c r="A14" s="18"/>
      <c r="B14" s="16">
        <f>テーブル1[[#This Row],[終了日]]</f>
        <v>0</v>
      </c>
      <c r="C14" s="18"/>
      <c r="D14" s="16"/>
      <c r="E14" s="16"/>
      <c r="F14">
        <f t="shared" si="3"/>
        <v>0</v>
      </c>
      <c r="G14" s="18">
        <f>A14*$M$1*F14/$M$2</f>
        <v>0</v>
      </c>
      <c r="H14" s="18">
        <f t="shared" si="4"/>
        <v>0</v>
      </c>
      <c r="I14" s="18"/>
      <c r="J14" s="18"/>
    </row>
    <row r="15" spans="1:19">
      <c r="A15" s="18"/>
      <c r="B15" s="16">
        <f>テーブル1[[#This Row],[終了日]]</f>
        <v>0</v>
      </c>
      <c r="C15" s="18"/>
      <c r="D15" s="16"/>
      <c r="E15" s="16"/>
      <c r="F15">
        <f t="shared" si="0"/>
        <v>0</v>
      </c>
      <c r="G15" s="18">
        <f t="shared" si="1"/>
        <v>0</v>
      </c>
      <c r="H15" s="18">
        <f t="shared" si="4"/>
        <v>0</v>
      </c>
      <c r="I15" s="18"/>
      <c r="J15" s="18"/>
    </row>
    <row r="16" spans="1:19">
      <c r="A16" s="23"/>
      <c r="B16" s="16"/>
      <c r="C16" s="23"/>
      <c r="D16" s="16"/>
      <c r="E16" s="16"/>
      <c r="G16" s="23">
        <f>SUM(テーブル1[遅延損害金])-SUM(テーブル1[バック金額])+SUM(8820,8844,6094)</f>
        <v>8878.5431999999855</v>
      </c>
      <c r="H16" s="23">
        <f>SUBTOTAL(109,テーブル1[差引])</f>
        <v>11484.543199999998</v>
      </c>
      <c r="J16" s="23"/>
    </row>
    <row r="17" spans="1:15">
      <c r="O17">
        <f>SUM(O7:O16)</f>
        <v>7825</v>
      </c>
    </row>
    <row r="26" spans="1:15">
      <c r="A26" s="18"/>
    </row>
  </sheetData>
  <mergeCells count="1">
    <mergeCell ref="L4:M4"/>
  </mergeCells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K r l T V r k s T y e l A A A A 9 g A A A B I A H A B D b 2 5 m a W c v U G F j a 2 F n Z S 5 4 b W w g o h g A K K A U A A A A A A A A A A A A A A A A A A A A A A A A A A A A h Y 8 x D o I w G I W v Q r r T l h I T Q 3 7 K 4 G Y k I T E x r k 2 p U I V i a L H c z c E j e Q U x i r o 5 v u 9 9 w 3 v 3 6 w 2 y s W 2 C i + q t 7 k y K I k x R o I z s S m 2 q F A 3 u E C 5 R x q E Q 8 i Q q F U y y s c l o y x T V z p 0 T Q r z 3 2 M e 4 6 y v C K I 3 I P t 9 s Z a 1 a g T 6 y / i + H 2 l g n j F S I w + 4 1 h j M c R Q w v W I w p k B l C r s 1 X Y N P e Z / s D Y T U 0 b u g V P 4 p w X Q C Z I 5 D 3 B / 4 A U E s D B B Q A A g A I A C q 5 U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q u V N W K I p H u A 4 A A A A R A A A A E w A c A E Z v c m 1 1 b G F z L 1 N l Y 3 R p b 2 4 x L m 0 g o h g A K K A U A A A A A A A A A A A A A A A A A A A A A A A A A A A A K 0 5 N L s n M z 1 M I h t C G 1 g B Q S w E C L Q A U A A I A C A A q u V N W u S x P J 6 U A A A D 2 A A A A E g A A A A A A A A A A A A A A A A A A A A A A Q 2 9 u Z m l n L 1 B h Y 2 t h Z 2 U u e G 1 s U E s B A i 0 A F A A C A A g A K r l T V g / K 6 a u k A A A A 6 Q A A A B M A A A A A A A A A A A A A A A A A 8 Q A A A F t D b 2 5 0 Z W 5 0 X 1 R 5 c G V z X S 5 4 b W x Q S w E C L Q A U A A I A C A A q u V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3 i n A e k v B U + S U r q V G R u E 1 Q A A A A A C A A A A A A A Q Z g A A A A E A A C A A A A D / F M G G 1 m F d 7 Z Z n 0 n q h p C c m x l J G E h Q l 4 L E W G s 4 i u y H j v w A A A A A O g A A A A A I A A C A A A A C o U g H C d f i X R C Z I c + Y E 5 w R F Z A D l S p w z 9 R k + 8 N E n x h S 5 T F A A A A A I i h r A y U J 3 H 5 T K M y S r 1 N e U q l q Y C 9 8 X y h m 2 5 F L v / E 7 l e H M w C F p S p + F B + m b l R Y N + y o D O S 7 m k r u G A f i D m c p z 1 C 2 1 n E C W + h + R K 0 t e F Y R T J a E f W k E A A A A C 4 x a F R b T x U + i 8 K I + z I q A 2 n T S K u a o t V 1 n l o L p l q V P j l O f a p j H l s u t i y G f 6 D 2 2 9 N j p / h m h X T r I q E 3 N h a c 6 i r / k A e < / D a t a M a s h u p > 
</file>

<file path=customXml/itemProps1.xml><?xml version="1.0" encoding="utf-8"?>
<ds:datastoreItem xmlns:ds="http://schemas.openxmlformats.org/officeDocument/2006/customXml" ds:itemID="{BD34FC04-8132-4513-85D9-A578FC2885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きたすな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dcterms:created xsi:type="dcterms:W3CDTF">2015-06-05T18:19:34Z</dcterms:created>
  <dcterms:modified xsi:type="dcterms:W3CDTF">2023-06-13T21:43:22Z</dcterms:modified>
</cp:coreProperties>
</file>