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TSYPLENKOV\Downloads\Telegram Desktop\"/>
    </mc:Choice>
  </mc:AlternateContent>
  <bookViews>
    <workbookView xWindow="0" yWindow="0" windowWidth="20490" windowHeight="7650"/>
  </bookViews>
  <sheets>
    <sheet name="сводная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L31" i="1" l="1"/>
  <c r="O31" i="1"/>
  <c r="L32" i="1"/>
  <c r="O32" i="1"/>
  <c r="G33" i="1"/>
  <c r="L33" i="1"/>
  <c r="O33" i="1"/>
  <c r="G34" i="1"/>
  <c r="L34" i="1"/>
  <c r="O34" i="1"/>
  <c r="L35" i="1"/>
  <c r="O35" i="1"/>
  <c r="L36" i="1"/>
  <c r="O36" i="1"/>
  <c r="L37" i="1"/>
  <c r="O37" i="1"/>
  <c r="L38" i="1"/>
  <c r="O38" i="1"/>
  <c r="G39" i="1"/>
  <c r="L39" i="1"/>
  <c r="O39" i="1"/>
  <c r="G40" i="1"/>
  <c r="L40" i="1"/>
  <c r="O40" i="1"/>
  <c r="G41" i="1"/>
  <c r="L41" i="1"/>
  <c r="O41" i="1"/>
  <c r="L42" i="1"/>
  <c r="O42" i="1"/>
  <c r="L43" i="1"/>
  <c r="O43" i="1"/>
  <c r="L44" i="1"/>
  <c r="O44" i="1"/>
  <c r="L45" i="1"/>
  <c r="O45" i="1"/>
  <c r="L46" i="1"/>
  <c r="O46" i="1"/>
  <c r="L47" i="1"/>
  <c r="O47" i="1"/>
  <c r="L48" i="1"/>
  <c r="O48" i="1"/>
  <c r="L49" i="1"/>
  <c r="O49" i="1"/>
  <c r="G50" i="1"/>
  <c r="L50" i="1"/>
  <c r="O50" i="1"/>
  <c r="G51" i="1"/>
  <c r="L51" i="1"/>
  <c r="O51" i="1"/>
  <c r="L52" i="1"/>
  <c r="O52" i="1"/>
  <c r="L53" i="1"/>
  <c r="O53" i="1"/>
  <c r="L54" i="1"/>
  <c r="O54" i="1"/>
  <c r="L55" i="1"/>
  <c r="O55" i="1"/>
  <c r="L56" i="1"/>
  <c r="O56" i="1"/>
  <c r="G57" i="1"/>
  <c r="L57" i="1"/>
  <c r="O57" i="1"/>
  <c r="G58" i="1"/>
  <c r="L58" i="1"/>
  <c r="O58" i="1"/>
  <c r="G92" i="1"/>
  <c r="L92" i="1"/>
  <c r="O92" i="1"/>
  <c r="G93" i="1"/>
  <c r="L93" i="1"/>
  <c r="O93" i="1"/>
  <c r="G94" i="1"/>
  <c r="L94" i="1"/>
  <c r="O94" i="1"/>
  <c r="G104" i="1"/>
  <c r="L104" i="1"/>
  <c r="O104" i="1"/>
  <c r="G105" i="1"/>
  <c r="L105" i="1"/>
  <c r="O105" i="1"/>
  <c r="L106" i="1"/>
  <c r="O106" i="1"/>
  <c r="G107" i="1"/>
  <c r="L107" i="1"/>
  <c r="O107" i="1"/>
  <c r="L108" i="1"/>
  <c r="O108" i="1"/>
  <c r="G109" i="1"/>
  <c r="L109" i="1"/>
  <c r="O109" i="1"/>
  <c r="G110" i="1"/>
  <c r="L110" i="1"/>
  <c r="O110" i="1"/>
  <c r="G111" i="1"/>
  <c r="L111" i="1"/>
  <c r="O111" i="1"/>
  <c r="G112" i="1"/>
  <c r="L112" i="1"/>
  <c r="O112" i="1"/>
  <c r="G113" i="1"/>
  <c r="L113" i="1"/>
  <c r="O113" i="1"/>
  <c r="G114" i="1"/>
  <c r="L114" i="1"/>
  <c r="O114" i="1"/>
  <c r="G115" i="1"/>
  <c r="L115" i="1"/>
  <c r="O115" i="1"/>
  <c r="L144" i="1"/>
  <c r="O144" i="1"/>
  <c r="G145" i="1"/>
  <c r="L145" i="1"/>
  <c r="O145" i="1"/>
  <c r="G146" i="1"/>
  <c r="L146" i="1"/>
  <c r="O146" i="1"/>
  <c r="L147" i="1"/>
  <c r="O147" i="1"/>
  <c r="G148" i="1"/>
  <c r="L148" i="1"/>
  <c r="O148" i="1"/>
  <c r="L149" i="1"/>
  <c r="O149" i="1"/>
  <c r="L150" i="1"/>
  <c r="O150" i="1"/>
  <c r="L151" i="1"/>
  <c r="O151" i="1"/>
  <c r="G223" i="1"/>
  <c r="L223" i="1"/>
  <c r="O223" i="1"/>
  <c r="L224" i="1"/>
  <c r="O224" i="1"/>
  <c r="G225" i="1"/>
  <c r="L225" i="1"/>
  <c r="O225" i="1"/>
  <c r="L226" i="1"/>
  <c r="O226" i="1"/>
  <c r="J280" i="1"/>
  <c r="K280" i="1"/>
  <c r="L280" i="1"/>
  <c r="O280" i="1"/>
  <c r="J281" i="1"/>
  <c r="K281" i="1"/>
  <c r="L281" i="1"/>
  <c r="O281" i="1"/>
  <c r="L282" i="1"/>
  <c r="O282" i="1"/>
  <c r="J283" i="1"/>
  <c r="K283" i="1" s="1"/>
  <c r="L283" i="1"/>
  <c r="O283" i="1"/>
  <c r="L284" i="1"/>
  <c r="O284" i="1"/>
  <c r="G285" i="1"/>
  <c r="J285" i="1"/>
  <c r="K285" i="1"/>
  <c r="L285" i="1"/>
  <c r="O285" i="1"/>
  <c r="G286" i="1"/>
  <c r="L286" i="1"/>
  <c r="O286" i="1"/>
  <c r="G287" i="1"/>
  <c r="O287" i="1"/>
  <c r="G288" i="1"/>
  <c r="L288" i="1"/>
  <c r="O288" i="1"/>
  <c r="G289" i="1"/>
  <c r="L289" i="1"/>
  <c r="O289" i="1"/>
  <c r="G290" i="1"/>
  <c r="L290" i="1"/>
  <c r="O290" i="1"/>
  <c r="G291" i="1"/>
  <c r="J291" i="1"/>
  <c r="K291" i="1"/>
  <c r="L291" i="1"/>
  <c r="O291" i="1"/>
  <c r="G292" i="1"/>
  <c r="L292" i="1"/>
  <c r="O292" i="1"/>
  <c r="G293" i="1"/>
  <c r="L293" i="1"/>
  <c r="O293" i="1"/>
  <c r="L294" i="1"/>
  <c r="O294" i="1"/>
  <c r="L295" i="1"/>
  <c r="O295" i="1"/>
  <c r="G296" i="1"/>
  <c r="J296" i="1"/>
  <c r="K296" i="1"/>
  <c r="L296" i="1"/>
  <c r="O296" i="1"/>
  <c r="L315" i="1"/>
  <c r="O315" i="1"/>
  <c r="G316" i="1"/>
  <c r="L316" i="1"/>
  <c r="O316" i="1"/>
  <c r="G317" i="1"/>
  <c r="L317" i="1"/>
  <c r="O317" i="1"/>
  <c r="L318" i="1"/>
  <c r="O318" i="1"/>
  <c r="L319" i="1"/>
  <c r="O319" i="1"/>
  <c r="G320" i="1"/>
  <c r="L320" i="1"/>
  <c r="O320" i="1"/>
  <c r="G321" i="1"/>
  <c r="L321" i="1"/>
  <c r="O321" i="1"/>
  <c r="L322" i="1"/>
  <c r="O322" i="1"/>
  <c r="L341" i="1"/>
  <c r="O341" i="1"/>
  <c r="G342" i="1"/>
  <c r="L342" i="1"/>
  <c r="O342" i="1"/>
  <c r="L343" i="1"/>
  <c r="O343" i="1"/>
  <c r="G344" i="1"/>
  <c r="L344" i="1"/>
  <c r="O344" i="1"/>
  <c r="L345" i="1"/>
  <c r="O345" i="1"/>
  <c r="G346" i="1"/>
  <c r="L346" i="1"/>
  <c r="O346" i="1"/>
  <c r="G347" i="1"/>
  <c r="L347" i="1"/>
  <c r="O347" i="1"/>
  <c r="L348" i="1"/>
  <c r="O348" i="1"/>
  <c r="G349" i="1"/>
  <c r="L349" i="1"/>
  <c r="O349" i="1"/>
  <c r="G350" i="1"/>
  <c r="O350" i="1"/>
  <c r="L351" i="1"/>
  <c r="O351" i="1"/>
  <c r="L352" i="1"/>
  <c r="O352" i="1"/>
  <c r="L353" i="1"/>
  <c r="O353" i="1"/>
  <c r="G354" i="1"/>
  <c r="L354" i="1"/>
  <c r="O354" i="1"/>
  <c r="G364" i="1"/>
  <c r="L364" i="1"/>
  <c r="O364" i="1"/>
  <c r="L365" i="1"/>
  <c r="O365" i="1"/>
  <c r="L59" i="1"/>
  <c r="R59" i="1"/>
  <c r="L60" i="1"/>
  <c r="R60" i="1"/>
  <c r="G61" i="1"/>
  <c r="L61" i="1"/>
  <c r="R61" i="1"/>
  <c r="L62" i="1"/>
  <c r="R62" i="1"/>
  <c r="L63" i="1"/>
  <c r="R63" i="1"/>
  <c r="L64" i="1"/>
  <c r="R64" i="1"/>
  <c r="L65" i="1"/>
  <c r="R65" i="1"/>
  <c r="L66" i="1"/>
  <c r="R66" i="1"/>
  <c r="L67" i="1"/>
  <c r="R67" i="1"/>
  <c r="L68" i="1"/>
  <c r="R68" i="1"/>
  <c r="L69" i="1"/>
  <c r="R69" i="1"/>
  <c r="L70" i="1"/>
  <c r="R70" i="1"/>
  <c r="R71" i="1"/>
  <c r="L72" i="1"/>
  <c r="R72" i="1"/>
  <c r="L73" i="1"/>
  <c r="R73" i="1"/>
  <c r="L74" i="1"/>
  <c r="R74" i="1"/>
  <c r="L75" i="1"/>
  <c r="R75" i="1"/>
  <c r="L76" i="1"/>
  <c r="R76" i="1"/>
  <c r="L77" i="1"/>
  <c r="R77" i="1"/>
  <c r="L95" i="1"/>
  <c r="R95" i="1"/>
  <c r="L96" i="1"/>
  <c r="R96" i="1"/>
  <c r="L97" i="1"/>
  <c r="R97" i="1"/>
  <c r="L98" i="1"/>
  <c r="R98" i="1"/>
  <c r="L99" i="1"/>
  <c r="R99" i="1"/>
  <c r="L100" i="1"/>
  <c r="R100" i="1"/>
  <c r="G116" i="1"/>
  <c r="L116" i="1"/>
  <c r="R116" i="1"/>
  <c r="L117" i="1"/>
  <c r="R117" i="1"/>
  <c r="L118" i="1"/>
  <c r="R118" i="1"/>
  <c r="L119" i="1"/>
  <c r="R119" i="1"/>
  <c r="R120" i="1"/>
  <c r="L121" i="1"/>
  <c r="R121" i="1"/>
  <c r="L122" i="1"/>
  <c r="R122" i="1"/>
  <c r="L123" i="1"/>
  <c r="R123" i="1"/>
  <c r="G124" i="1"/>
  <c r="L124" i="1"/>
  <c r="R124" i="1"/>
  <c r="G125" i="1"/>
  <c r="L125" i="1"/>
  <c r="R125" i="1"/>
  <c r="L152" i="1"/>
  <c r="R152" i="1"/>
  <c r="L153" i="1"/>
  <c r="R153" i="1"/>
  <c r="L154" i="1"/>
  <c r="R154" i="1"/>
  <c r="L155" i="1"/>
  <c r="R155" i="1"/>
  <c r="L156" i="1"/>
  <c r="R156" i="1"/>
  <c r="L157" i="1"/>
  <c r="R157" i="1"/>
  <c r="L158" i="1"/>
  <c r="R158" i="1"/>
  <c r="L159" i="1"/>
  <c r="R159" i="1"/>
  <c r="L160" i="1"/>
  <c r="R160" i="1"/>
  <c r="L161" i="1"/>
  <c r="R161" i="1"/>
  <c r="L162" i="1"/>
  <c r="R162" i="1"/>
  <c r="L163" i="1"/>
  <c r="R163" i="1"/>
  <c r="L164" i="1"/>
  <c r="R164" i="1"/>
  <c r="L165" i="1"/>
  <c r="R165" i="1"/>
  <c r="L166" i="1"/>
  <c r="R166" i="1"/>
  <c r="R167" i="1"/>
  <c r="R168" i="1"/>
  <c r="L169" i="1"/>
  <c r="R169" i="1"/>
  <c r="G170" i="1"/>
  <c r="L170" i="1"/>
  <c r="R170" i="1"/>
  <c r="L227" i="1"/>
  <c r="R227" i="1"/>
  <c r="L228" i="1"/>
  <c r="R228" i="1"/>
  <c r="L229" i="1"/>
  <c r="R229" i="1"/>
  <c r="L230" i="1"/>
  <c r="R230" i="1"/>
  <c r="L231" i="1"/>
  <c r="R231" i="1"/>
  <c r="R232" i="1"/>
  <c r="L233" i="1"/>
  <c r="R233" i="1"/>
  <c r="L234" i="1"/>
  <c r="R234" i="1"/>
  <c r="L235" i="1"/>
  <c r="R235" i="1"/>
  <c r="L236" i="1"/>
  <c r="R236" i="1"/>
  <c r="L237" i="1"/>
  <c r="R237" i="1"/>
  <c r="L238" i="1"/>
  <c r="R238" i="1"/>
  <c r="L239" i="1"/>
  <c r="R239" i="1"/>
  <c r="R240" i="1"/>
  <c r="R241" i="1"/>
  <c r="L242" i="1"/>
  <c r="R242" i="1"/>
  <c r="L243" i="1"/>
  <c r="R243" i="1"/>
  <c r="L244" i="1"/>
  <c r="R244" i="1"/>
  <c r="L245" i="1"/>
  <c r="R245" i="1"/>
  <c r="L246" i="1"/>
  <c r="R246" i="1"/>
  <c r="L247" i="1"/>
  <c r="R247" i="1"/>
  <c r="R248" i="1"/>
  <c r="G297" i="1"/>
  <c r="L297" i="1"/>
  <c r="R297" i="1"/>
  <c r="G298" i="1"/>
  <c r="L298" i="1"/>
  <c r="R298" i="1"/>
  <c r="G299" i="1"/>
  <c r="L299" i="1"/>
  <c r="R299" i="1"/>
  <c r="L300" i="1"/>
  <c r="R300" i="1"/>
  <c r="G323" i="1"/>
  <c r="L323" i="1"/>
  <c r="R323" i="1"/>
  <c r="L355" i="1"/>
  <c r="R355" i="1"/>
  <c r="G356" i="1"/>
  <c r="L356" i="1"/>
  <c r="R356" i="1"/>
  <c r="L357" i="1"/>
  <c r="R357" i="1"/>
  <c r="L358" i="1"/>
  <c r="R358" i="1"/>
  <c r="L359" i="1"/>
  <c r="R359" i="1"/>
  <c r="L360" i="1"/>
  <c r="R360" i="1"/>
  <c r="L361" i="1"/>
  <c r="R361" i="1"/>
  <c r="L362" i="1"/>
  <c r="R362" i="1"/>
  <c r="L366" i="1"/>
  <c r="R366" i="1"/>
  <c r="R367" i="1"/>
  <c r="R368" i="1"/>
  <c r="R369" i="1"/>
  <c r="L370" i="1"/>
  <c r="R370" i="1"/>
  <c r="L371" i="1"/>
  <c r="R371" i="1"/>
  <c r="O376" i="1"/>
  <c r="L376" i="1"/>
  <c r="O340" i="1"/>
  <c r="L340" i="1"/>
  <c r="O279" i="1"/>
  <c r="L279" i="1"/>
  <c r="O222" i="1"/>
  <c r="L222" i="1"/>
  <c r="O221" i="1"/>
  <c r="L221" i="1"/>
  <c r="O220" i="1"/>
  <c r="L220" i="1"/>
  <c r="O143" i="1"/>
  <c r="L143" i="1"/>
  <c r="O91" i="1"/>
  <c r="L91" i="1"/>
  <c r="O90" i="1"/>
  <c r="L90" i="1"/>
  <c r="O89" i="1"/>
  <c r="L89" i="1"/>
  <c r="O88" i="1"/>
  <c r="L88" i="1"/>
  <c r="O30" i="1"/>
  <c r="L30" i="1"/>
  <c r="O29" i="1"/>
  <c r="L29" i="1"/>
  <c r="O219" i="1"/>
  <c r="O28" i="1"/>
  <c r="O27" i="1"/>
  <c r="O26" i="1"/>
  <c r="O25" i="1"/>
  <c r="O24" i="1"/>
  <c r="O23" i="1"/>
  <c r="O278" i="1"/>
  <c r="O277" i="1"/>
  <c r="O87" i="1"/>
  <c r="O86" i="1"/>
  <c r="O85" i="1"/>
  <c r="O22" i="1"/>
  <c r="O21" i="1"/>
  <c r="O20" i="1"/>
  <c r="O19" i="1"/>
  <c r="O18" i="1"/>
  <c r="R375" i="1"/>
  <c r="O375" i="1"/>
  <c r="L375" i="1"/>
  <c r="R374" i="1"/>
  <c r="O374" i="1"/>
  <c r="L374" i="1"/>
  <c r="R373" i="1"/>
  <c r="O373" i="1"/>
  <c r="L373" i="1"/>
  <c r="R372" i="1"/>
  <c r="O372" i="1"/>
  <c r="L372" i="1"/>
  <c r="R339" i="1"/>
  <c r="O339" i="1"/>
  <c r="L339" i="1"/>
  <c r="R338" i="1"/>
  <c r="O338" i="1"/>
  <c r="O314" i="1"/>
  <c r="L314" i="1"/>
  <c r="R313" i="1"/>
  <c r="O313" i="1"/>
  <c r="R312" i="1"/>
  <c r="O312" i="1"/>
  <c r="R276" i="1"/>
  <c r="O276" i="1"/>
  <c r="R275" i="1"/>
  <c r="O275" i="1"/>
  <c r="R274" i="1"/>
  <c r="O274" i="1"/>
  <c r="R273" i="1"/>
  <c r="O273" i="1"/>
  <c r="R272" i="1"/>
  <c r="O272" i="1"/>
  <c r="R271" i="1"/>
  <c r="O271" i="1"/>
  <c r="R270" i="1"/>
  <c r="O270" i="1"/>
  <c r="R218" i="1"/>
  <c r="O218" i="1"/>
  <c r="R217" i="1"/>
  <c r="O217" i="1"/>
  <c r="R216" i="1"/>
  <c r="O216" i="1"/>
  <c r="R215" i="1"/>
  <c r="O215" i="1"/>
  <c r="R214" i="1"/>
  <c r="O214" i="1"/>
  <c r="R213" i="1"/>
  <c r="O213" i="1"/>
  <c r="R212" i="1"/>
  <c r="O212" i="1"/>
  <c r="R211" i="1"/>
  <c r="O211" i="1"/>
  <c r="R210" i="1"/>
  <c r="O210" i="1"/>
  <c r="R209" i="1"/>
  <c r="O209" i="1"/>
  <c r="R208" i="1"/>
  <c r="O208" i="1"/>
  <c r="L208" i="1"/>
  <c r="R207" i="1"/>
  <c r="O207" i="1"/>
  <c r="L207" i="1"/>
  <c r="R206" i="1"/>
  <c r="O206" i="1"/>
  <c r="L206" i="1"/>
  <c r="R205" i="1"/>
  <c r="O205" i="1"/>
  <c r="L205" i="1"/>
  <c r="R204" i="1"/>
  <c r="O204" i="1"/>
  <c r="L204" i="1"/>
  <c r="R84" i="1"/>
  <c r="O84" i="1"/>
  <c r="L84" i="1"/>
  <c r="R83" i="1"/>
  <c r="O83" i="1"/>
  <c r="L83" i="1"/>
  <c r="R82" i="1"/>
  <c r="O82" i="1"/>
  <c r="L82" i="1"/>
  <c r="R81" i="1"/>
  <c r="O81" i="1"/>
  <c r="R80" i="1"/>
  <c r="O80" i="1"/>
  <c r="R79" i="1"/>
  <c r="O79" i="1"/>
  <c r="R17" i="1"/>
  <c r="O17" i="1"/>
  <c r="L17" i="1"/>
  <c r="O16" i="1"/>
  <c r="L16" i="1"/>
  <c r="R15" i="1"/>
  <c r="O15" i="1"/>
  <c r="R14" i="1"/>
  <c r="O14" i="1"/>
  <c r="R13" i="1"/>
  <c r="O13" i="1"/>
  <c r="R12" i="1"/>
  <c r="O12" i="1"/>
  <c r="L12" i="1"/>
  <c r="R11" i="1"/>
  <c r="O11" i="1"/>
  <c r="L11" i="1"/>
  <c r="G197" i="1"/>
  <c r="G266" i="1"/>
  <c r="G201" i="1"/>
  <c r="G202" i="1"/>
  <c r="G203" i="1"/>
  <c r="G267" i="1"/>
  <c r="G335" i="1"/>
  <c r="G136" i="1"/>
  <c r="G336" i="1"/>
  <c r="G311" i="1"/>
  <c r="G337" i="1"/>
  <c r="G139" i="1"/>
  <c r="G140" i="1"/>
  <c r="G141" i="1"/>
  <c r="G269" i="1"/>
  <c r="G10" i="1"/>
  <c r="G142" i="1"/>
  <c r="G103" i="1"/>
  <c r="G363" i="1"/>
  <c r="G265" i="1"/>
  <c r="G263" i="1"/>
  <c r="G134" i="1"/>
  <c r="G307" i="1"/>
  <c r="G264" i="1"/>
  <c r="G309" i="1"/>
  <c r="G310" i="1"/>
  <c r="G326" i="1"/>
  <c r="G4" i="1"/>
  <c r="G172" i="1"/>
  <c r="G173" i="1"/>
  <c r="G255" i="1"/>
  <c r="G327" i="1"/>
  <c r="G328" i="1"/>
  <c r="G179" i="1"/>
  <c r="G256" i="1"/>
  <c r="G257" i="1"/>
  <c r="G301" i="1"/>
  <c r="G184" i="1"/>
  <c r="G6" i="1"/>
  <c r="G7" i="1"/>
  <c r="G329" i="1"/>
  <c r="G78" i="1"/>
  <c r="G128" i="1"/>
  <c r="G302" i="1"/>
  <c r="G129" i="1"/>
  <c r="G258" i="1"/>
  <c r="G130" i="1"/>
  <c r="G259" i="1"/>
  <c r="G260" i="1"/>
  <c r="G261" i="1"/>
  <c r="G133" i="1"/>
  <c r="G101" i="1"/>
  <c r="G102" i="1"/>
  <c r="G304" i="1"/>
  <c r="G305" i="1"/>
  <c r="G262" i="1"/>
  <c r="G189" i="1"/>
  <c r="G190" i="1"/>
  <c r="G191" i="1"/>
  <c r="G250" i="1"/>
  <c r="G126" i="1"/>
  <c r="G127" i="1"/>
  <c r="G253" i="1"/>
  <c r="G249" i="1"/>
  <c r="R333" i="1"/>
  <c r="R197" i="1"/>
  <c r="R198" i="1"/>
  <c r="R199" i="1"/>
  <c r="R200" i="1"/>
  <c r="R334" i="1"/>
  <c r="R266" i="1"/>
  <c r="R201" i="1"/>
  <c r="R202" i="1"/>
  <c r="R203" i="1"/>
  <c r="R267" i="1"/>
  <c r="R335" i="1"/>
  <c r="R136" i="1"/>
  <c r="R137" i="1"/>
  <c r="R138" i="1"/>
  <c r="R268" i="1"/>
  <c r="R336" i="1"/>
  <c r="R311" i="1"/>
  <c r="R337" i="1"/>
  <c r="R139" i="1"/>
  <c r="R140" i="1"/>
  <c r="R141" i="1"/>
  <c r="R269" i="1"/>
  <c r="R10" i="1"/>
  <c r="R142" i="1"/>
  <c r="R103" i="1"/>
  <c r="R363" i="1"/>
  <c r="R265" i="1"/>
  <c r="R195" i="1"/>
  <c r="R332" i="1"/>
  <c r="R196" i="1"/>
  <c r="R194" i="1"/>
  <c r="R263" i="1"/>
  <c r="R331" i="1"/>
  <c r="R134" i="1"/>
  <c r="R307" i="1"/>
  <c r="R135" i="1"/>
  <c r="R308" i="1"/>
  <c r="R264" i="1"/>
  <c r="R309" i="1"/>
  <c r="R310" i="1"/>
  <c r="R306" i="1"/>
  <c r="R3" i="1"/>
  <c r="R326" i="1"/>
  <c r="R4" i="1"/>
  <c r="R172" i="1"/>
  <c r="R173" i="1"/>
  <c r="R255" i="1"/>
  <c r="R327" i="1"/>
  <c r="R174" i="1"/>
  <c r="R175" i="1"/>
  <c r="R328" i="1"/>
  <c r="R176" i="1"/>
  <c r="R177" i="1"/>
  <c r="R178" i="1"/>
  <c r="R179" i="1"/>
  <c r="R5" i="1"/>
  <c r="R180" i="1"/>
  <c r="R256" i="1"/>
  <c r="R257" i="1"/>
  <c r="R181" i="1"/>
  <c r="R182" i="1"/>
  <c r="R183" i="1"/>
  <c r="R301" i="1"/>
  <c r="R184" i="1"/>
  <c r="R185" i="1"/>
  <c r="R186" i="1"/>
  <c r="R187" i="1"/>
  <c r="R6" i="1"/>
  <c r="R7" i="1"/>
  <c r="R329" i="1"/>
  <c r="R78" i="1"/>
  <c r="R128" i="1"/>
  <c r="R302" i="1"/>
  <c r="R129" i="1"/>
  <c r="R258" i="1"/>
  <c r="R130" i="1"/>
  <c r="R259" i="1"/>
  <c r="R8" i="1"/>
  <c r="R260" i="1"/>
  <c r="R131" i="1"/>
  <c r="R132" i="1"/>
  <c r="R303" i="1"/>
  <c r="R261" i="1"/>
  <c r="R133" i="1"/>
  <c r="R101" i="1"/>
  <c r="R102" i="1"/>
  <c r="R304" i="1"/>
  <c r="R305" i="1"/>
  <c r="R188" i="1"/>
  <c r="R330" i="1"/>
  <c r="R262" i="1"/>
  <c r="R189" i="1"/>
  <c r="R190" i="1"/>
  <c r="R191" i="1"/>
  <c r="R9" i="1"/>
  <c r="R192" i="1"/>
  <c r="R193" i="1"/>
  <c r="R325" i="1"/>
  <c r="R171" i="1"/>
  <c r="R250" i="1"/>
  <c r="R251" i="1"/>
  <c r="R252" i="1"/>
  <c r="R126" i="1"/>
  <c r="R127" i="1"/>
  <c r="R253" i="1"/>
  <c r="R254" i="1"/>
  <c r="R324" i="1"/>
  <c r="R249" i="1"/>
  <c r="J269" i="1"/>
  <c r="J263" i="1"/>
  <c r="J260" i="1"/>
  <c r="K260" i="1" s="1"/>
  <c r="J258" i="1"/>
  <c r="K258" i="1" s="1"/>
  <c r="J256" i="1"/>
  <c r="J255" i="1"/>
  <c r="L103" i="1"/>
  <c r="L142" i="1"/>
  <c r="L10" i="1"/>
  <c r="L269" i="1"/>
  <c r="L141" i="1"/>
  <c r="L140" i="1"/>
  <c r="L139" i="1"/>
  <c r="L337" i="1"/>
  <c r="L311" i="1"/>
  <c r="L268" i="1"/>
  <c r="L138" i="1"/>
  <c r="L137" i="1"/>
  <c r="L136" i="1"/>
  <c r="L335" i="1"/>
  <c r="L336" i="1" s="1"/>
  <c r="L267" i="1"/>
  <c r="L203" i="1"/>
  <c r="L202" i="1"/>
  <c r="L201" i="1"/>
  <c r="L266" i="1"/>
  <c r="L334" i="1"/>
  <c r="L200" i="1"/>
  <c r="L199" i="1"/>
  <c r="L198" i="1"/>
  <c r="L197" i="1"/>
  <c r="L333" i="1"/>
  <c r="L265" i="1"/>
  <c r="L196" i="1"/>
  <c r="L332" i="1"/>
  <c r="L195" i="1"/>
  <c r="L194" i="1"/>
  <c r="L310" i="1"/>
  <c r="L309" i="1"/>
  <c r="L264" i="1"/>
  <c r="L308" i="1"/>
  <c r="L135" i="1"/>
  <c r="L307" i="1"/>
  <c r="L134" i="1"/>
  <c r="L331" i="1"/>
  <c r="L263" i="1"/>
  <c r="L306" i="1"/>
  <c r="L193" i="1"/>
  <c r="L192" i="1"/>
  <c r="L9" i="1"/>
  <c r="L191" i="1"/>
  <c r="L190" i="1"/>
  <c r="L189" i="1"/>
  <c r="L262" i="1"/>
  <c r="L330" i="1"/>
  <c r="L188" i="1"/>
  <c r="L305" i="1"/>
  <c r="L304" i="1"/>
  <c r="L102" i="1"/>
  <c r="L101" i="1"/>
  <c r="L133" i="1"/>
  <c r="L261" i="1"/>
  <c r="L303" i="1"/>
  <c r="L132" i="1"/>
  <c r="L131" i="1"/>
  <c r="L260" i="1"/>
  <c r="L8" i="1"/>
  <c r="L259" i="1"/>
  <c r="L130" i="1"/>
  <c r="L258" i="1"/>
  <c r="L129" i="1"/>
  <c r="L302" i="1"/>
  <c r="L128" i="1"/>
  <c r="L78" i="1"/>
  <c r="L329" i="1"/>
  <c r="L7" i="1"/>
  <c r="L6" i="1"/>
  <c r="L187" i="1"/>
  <c r="L186" i="1"/>
  <c r="L185" i="1"/>
  <c r="L184" i="1"/>
  <c r="L301" i="1"/>
  <c r="L183" i="1"/>
  <c r="L182" i="1"/>
  <c r="L181" i="1"/>
  <c r="L257" i="1"/>
  <c r="L256" i="1"/>
  <c r="L180" i="1"/>
  <c r="L5" i="1"/>
  <c r="L179" i="1"/>
  <c r="L178" i="1"/>
  <c r="L177" i="1"/>
  <c r="L176" i="1"/>
  <c r="L328" i="1"/>
  <c r="L175" i="1"/>
  <c r="L174" i="1"/>
  <c r="L327" i="1"/>
  <c r="L255" i="1"/>
  <c r="L173" i="1"/>
  <c r="L172" i="1"/>
  <c r="L4" i="1"/>
  <c r="L326" i="1"/>
  <c r="L3" i="1"/>
  <c r="L325" i="1"/>
  <c r="L171" i="1"/>
  <c r="L324" i="1"/>
  <c r="L254" i="1"/>
  <c r="L253" i="1"/>
  <c r="L127" i="1"/>
  <c r="L126" i="1"/>
  <c r="L252" i="1"/>
  <c r="L251" i="1"/>
  <c r="L250" i="1"/>
  <c r="L249" i="1"/>
  <c r="O333" i="1"/>
  <c r="O197" i="1"/>
  <c r="O198" i="1"/>
  <c r="O199" i="1"/>
  <c r="O200" i="1"/>
  <c r="O334" i="1"/>
  <c r="O266" i="1"/>
  <c r="O201" i="1"/>
  <c r="O202" i="1"/>
  <c r="O203" i="1"/>
  <c r="O267" i="1"/>
  <c r="O335" i="1"/>
  <c r="O136" i="1"/>
  <c r="O137" i="1"/>
  <c r="O138" i="1"/>
  <c r="O268" i="1"/>
  <c r="O336" i="1"/>
  <c r="O311" i="1"/>
  <c r="O337" i="1"/>
  <c r="O139" i="1"/>
  <c r="O140" i="1"/>
  <c r="O141" i="1"/>
  <c r="O269" i="1"/>
  <c r="O10" i="1"/>
  <c r="O142" i="1"/>
  <c r="O103" i="1"/>
  <c r="O363" i="1"/>
  <c r="O265" i="1"/>
  <c r="O195" i="1"/>
  <c r="O332" i="1"/>
  <c r="O196" i="1"/>
  <c r="O194" i="1"/>
  <c r="O263" i="1"/>
  <c r="O331" i="1"/>
  <c r="O134" i="1"/>
  <c r="O307" i="1"/>
  <c r="O135" i="1"/>
  <c r="O308" i="1"/>
  <c r="O264" i="1"/>
  <c r="O309" i="1"/>
  <c r="O310" i="1"/>
  <c r="O306" i="1"/>
  <c r="O3" i="1"/>
  <c r="O326" i="1"/>
  <c r="O4" i="1"/>
  <c r="O172" i="1"/>
  <c r="O173" i="1"/>
  <c r="O255" i="1"/>
  <c r="O327" i="1"/>
  <c r="O174" i="1"/>
  <c r="O175" i="1"/>
  <c r="O328" i="1"/>
  <c r="O176" i="1"/>
  <c r="O177" i="1"/>
  <c r="O178" i="1"/>
  <c r="O179" i="1"/>
  <c r="O5" i="1"/>
  <c r="O180" i="1"/>
  <c r="O256" i="1"/>
  <c r="O257" i="1"/>
  <c r="O181" i="1"/>
  <c r="O182" i="1"/>
  <c r="O183" i="1"/>
  <c r="O301" i="1"/>
  <c r="O184" i="1"/>
  <c r="O185" i="1"/>
  <c r="O186" i="1"/>
  <c r="O187" i="1"/>
  <c r="O6" i="1"/>
  <c r="O7" i="1"/>
  <c r="O329" i="1"/>
  <c r="O78" i="1"/>
  <c r="O128" i="1"/>
  <c r="O302" i="1"/>
  <c r="O129" i="1"/>
  <c r="O258" i="1"/>
  <c r="O130" i="1"/>
  <c r="O259" i="1"/>
  <c r="O8" i="1"/>
  <c r="O260" i="1"/>
  <c r="O131" i="1"/>
  <c r="O132" i="1"/>
  <c r="O303" i="1"/>
  <c r="O261" i="1"/>
  <c r="O133" i="1"/>
  <c r="O101" i="1"/>
  <c r="O102" i="1"/>
  <c r="O304" i="1"/>
  <c r="O305" i="1"/>
  <c r="O188" i="1"/>
  <c r="O330" i="1"/>
  <c r="O262" i="1"/>
  <c r="O189" i="1"/>
  <c r="O190" i="1"/>
  <c r="O191" i="1"/>
  <c r="O9" i="1"/>
  <c r="O192" i="1"/>
  <c r="O193" i="1"/>
  <c r="O325" i="1"/>
  <c r="O250" i="1"/>
  <c r="O251" i="1"/>
  <c r="O252" i="1"/>
  <c r="O126" i="1"/>
  <c r="O127" i="1"/>
  <c r="O253" i="1"/>
  <c r="O254" i="1"/>
  <c r="O324" i="1"/>
  <c r="O171" i="1"/>
  <c r="O249" i="1"/>
  <c r="K269" i="1"/>
  <c r="K263" i="1"/>
  <c r="K256" i="1"/>
  <c r="K255" i="1"/>
  <c r="D260" i="1"/>
</calcChain>
</file>

<file path=xl/sharedStrings.xml><?xml version="1.0" encoding="utf-8"?>
<sst xmlns="http://schemas.openxmlformats.org/spreadsheetml/2006/main" count="1801" uniqueCount="651">
  <si>
    <t>№ точки</t>
  </si>
  <si>
    <t>Координаты</t>
  </si>
  <si>
    <t>Название</t>
  </si>
  <si>
    <t>Тип устья</t>
  </si>
  <si>
    <t xml:space="preserve">Клыковая </t>
  </si>
  <si>
    <t>Скорая</t>
  </si>
  <si>
    <t>Сбитая</t>
  </si>
  <si>
    <t>Буянка</t>
  </si>
  <si>
    <t>Пионерка</t>
  </si>
  <si>
    <t>Коленчатая</t>
  </si>
  <si>
    <t>Круговая</t>
  </si>
  <si>
    <t>Неожиданная</t>
  </si>
  <si>
    <t>Сложная</t>
  </si>
  <si>
    <t>78°52'с.ш 102°31' в.д</t>
  </si>
  <si>
    <t>78°47'с.ш 102°27' в.д</t>
  </si>
  <si>
    <t>79°12'с.ш 102°55' в.д</t>
  </si>
  <si>
    <t>Базовая</t>
  </si>
  <si>
    <t>Пыжиковая</t>
  </si>
  <si>
    <t>79°22'с.ш 102°51' в.д</t>
  </si>
  <si>
    <t>Осевая</t>
  </si>
  <si>
    <t>Абаут</t>
  </si>
  <si>
    <t>Герасимова</t>
  </si>
  <si>
    <t>Бурливая</t>
  </si>
  <si>
    <t>Каменка</t>
  </si>
  <si>
    <t>Тора</t>
  </si>
  <si>
    <t>Порожистая</t>
  </si>
  <si>
    <t>Светлая</t>
  </si>
  <si>
    <t>Петушок</t>
  </si>
  <si>
    <t>1</t>
  </si>
  <si>
    <t>Шумная</t>
  </si>
  <si>
    <t>Тележная</t>
  </si>
  <si>
    <t>Лагерная</t>
  </si>
  <si>
    <t>2</t>
  </si>
  <si>
    <t>Скалистая</t>
  </si>
  <si>
    <t>Проходимая</t>
  </si>
  <si>
    <t>Собачья</t>
  </si>
  <si>
    <t>4</t>
  </si>
  <si>
    <t>Голышево</t>
  </si>
  <si>
    <t>Последняя</t>
  </si>
  <si>
    <t>Тихий</t>
  </si>
  <si>
    <t>Завальная</t>
  </si>
  <si>
    <t>Подъемная</t>
  </si>
  <si>
    <t>78°50'с.ш 104°23' в.д</t>
  </si>
  <si>
    <t>Красивая</t>
  </si>
  <si>
    <t>78°59'с.ш 104°14' в.д</t>
  </si>
  <si>
    <t>79°00'с.ш 104°07' в.д</t>
  </si>
  <si>
    <t>Раздельная</t>
  </si>
  <si>
    <t>79°01'с.ш 103°09' в.д</t>
  </si>
  <si>
    <t>78°50'с.ш 102°45' в.д</t>
  </si>
  <si>
    <t>79°07'с.ш 102°50' в.д</t>
  </si>
  <si>
    <t>Сборная</t>
  </si>
  <si>
    <t>Широкая</t>
  </si>
  <si>
    <t>79°24'с.ш 102°33' в.д</t>
  </si>
  <si>
    <t>Останцовая</t>
  </si>
  <si>
    <t>Черная</t>
  </si>
  <si>
    <t>79°12'с.ш 102°18' в.д</t>
  </si>
  <si>
    <t>79°13'с.ш 102°05' в.д</t>
  </si>
  <si>
    <t>Мушкетова</t>
  </si>
  <si>
    <t>Разветвленная</t>
  </si>
  <si>
    <t>Бурная</t>
  </si>
  <si>
    <t>78°59'с.ш 101°25' в.д</t>
  </si>
  <si>
    <t>78°35'с.ш 100°23' в.д</t>
  </si>
  <si>
    <t>Студенная</t>
  </si>
  <si>
    <t>78°34'с.ш 100°22' в.д</t>
  </si>
  <si>
    <t>78°29'с.ш 100°15' в.д</t>
  </si>
  <si>
    <t>78°27'с.ш 100°15' в.д</t>
  </si>
  <si>
    <t>Касашкино</t>
  </si>
  <si>
    <t>Ровная</t>
  </si>
  <si>
    <t>Обрывистая</t>
  </si>
  <si>
    <t>Кроткая</t>
  </si>
  <si>
    <t>Мысовая</t>
  </si>
  <si>
    <t>Быстрая</t>
  </si>
  <si>
    <t>78°25'с.ш 100°10' в.д</t>
  </si>
  <si>
    <t>78°21'с.ш 100°07' в.д</t>
  </si>
  <si>
    <t>78°19'с.ш 100°04' в.д</t>
  </si>
  <si>
    <t>78°18'с.ш 100°02' в.д</t>
  </si>
  <si>
    <t>Белянка</t>
  </si>
  <si>
    <t>Lморского края дельты,км</t>
  </si>
  <si>
    <t>L огибающей,км</t>
  </si>
  <si>
    <t>L изрезанности,км</t>
  </si>
  <si>
    <t>80°02'с.ш 91°09' в.д</t>
  </si>
  <si>
    <t>81°01'с.ш 94°10' в.д</t>
  </si>
  <si>
    <t>80°59'с.ш 93°38' в.д</t>
  </si>
  <si>
    <t>80°28'с.ш 92°54' в.д</t>
  </si>
  <si>
    <t>Снеговая</t>
  </si>
  <si>
    <t>80°53'с.ш 93°10' в.д</t>
  </si>
  <si>
    <t>81°03'с.ш 94°25' в.д</t>
  </si>
  <si>
    <t>81°04'с.ш 96°29' в.д</t>
  </si>
  <si>
    <t>81°04'с.ш 96°30' в.д</t>
  </si>
  <si>
    <t>80°58'с.ш 96°42' в.д</t>
  </si>
  <si>
    <t>80°54'с.ш 96°53' в.д</t>
  </si>
  <si>
    <t>80°43'с.ш 97°53' в.д</t>
  </si>
  <si>
    <t>Мелкая</t>
  </si>
  <si>
    <t>Полевая</t>
  </si>
  <si>
    <t>Труба</t>
  </si>
  <si>
    <t>Капризная</t>
  </si>
  <si>
    <t>78°09'с.ш 107°00' в.д</t>
  </si>
  <si>
    <t>78°08'с.ш 107°12' в.д</t>
  </si>
  <si>
    <t>78°08'с.ш 107°20' в.д</t>
  </si>
  <si>
    <t>78°10'с.ш 107°30' в.д</t>
  </si>
  <si>
    <r>
      <t>75</t>
    </r>
    <r>
      <rPr>
        <sz val="11"/>
        <color indexed="8"/>
        <rFont val="Calibri"/>
        <family val="2"/>
        <charset val="204"/>
      </rPr>
      <t>°14'с.ш 137°01' в.д</t>
    </r>
  </si>
  <si>
    <r>
      <t>74</t>
    </r>
    <r>
      <rPr>
        <sz val="11"/>
        <color indexed="8"/>
        <rFont val="Calibri"/>
        <family val="2"/>
        <charset val="204"/>
      </rPr>
      <t>°59'с.ш 137°41' в.д</t>
    </r>
  </si>
  <si>
    <r>
      <t>74</t>
    </r>
    <r>
      <rPr>
        <sz val="11"/>
        <color indexed="8"/>
        <rFont val="Calibri"/>
        <family val="2"/>
        <charset val="204"/>
      </rPr>
      <t>°57'с.ш 139°50' в.д</t>
    </r>
  </si>
  <si>
    <t>78°48'с.ш 98°00' в.д</t>
  </si>
  <si>
    <t>78°49'с.ш 97°48' в.д</t>
  </si>
  <si>
    <t>Незаметная</t>
  </si>
  <si>
    <t>78°50'с.ш 97°34' в.д</t>
  </si>
  <si>
    <t>78°52'с.ш 97°20' в.д</t>
  </si>
  <si>
    <t>78°52'с.ш 97°14' в.д</t>
  </si>
  <si>
    <t>78°55'с.ш 97°03' в.д</t>
  </si>
  <si>
    <t>Растущая</t>
  </si>
  <si>
    <t>Сланцевая</t>
  </si>
  <si>
    <t>Холодная</t>
  </si>
  <si>
    <t>78°00'с.ш 96°54' в.д</t>
  </si>
  <si>
    <t>Ветвистая</t>
  </si>
  <si>
    <t>Озерная</t>
  </si>
  <si>
    <t>78°59'с.ш 96°33' в.д</t>
  </si>
  <si>
    <t>79°00'с.ш 96°22' в.д</t>
  </si>
  <si>
    <t>Боковая</t>
  </si>
  <si>
    <t>79°01'с.ш 96°18' в.д</t>
  </si>
  <si>
    <t>79°00'с.ш 95°57' в.д</t>
  </si>
  <si>
    <t>79°06'с.ш 95°34' в.д</t>
  </si>
  <si>
    <t>79°03'с.ш 95°00' в.д</t>
  </si>
  <si>
    <t>79°28'с.ш 94°23' в.д</t>
  </si>
  <si>
    <t>79°30'с.ш 94°02' в.д</t>
  </si>
  <si>
    <t>Скрытая</t>
  </si>
  <si>
    <t>79°33'с.ш 93°50' в.д</t>
  </si>
  <si>
    <t>79°36'с.ш 93°54' в.д</t>
  </si>
  <si>
    <t>79°38'с.ш 93°55' в.д</t>
  </si>
  <si>
    <t>Большая</t>
  </si>
  <si>
    <t>79°46'с.ш 94°29' в.д</t>
  </si>
  <si>
    <t>80°05'с.ш 95°49' в.д</t>
  </si>
  <si>
    <t>80°04'с.ш 96°07' в.д</t>
  </si>
  <si>
    <t>79°41'с.ш 97°15' в.д</t>
  </si>
  <si>
    <t>Ледниковая</t>
  </si>
  <si>
    <t>79°44'с.ш 99°50' в.д</t>
  </si>
  <si>
    <t>79°43'с.ш 99°54' в.д</t>
  </si>
  <si>
    <t>79°32'с.ш 99°48' в.д</t>
  </si>
  <si>
    <t>79°24'с.ш 99°48' в.д</t>
  </si>
  <si>
    <t>78°10'с.ш 98°06' в.д</t>
  </si>
  <si>
    <r>
      <t>73</t>
    </r>
    <r>
      <rPr>
        <sz val="11"/>
        <color indexed="8"/>
        <rFont val="Calibri"/>
        <family val="2"/>
        <charset val="204"/>
      </rPr>
      <t>°15'с.ш 56°23' в.д</t>
    </r>
  </si>
  <si>
    <r>
      <t>73</t>
    </r>
    <r>
      <rPr>
        <sz val="11"/>
        <color indexed="8"/>
        <rFont val="Calibri"/>
        <family val="2"/>
        <charset val="204"/>
      </rPr>
      <t>°20'с.ш 56°45' в.д</t>
    </r>
  </si>
  <si>
    <r>
      <t>73</t>
    </r>
    <r>
      <rPr>
        <sz val="11"/>
        <color indexed="8"/>
        <rFont val="Calibri"/>
        <family val="2"/>
        <charset val="204"/>
      </rPr>
      <t>°20'с.ш 57°01' в.д</t>
    </r>
  </si>
  <si>
    <r>
      <t>73</t>
    </r>
    <r>
      <rPr>
        <sz val="11"/>
        <color indexed="8"/>
        <rFont val="Calibri"/>
        <family val="2"/>
        <charset val="204"/>
      </rPr>
      <t>°23'с.ш 57°06' в.д</t>
    </r>
  </si>
  <si>
    <t>Кабанова</t>
  </si>
  <si>
    <t>Носилого</t>
  </si>
  <si>
    <r>
      <t>73</t>
    </r>
    <r>
      <rPr>
        <sz val="11"/>
        <color indexed="8"/>
        <rFont val="Calibri"/>
        <family val="2"/>
        <charset val="204"/>
      </rPr>
      <t>°30'с.ш 57°10' в.д</t>
    </r>
  </si>
  <si>
    <r>
      <t>73</t>
    </r>
    <r>
      <rPr>
        <sz val="11"/>
        <color indexed="8"/>
        <rFont val="Calibri"/>
        <family val="2"/>
        <charset val="204"/>
      </rPr>
      <t>°34'с.ш 56°49' в.д</t>
    </r>
  </si>
  <si>
    <r>
      <t>73</t>
    </r>
    <r>
      <rPr>
        <sz val="11"/>
        <color indexed="8"/>
        <rFont val="Calibri"/>
        <family val="2"/>
        <charset val="204"/>
      </rPr>
      <t>°35'с.ш 56°43' в.д</t>
    </r>
  </si>
  <si>
    <t>Миллера</t>
  </si>
  <si>
    <r>
      <t>73</t>
    </r>
    <r>
      <rPr>
        <sz val="11"/>
        <color indexed="8"/>
        <rFont val="Calibri"/>
        <family val="2"/>
        <charset val="204"/>
      </rPr>
      <t>°37'с.ш 56°45' в.д</t>
    </r>
  </si>
  <si>
    <r>
      <t>73</t>
    </r>
    <r>
      <rPr>
        <sz val="11"/>
        <color indexed="8"/>
        <rFont val="Calibri"/>
        <family val="2"/>
        <charset val="204"/>
      </rPr>
      <t>°41'с.ш 56°39' в.д</t>
    </r>
  </si>
  <si>
    <r>
      <t>73</t>
    </r>
    <r>
      <rPr>
        <sz val="11"/>
        <color indexed="8"/>
        <rFont val="Calibri"/>
        <family val="2"/>
        <charset val="204"/>
      </rPr>
      <t>°40'с.ш 56°58' в.д</t>
    </r>
  </si>
  <si>
    <r>
      <t>73</t>
    </r>
    <r>
      <rPr>
        <sz val="11"/>
        <color indexed="8"/>
        <rFont val="Calibri"/>
        <family val="2"/>
        <charset val="204"/>
      </rPr>
      <t>°34'с.ш 57°25' в.д</t>
    </r>
  </si>
  <si>
    <r>
      <t>73</t>
    </r>
    <r>
      <rPr>
        <sz val="11"/>
        <color indexed="8"/>
        <rFont val="Calibri"/>
        <family val="2"/>
        <charset val="204"/>
      </rPr>
      <t>°35'с.ш 57°31' в.д</t>
    </r>
  </si>
  <si>
    <r>
      <t>73</t>
    </r>
    <r>
      <rPr>
        <sz val="11"/>
        <color indexed="8"/>
        <rFont val="Calibri"/>
        <family val="2"/>
        <charset val="204"/>
      </rPr>
      <t>°38'с.ш 57°35' в.д</t>
    </r>
  </si>
  <si>
    <r>
      <t>73</t>
    </r>
    <r>
      <rPr>
        <sz val="11"/>
        <color indexed="8"/>
        <rFont val="Calibri"/>
        <family val="2"/>
        <charset val="204"/>
      </rPr>
      <t>°46'с.ш 57°23' в.д</t>
    </r>
  </si>
  <si>
    <r>
      <t>73</t>
    </r>
    <r>
      <rPr>
        <sz val="11"/>
        <color indexed="8"/>
        <rFont val="Calibri"/>
        <family val="2"/>
        <charset val="204"/>
      </rPr>
      <t>°49'с.ш 57°08' в.д</t>
    </r>
  </si>
  <si>
    <r>
      <t>73</t>
    </r>
    <r>
      <rPr>
        <sz val="11"/>
        <color indexed="8"/>
        <rFont val="Calibri"/>
        <family val="2"/>
        <charset val="204"/>
      </rPr>
      <t>°49'с.ш 56°59' в.д</t>
    </r>
  </si>
  <si>
    <r>
      <t>73</t>
    </r>
    <r>
      <rPr>
        <sz val="11"/>
        <color indexed="8"/>
        <rFont val="Calibri"/>
        <family val="2"/>
        <charset val="204"/>
      </rPr>
      <t>°50'с.ш 57°08' в.д</t>
    </r>
  </si>
  <si>
    <r>
      <t>73</t>
    </r>
    <r>
      <rPr>
        <sz val="11"/>
        <color indexed="8"/>
        <rFont val="Calibri"/>
        <family val="2"/>
        <charset val="204"/>
      </rPr>
      <t>°48'с.ш 57°50' в.д</t>
    </r>
  </si>
  <si>
    <t>Байдарка</t>
  </si>
  <si>
    <r>
      <t>73</t>
    </r>
    <r>
      <rPr>
        <sz val="11"/>
        <color indexed="8"/>
        <rFont val="Calibri"/>
        <family val="2"/>
        <charset val="204"/>
      </rPr>
      <t>°53'с.ш 57°45' в.д</t>
    </r>
  </si>
  <si>
    <r>
      <t>74</t>
    </r>
    <r>
      <rPr>
        <sz val="11"/>
        <color indexed="8"/>
        <rFont val="Calibri"/>
        <family val="2"/>
        <charset val="204"/>
      </rPr>
      <t>°00'с.ш 57°37' в.д</t>
    </r>
  </si>
  <si>
    <r>
      <t>74</t>
    </r>
    <r>
      <rPr>
        <sz val="11"/>
        <color indexed="8"/>
        <rFont val="Calibri"/>
        <family val="2"/>
        <charset val="204"/>
      </rPr>
      <t>°03'с.ш 57°32' в.д</t>
    </r>
  </si>
  <si>
    <r>
      <t>74</t>
    </r>
    <r>
      <rPr>
        <sz val="11"/>
        <color indexed="8"/>
        <rFont val="Calibri"/>
        <family val="2"/>
        <charset val="204"/>
      </rPr>
      <t>°04'с.ш 57°13' в.д</t>
    </r>
  </si>
  <si>
    <r>
      <t>74</t>
    </r>
    <r>
      <rPr>
        <sz val="11"/>
        <color indexed="8"/>
        <rFont val="Calibri"/>
        <family val="2"/>
        <charset val="204"/>
      </rPr>
      <t>°04'с.ш 57°22' в.д</t>
    </r>
  </si>
  <si>
    <r>
      <t>74</t>
    </r>
    <r>
      <rPr>
        <sz val="11"/>
        <color indexed="8"/>
        <rFont val="Calibri"/>
        <family val="2"/>
        <charset val="204"/>
      </rPr>
      <t>°07'с.ш 57°29' в.д</t>
    </r>
  </si>
  <si>
    <r>
      <t>74</t>
    </r>
    <r>
      <rPr>
        <sz val="11"/>
        <color indexed="8"/>
        <rFont val="Calibri"/>
        <family val="2"/>
        <charset val="204"/>
      </rPr>
      <t>°10'с.ш 57°25' в.д</t>
    </r>
  </si>
  <si>
    <r>
      <t>74</t>
    </r>
    <r>
      <rPr>
        <sz val="11"/>
        <color indexed="8"/>
        <rFont val="Calibri"/>
        <family val="2"/>
        <charset val="204"/>
      </rPr>
      <t>°12'с.ш 57°25' в.д</t>
    </r>
  </si>
  <si>
    <r>
      <t>74</t>
    </r>
    <r>
      <rPr>
        <sz val="11"/>
        <color indexed="8"/>
        <rFont val="Calibri"/>
        <family val="2"/>
        <charset val="204"/>
      </rPr>
      <t>°08'с.ш 57°36' в.д</t>
    </r>
  </si>
  <si>
    <r>
      <t>74</t>
    </r>
    <r>
      <rPr>
        <sz val="11"/>
        <color indexed="8"/>
        <rFont val="Calibri"/>
        <family val="2"/>
        <charset val="204"/>
      </rPr>
      <t>°02'с.ш 58°07' в.д</t>
    </r>
  </si>
  <si>
    <r>
      <t>74</t>
    </r>
    <r>
      <rPr>
        <sz val="11"/>
        <color indexed="8"/>
        <rFont val="Calibri"/>
        <family val="2"/>
        <charset val="204"/>
      </rPr>
      <t>°07'с.ш 58°11' в.д</t>
    </r>
  </si>
  <si>
    <r>
      <t>74</t>
    </r>
    <r>
      <rPr>
        <sz val="11"/>
        <color indexed="8"/>
        <rFont val="Calibri"/>
        <family val="2"/>
        <charset val="204"/>
      </rPr>
      <t>°11'с.ш 58°18' в.д</t>
    </r>
  </si>
  <si>
    <r>
      <t>74</t>
    </r>
    <r>
      <rPr>
        <sz val="11"/>
        <color indexed="8"/>
        <rFont val="Calibri"/>
        <family val="2"/>
        <charset val="204"/>
      </rPr>
      <t>°15'с.ш 58°33' в.д</t>
    </r>
  </si>
  <si>
    <r>
      <t>74</t>
    </r>
    <r>
      <rPr>
        <sz val="11"/>
        <color indexed="8"/>
        <rFont val="Calibri"/>
        <family val="2"/>
        <charset val="204"/>
      </rPr>
      <t>°23'с.ш 58°36' в.д</t>
    </r>
  </si>
  <si>
    <t>Ладыгина</t>
  </si>
  <si>
    <r>
      <t>74</t>
    </r>
    <r>
      <rPr>
        <sz val="11"/>
        <color indexed="8"/>
        <rFont val="Calibri"/>
        <family val="2"/>
        <charset val="204"/>
      </rPr>
      <t>°31'с.ш 59°06' в.д</t>
    </r>
  </si>
  <si>
    <r>
      <t>74</t>
    </r>
    <r>
      <rPr>
        <sz val="11"/>
        <color indexed="8"/>
        <rFont val="Calibri"/>
        <family val="2"/>
        <charset val="204"/>
      </rPr>
      <t>°37'с.ш 59°07' в.д</t>
    </r>
  </si>
  <si>
    <r>
      <t>74</t>
    </r>
    <r>
      <rPr>
        <sz val="11"/>
        <color indexed="8"/>
        <rFont val="Calibri"/>
        <family val="2"/>
        <charset val="204"/>
      </rPr>
      <t>°43'с.ш 59°45' в.д</t>
    </r>
  </si>
  <si>
    <r>
      <t>74</t>
    </r>
    <r>
      <rPr>
        <sz val="11"/>
        <color indexed="8"/>
        <rFont val="Calibri"/>
        <family val="2"/>
        <charset val="204"/>
      </rPr>
      <t>°48'с.ш 60°09с' в.д</t>
    </r>
  </si>
  <si>
    <r>
      <t>74</t>
    </r>
    <r>
      <rPr>
        <sz val="11"/>
        <color indexed="8"/>
        <rFont val="Calibri"/>
        <family val="2"/>
        <charset val="204"/>
      </rPr>
      <t>°50'с.ш 60°29с' в.д</t>
    </r>
  </si>
  <si>
    <r>
      <t>74</t>
    </r>
    <r>
      <rPr>
        <sz val="11"/>
        <color indexed="8"/>
        <rFont val="Calibri"/>
        <family val="2"/>
        <charset val="204"/>
      </rPr>
      <t>°58'с.ш 59°48' в.д</t>
    </r>
  </si>
  <si>
    <r>
      <t>75</t>
    </r>
    <r>
      <rPr>
        <sz val="11"/>
        <color indexed="8"/>
        <rFont val="Calibri"/>
        <family val="2"/>
        <charset val="204"/>
      </rPr>
      <t>°17'с.ш 61°17' в.д</t>
    </r>
  </si>
  <si>
    <r>
      <t>75</t>
    </r>
    <r>
      <rPr>
        <sz val="11"/>
        <color indexed="8"/>
        <rFont val="Calibri"/>
        <family val="2"/>
        <charset val="204"/>
      </rPr>
      <t>°27'с.ш 62°28' в.д</t>
    </r>
  </si>
  <si>
    <r>
      <t>75</t>
    </r>
    <r>
      <rPr>
        <sz val="11"/>
        <color indexed="8"/>
        <rFont val="Calibri"/>
        <family val="2"/>
        <charset val="204"/>
      </rPr>
      <t>°36'с.ш 63°28' в.д</t>
    </r>
  </si>
  <si>
    <t>Глубокая</t>
  </si>
  <si>
    <r>
      <t>75</t>
    </r>
    <r>
      <rPr>
        <sz val="11"/>
        <color indexed="8"/>
        <rFont val="Calibri"/>
        <family val="2"/>
        <charset val="204"/>
      </rPr>
      <t>°52'с.ш 65°27с' в.д</t>
    </r>
  </si>
  <si>
    <r>
      <t>75</t>
    </r>
    <r>
      <rPr>
        <sz val="11"/>
        <color indexed="8"/>
        <rFont val="Calibri"/>
        <family val="2"/>
        <charset val="204"/>
      </rPr>
      <t>°55'с.ш 65°48с' в.д</t>
    </r>
  </si>
  <si>
    <r>
      <t>76</t>
    </r>
    <r>
      <rPr>
        <sz val="11"/>
        <color indexed="8"/>
        <rFont val="Calibri"/>
        <family val="2"/>
        <charset val="204"/>
      </rPr>
      <t>°05'с.ш 67°11с' в.д</t>
    </r>
  </si>
  <si>
    <r>
      <t>76</t>
    </r>
    <r>
      <rPr>
        <sz val="11"/>
        <color indexed="8"/>
        <rFont val="Calibri"/>
        <family val="2"/>
        <charset val="204"/>
      </rPr>
      <t>°09'с.ш 67°27с' в.д</t>
    </r>
  </si>
  <si>
    <t>Спокойная</t>
  </si>
  <si>
    <r>
      <t>76</t>
    </r>
    <r>
      <rPr>
        <sz val="11"/>
        <color indexed="8"/>
        <rFont val="Calibri"/>
        <family val="2"/>
        <charset val="204"/>
      </rPr>
      <t>°10'с.ш 67°37с' в.д</t>
    </r>
  </si>
  <si>
    <r>
      <t>76</t>
    </r>
    <r>
      <rPr>
        <sz val="11"/>
        <color indexed="8"/>
        <rFont val="Calibri"/>
        <family val="2"/>
        <charset val="204"/>
      </rPr>
      <t>°12'с.ш 67°51с' в.д</t>
    </r>
  </si>
  <si>
    <r>
      <t>76</t>
    </r>
    <r>
      <rPr>
        <sz val="11"/>
        <color indexed="8"/>
        <rFont val="Calibri"/>
        <family val="2"/>
        <charset val="204"/>
      </rPr>
      <t>°15'с.ш 68°10с' в.д</t>
    </r>
  </si>
  <si>
    <t>Каньонная</t>
  </si>
  <si>
    <r>
      <t>76</t>
    </r>
    <r>
      <rPr>
        <sz val="11"/>
        <color indexed="8"/>
        <rFont val="Calibri"/>
        <family val="2"/>
        <charset val="204"/>
      </rPr>
      <t>°17'с.ш 68°11с' в.д</t>
    </r>
  </si>
  <si>
    <r>
      <t>76</t>
    </r>
    <r>
      <rPr>
        <sz val="11"/>
        <color indexed="8"/>
        <rFont val="Calibri"/>
        <family val="2"/>
        <charset val="204"/>
      </rPr>
      <t>°20'с.ш 68°21с' в.д</t>
    </r>
  </si>
  <si>
    <r>
      <t>76</t>
    </r>
    <r>
      <rPr>
        <sz val="11"/>
        <color indexed="8"/>
        <rFont val="Calibri"/>
        <family val="2"/>
        <charset val="204"/>
      </rPr>
      <t>°24'с.ш 68°28с' в.д</t>
    </r>
  </si>
  <si>
    <r>
      <t>76</t>
    </r>
    <r>
      <rPr>
        <sz val="11"/>
        <color indexed="8"/>
        <rFont val="Calibri"/>
        <family val="2"/>
        <charset val="204"/>
      </rPr>
      <t>°28'с.ш 68°42с' в.д</t>
    </r>
  </si>
  <si>
    <r>
      <t>76</t>
    </r>
    <r>
      <rPr>
        <sz val="11"/>
        <color indexed="8"/>
        <rFont val="Calibri"/>
        <family val="2"/>
        <charset val="204"/>
      </rPr>
      <t>°29'с.ш 68°44с' в.д</t>
    </r>
  </si>
  <si>
    <t>Ущелье</t>
  </si>
  <si>
    <r>
      <t>76</t>
    </r>
    <r>
      <rPr>
        <sz val="11"/>
        <color indexed="8"/>
        <rFont val="Calibri"/>
        <family val="2"/>
        <charset val="204"/>
      </rPr>
      <t>°36'с.ш 68°50с' в.д</t>
    </r>
  </si>
  <si>
    <r>
      <t>76</t>
    </r>
    <r>
      <rPr>
        <sz val="11"/>
        <color indexed="8"/>
        <rFont val="Calibri"/>
        <family val="2"/>
        <charset val="204"/>
      </rPr>
      <t>°38'с.ш 68°52с' в.д</t>
    </r>
  </si>
  <si>
    <r>
      <t>76</t>
    </r>
    <r>
      <rPr>
        <sz val="11"/>
        <color indexed="8"/>
        <rFont val="Calibri"/>
        <family val="2"/>
        <charset val="204"/>
      </rPr>
      <t>°42'с.ш 68°58с' в.д</t>
    </r>
  </si>
  <si>
    <t>Овражистая</t>
  </si>
  <si>
    <t>Гришина Шара</t>
  </si>
  <si>
    <r>
      <t>76</t>
    </r>
    <r>
      <rPr>
        <sz val="11"/>
        <color indexed="8"/>
        <rFont val="Calibri"/>
        <family val="2"/>
        <charset val="204"/>
      </rPr>
      <t>°47'с.ш 68°51с' в.д</t>
    </r>
  </si>
  <si>
    <r>
      <t>76</t>
    </r>
    <r>
      <rPr>
        <sz val="11"/>
        <color indexed="8"/>
        <rFont val="Calibri"/>
        <family val="2"/>
        <charset val="204"/>
      </rPr>
      <t>°48'с.ш 68°48с' в.д</t>
    </r>
  </si>
  <si>
    <t>Комсомольцев</t>
  </si>
  <si>
    <r>
      <t>76</t>
    </r>
    <r>
      <rPr>
        <sz val="11"/>
        <color indexed="8"/>
        <rFont val="Calibri"/>
        <family val="2"/>
        <charset val="204"/>
      </rPr>
      <t>°56'с.ш 68°30с' в.д</t>
    </r>
  </si>
  <si>
    <r>
      <t>76</t>
    </r>
    <r>
      <rPr>
        <sz val="11"/>
        <color indexed="8"/>
        <rFont val="Calibri"/>
        <family val="2"/>
        <charset val="204"/>
      </rPr>
      <t>°57'с.ш 68°13с' в.д</t>
    </r>
  </si>
  <si>
    <r>
      <t>76</t>
    </r>
    <r>
      <rPr>
        <sz val="11"/>
        <color indexed="8"/>
        <rFont val="Calibri"/>
        <family val="2"/>
        <charset val="204"/>
      </rPr>
      <t>°58'с.ш 68°07с' в.д</t>
    </r>
  </si>
  <si>
    <r>
      <t>76</t>
    </r>
    <r>
      <rPr>
        <sz val="11"/>
        <color indexed="8"/>
        <rFont val="Calibri"/>
        <family val="2"/>
        <charset val="204"/>
      </rPr>
      <t>°59'с.ш 68°01с' в.д</t>
    </r>
  </si>
  <si>
    <r>
      <t>76</t>
    </r>
    <r>
      <rPr>
        <sz val="11"/>
        <color indexed="8"/>
        <rFont val="Calibri"/>
        <family val="2"/>
        <charset val="204"/>
      </rPr>
      <t>°59'с.ш 67°52с' в.д</t>
    </r>
  </si>
  <si>
    <r>
      <t>76</t>
    </r>
    <r>
      <rPr>
        <sz val="11"/>
        <color indexed="8"/>
        <rFont val="Calibri"/>
        <family val="2"/>
        <charset val="204"/>
      </rPr>
      <t>°59'с.ш 67°74с' в.д</t>
    </r>
  </si>
  <si>
    <t>Снежная</t>
  </si>
  <si>
    <r>
      <t>76</t>
    </r>
    <r>
      <rPr>
        <sz val="11"/>
        <color indexed="8"/>
        <rFont val="Calibri"/>
        <family val="2"/>
        <charset val="204"/>
      </rPr>
      <t>°59'с.ш 67°39с' в.д</t>
    </r>
  </si>
  <si>
    <r>
      <t>76</t>
    </r>
    <r>
      <rPr>
        <sz val="11"/>
        <color indexed="8"/>
        <rFont val="Calibri"/>
        <family val="2"/>
        <charset val="204"/>
      </rPr>
      <t>°58'с.ш 67°27с' в.д</t>
    </r>
  </si>
  <si>
    <r>
      <t>76</t>
    </r>
    <r>
      <rPr>
        <sz val="11"/>
        <color indexed="8"/>
        <rFont val="Calibri"/>
        <family val="2"/>
        <charset val="204"/>
      </rPr>
      <t>°56'с.ш 67°20с' в.д</t>
    </r>
  </si>
  <si>
    <r>
      <t>76</t>
    </r>
    <r>
      <rPr>
        <sz val="11"/>
        <color indexed="8"/>
        <rFont val="Calibri"/>
        <family val="2"/>
        <charset val="204"/>
      </rPr>
      <t>°56'с.ш 67°19с' в.д</t>
    </r>
  </si>
  <si>
    <r>
      <t>76</t>
    </r>
    <r>
      <rPr>
        <sz val="11"/>
        <color indexed="8"/>
        <rFont val="Calibri"/>
        <family val="2"/>
        <charset val="204"/>
      </rPr>
      <t>°14'с.ш 61°57с' в.д</t>
    </r>
  </si>
  <si>
    <t>Настоящая</t>
  </si>
  <si>
    <r>
      <t>76</t>
    </r>
    <r>
      <rPr>
        <sz val="11"/>
        <color indexed="8"/>
        <rFont val="Calibri"/>
        <family val="2"/>
        <charset val="204"/>
      </rPr>
      <t>°16'с.ш 61°47' в.д</t>
    </r>
  </si>
  <si>
    <r>
      <t>76</t>
    </r>
    <r>
      <rPr>
        <sz val="11"/>
        <color indexed="8"/>
        <rFont val="Calibri"/>
        <family val="2"/>
        <charset val="204"/>
      </rPr>
      <t>°11'с.ш 61°00' в.д</t>
    </r>
  </si>
  <si>
    <t>Великая</t>
  </si>
  <si>
    <r>
      <t>76</t>
    </r>
    <r>
      <rPr>
        <sz val="11"/>
        <color indexed="8"/>
        <rFont val="Calibri"/>
        <family val="2"/>
        <charset val="204"/>
      </rPr>
      <t>°07'с.ш 61°04' в.д</t>
    </r>
  </si>
  <si>
    <r>
      <t>76</t>
    </r>
    <r>
      <rPr>
        <sz val="11"/>
        <color indexed="8"/>
        <rFont val="Calibri"/>
        <family val="2"/>
        <charset val="204"/>
      </rPr>
      <t>°03'с.ш 61°06' в.д</t>
    </r>
  </si>
  <si>
    <r>
      <t>75</t>
    </r>
    <r>
      <rPr>
        <sz val="11"/>
        <color indexed="8"/>
        <rFont val="Calibri"/>
        <family val="2"/>
        <charset val="204"/>
      </rPr>
      <t>°15'с.ш 56°50' в.д</t>
    </r>
  </si>
  <si>
    <r>
      <t>74</t>
    </r>
    <r>
      <rPr>
        <sz val="11"/>
        <color indexed="8"/>
        <rFont val="Calibri"/>
        <family val="2"/>
        <charset val="204"/>
      </rPr>
      <t>°56'с.ш 56°20' в.д</t>
    </r>
  </si>
  <si>
    <r>
      <t>74</t>
    </r>
    <r>
      <rPr>
        <sz val="11"/>
        <color indexed="8"/>
        <rFont val="Calibri"/>
        <family val="2"/>
        <charset val="204"/>
      </rPr>
      <t>°54'с.ш 56°30' в.д</t>
    </r>
  </si>
  <si>
    <r>
      <t>74</t>
    </r>
    <r>
      <rPr>
        <sz val="11"/>
        <color indexed="8"/>
        <rFont val="Calibri"/>
        <family val="2"/>
        <charset val="204"/>
      </rPr>
      <t>°52'с.ш 56°26' в.д</t>
    </r>
  </si>
  <si>
    <r>
      <t>74</t>
    </r>
    <r>
      <rPr>
        <sz val="11"/>
        <color indexed="8"/>
        <rFont val="Calibri"/>
        <family val="2"/>
        <charset val="204"/>
      </rPr>
      <t>°45'с.ш 56°04' в.д</t>
    </r>
  </si>
  <si>
    <t>Сев.Крестовая</t>
  </si>
  <si>
    <t>Крестовая</t>
  </si>
  <si>
    <t>Юж.Крестовая</t>
  </si>
  <si>
    <t>Седовка</t>
  </si>
  <si>
    <r>
      <t>74</t>
    </r>
    <r>
      <rPr>
        <sz val="11"/>
        <color indexed="8"/>
        <rFont val="Calibri"/>
        <family val="2"/>
        <charset val="204"/>
      </rPr>
      <t>°05'с.ш 55°54' в.д</t>
    </r>
  </si>
  <si>
    <r>
      <t>74</t>
    </r>
    <r>
      <rPr>
        <sz val="11"/>
        <color indexed="8"/>
        <rFont val="Calibri"/>
        <family val="2"/>
        <charset val="204"/>
      </rPr>
      <t>°02'с.ш 56°04' в.д</t>
    </r>
  </si>
  <si>
    <r>
      <t>74</t>
    </r>
    <r>
      <rPr>
        <sz val="11"/>
        <color indexed="8"/>
        <rFont val="Calibri"/>
        <family val="2"/>
        <charset val="204"/>
      </rPr>
      <t>°02'с.ш 55°53' в.д</t>
    </r>
  </si>
  <si>
    <r>
      <t>74</t>
    </r>
    <r>
      <rPr>
        <sz val="11"/>
        <color indexed="8"/>
        <rFont val="Calibri"/>
        <family val="2"/>
        <charset val="204"/>
      </rPr>
      <t>°06'с.ш 55°25' в.д</t>
    </r>
  </si>
  <si>
    <r>
      <t>74</t>
    </r>
    <r>
      <rPr>
        <sz val="11"/>
        <color indexed="8"/>
        <rFont val="Calibri"/>
        <family val="2"/>
        <charset val="204"/>
      </rPr>
      <t>°05'с.ш 55°42' в.д</t>
    </r>
  </si>
  <si>
    <r>
      <t>73</t>
    </r>
    <r>
      <rPr>
        <sz val="11"/>
        <color indexed="8"/>
        <rFont val="Calibri"/>
        <family val="2"/>
        <charset val="204"/>
      </rPr>
      <t>°56'с.ш 54°50' в.д</t>
    </r>
  </si>
  <si>
    <r>
      <t>73</t>
    </r>
    <r>
      <rPr>
        <sz val="11"/>
        <color indexed="8"/>
        <rFont val="Calibri"/>
        <family val="2"/>
        <charset val="204"/>
      </rPr>
      <t>°55'с.ш 54°33' в.д</t>
    </r>
  </si>
  <si>
    <t>Митюшиха</t>
  </si>
  <si>
    <t>Мутная</t>
  </si>
  <si>
    <t>Епишкина</t>
  </si>
  <si>
    <t>Шалоник</t>
  </si>
  <si>
    <r>
      <t>73</t>
    </r>
    <r>
      <rPr>
        <sz val="11"/>
        <color indexed="8"/>
        <rFont val="Calibri"/>
        <family val="2"/>
        <charset val="204"/>
      </rPr>
      <t>°37'с.ш 54°09' в.д</t>
    </r>
  </si>
  <si>
    <r>
      <t>73</t>
    </r>
    <r>
      <rPr>
        <sz val="11"/>
        <color indexed="8"/>
        <rFont val="Calibri"/>
        <family val="2"/>
        <charset val="204"/>
      </rPr>
      <t>°41'с.ш 54°32' в.д</t>
    </r>
  </si>
  <si>
    <r>
      <t>73</t>
    </r>
    <r>
      <rPr>
        <sz val="11"/>
        <color indexed="8"/>
        <rFont val="Calibri"/>
        <family val="2"/>
        <charset val="204"/>
      </rPr>
      <t>°41'с.ш 54°37' в.д</t>
    </r>
  </si>
  <si>
    <r>
      <t>73</t>
    </r>
    <r>
      <rPr>
        <sz val="11"/>
        <color indexed="8"/>
        <rFont val="Calibri"/>
        <family val="2"/>
        <charset val="204"/>
      </rPr>
      <t>°42'с.ш 55°22' в.д</t>
    </r>
  </si>
  <si>
    <r>
      <t>73</t>
    </r>
    <r>
      <rPr>
        <sz val="11"/>
        <color indexed="8"/>
        <rFont val="Calibri"/>
        <family val="2"/>
        <charset val="204"/>
      </rPr>
      <t>°36'с.ш 54°42' в.д</t>
    </r>
  </si>
  <si>
    <t>Подгорный</t>
  </si>
  <si>
    <r>
      <t>73</t>
    </r>
    <r>
      <rPr>
        <sz val="11"/>
        <color indexed="8"/>
        <rFont val="Calibri"/>
        <family val="2"/>
        <charset val="204"/>
      </rPr>
      <t>°22'с.ш 54°29' в.д</t>
    </r>
  </si>
  <si>
    <r>
      <t>73</t>
    </r>
    <r>
      <rPr>
        <sz val="11"/>
        <color indexed="8"/>
        <rFont val="Calibri"/>
        <family val="2"/>
        <charset val="204"/>
      </rPr>
      <t>°23'с.ш 54°36' в.д</t>
    </r>
  </si>
  <si>
    <r>
      <t>73</t>
    </r>
    <r>
      <rPr>
        <sz val="11"/>
        <color indexed="8"/>
        <rFont val="Calibri"/>
        <family val="2"/>
        <charset val="204"/>
      </rPr>
      <t>°23'с.ш 55°15' в.д</t>
    </r>
  </si>
  <si>
    <t>Халькопиритовый</t>
  </si>
  <si>
    <r>
      <t>73</t>
    </r>
    <r>
      <rPr>
        <sz val="11"/>
        <color indexed="8"/>
        <rFont val="Calibri"/>
        <family val="2"/>
        <charset val="204"/>
      </rPr>
      <t>°19'с.ш 55°33' в.д</t>
    </r>
  </si>
  <si>
    <r>
      <t>73</t>
    </r>
    <r>
      <rPr>
        <sz val="11"/>
        <color indexed="8"/>
        <rFont val="Calibri"/>
        <family val="2"/>
        <charset val="204"/>
      </rPr>
      <t>°25'с.ш 55°54' в.д</t>
    </r>
  </si>
  <si>
    <r>
      <t>73</t>
    </r>
    <r>
      <rPr>
        <sz val="11"/>
        <color indexed="8"/>
        <rFont val="Calibri"/>
        <family val="2"/>
        <charset val="204"/>
      </rPr>
      <t>°22'с.ш 56°01' в.д</t>
    </r>
  </si>
  <si>
    <t>3.б</t>
  </si>
  <si>
    <t>5.а</t>
  </si>
  <si>
    <t>5.в</t>
  </si>
  <si>
    <t>3.а</t>
  </si>
  <si>
    <t>5.б</t>
  </si>
  <si>
    <t>6</t>
  </si>
  <si>
    <r>
      <t>75</t>
    </r>
    <r>
      <rPr>
        <sz val="11"/>
        <color indexed="8"/>
        <rFont val="Calibri"/>
        <family val="2"/>
        <charset val="204"/>
      </rPr>
      <t>°37'с.ш 140°33' в.д</t>
    </r>
  </si>
  <si>
    <r>
      <t>75</t>
    </r>
    <r>
      <rPr>
        <sz val="11"/>
        <color indexed="8"/>
        <rFont val="Calibri"/>
        <family val="2"/>
        <charset val="204"/>
      </rPr>
      <t>°44'с.ш 140°24' в.д</t>
    </r>
  </si>
  <si>
    <r>
      <t>75</t>
    </r>
    <r>
      <rPr>
        <sz val="11"/>
        <color indexed="8"/>
        <rFont val="Calibri"/>
        <family val="2"/>
        <charset val="204"/>
      </rPr>
      <t>°46'с.ш 140°08' в.д</t>
    </r>
  </si>
  <si>
    <r>
      <t>75</t>
    </r>
    <r>
      <rPr>
        <sz val="11"/>
        <color indexed="8"/>
        <rFont val="Calibri"/>
        <family val="2"/>
        <charset val="204"/>
      </rPr>
      <t>°49'с.ш 139°59' в.д</t>
    </r>
  </si>
  <si>
    <r>
      <t>75</t>
    </r>
    <r>
      <rPr>
        <sz val="11"/>
        <color indexed="8"/>
        <rFont val="Calibri"/>
        <family val="2"/>
        <charset val="204"/>
      </rPr>
      <t>°57'с.ш 139°51' в.д</t>
    </r>
  </si>
  <si>
    <r>
      <t>76</t>
    </r>
    <r>
      <rPr>
        <sz val="11"/>
        <color indexed="8"/>
        <rFont val="Calibri"/>
        <family val="2"/>
        <charset val="204"/>
      </rPr>
      <t>°02'с.ш 139°24' в.д</t>
    </r>
  </si>
  <si>
    <r>
      <t>76</t>
    </r>
    <r>
      <rPr>
        <sz val="11"/>
        <color indexed="8"/>
        <rFont val="Calibri"/>
        <family val="2"/>
        <charset val="204"/>
      </rPr>
      <t>°06'с.ш 139°06' в.д</t>
    </r>
  </si>
  <si>
    <r>
      <t>76</t>
    </r>
    <r>
      <rPr>
        <sz val="11"/>
        <color indexed="8"/>
        <rFont val="Calibri"/>
        <family val="2"/>
        <charset val="204"/>
      </rPr>
      <t>°07'с.ш 139°03' в.д</t>
    </r>
  </si>
  <si>
    <r>
      <t>76</t>
    </r>
    <r>
      <rPr>
        <sz val="11"/>
        <color indexed="8"/>
        <rFont val="Calibri"/>
        <family val="2"/>
        <charset val="204"/>
      </rPr>
      <t>°05'с.ш 138°26' в.д</t>
    </r>
  </si>
  <si>
    <r>
      <t>75</t>
    </r>
    <r>
      <rPr>
        <sz val="11"/>
        <color indexed="8"/>
        <rFont val="Calibri"/>
        <family val="2"/>
        <charset val="204"/>
      </rPr>
      <t>°59'с.ш 137°55' в.д</t>
    </r>
  </si>
  <si>
    <r>
      <t>75</t>
    </r>
    <r>
      <rPr>
        <sz val="11"/>
        <color indexed="8"/>
        <rFont val="Calibri"/>
        <family val="2"/>
        <charset val="204"/>
      </rPr>
      <t>°58'с.ш 137°57' в.д</t>
    </r>
  </si>
  <si>
    <r>
      <t>75</t>
    </r>
    <r>
      <rPr>
        <sz val="11"/>
        <color indexed="8"/>
        <rFont val="Calibri"/>
        <family val="2"/>
        <charset val="204"/>
      </rPr>
      <t>°45'с.ш 137°44' в.д</t>
    </r>
  </si>
  <si>
    <r>
      <t>75</t>
    </r>
    <r>
      <rPr>
        <sz val="11"/>
        <color indexed="8"/>
        <rFont val="Calibri"/>
        <family val="2"/>
        <charset val="204"/>
      </rPr>
      <t>°44'с.ш 137°44' в.д</t>
    </r>
  </si>
  <si>
    <r>
      <t>75</t>
    </r>
    <r>
      <rPr>
        <sz val="11"/>
        <color indexed="8"/>
        <rFont val="Calibri"/>
        <family val="2"/>
        <charset val="204"/>
      </rPr>
      <t>°31'с.ш 137°17' в.д</t>
    </r>
  </si>
  <si>
    <r>
      <t>75</t>
    </r>
    <r>
      <rPr>
        <sz val="11"/>
        <color indexed="8"/>
        <rFont val="Calibri"/>
        <family val="2"/>
        <charset val="204"/>
      </rPr>
      <t>°26'с.ш 137°19' в.д</t>
    </r>
  </si>
  <si>
    <r>
      <t>75</t>
    </r>
    <r>
      <rPr>
        <sz val="11"/>
        <color indexed="8"/>
        <rFont val="Calibri"/>
        <family val="2"/>
        <charset val="204"/>
      </rPr>
      <t>°03'с.ш 137°22' в.д</t>
    </r>
  </si>
  <si>
    <r>
      <t>74</t>
    </r>
    <r>
      <rPr>
        <sz val="11"/>
        <color indexed="8"/>
        <rFont val="Calibri"/>
        <family val="2"/>
        <charset val="204"/>
      </rPr>
      <t>°55'с.ш 137°54' в.д</t>
    </r>
  </si>
  <si>
    <r>
      <t>74</t>
    </r>
    <r>
      <rPr>
        <sz val="11"/>
        <color indexed="8"/>
        <rFont val="Calibri"/>
        <family val="2"/>
        <charset val="204"/>
      </rPr>
      <t>°44'с.ш 138°23' в.д</t>
    </r>
  </si>
  <si>
    <r>
      <t>74</t>
    </r>
    <r>
      <rPr>
        <sz val="11"/>
        <color indexed="8"/>
        <rFont val="Calibri"/>
        <family val="2"/>
        <charset val="204"/>
      </rPr>
      <t>°43'с.ш 138°43' в.д</t>
    </r>
  </si>
  <si>
    <r>
      <t>74</t>
    </r>
    <r>
      <rPr>
        <sz val="11"/>
        <color indexed="8"/>
        <rFont val="Calibri"/>
        <family val="2"/>
        <charset val="204"/>
      </rPr>
      <t>°39'с.ш 138°59' в.д</t>
    </r>
  </si>
  <si>
    <r>
      <t>74</t>
    </r>
    <r>
      <rPr>
        <sz val="11"/>
        <color indexed="8"/>
        <rFont val="Calibri"/>
        <family val="2"/>
        <charset val="204"/>
      </rPr>
      <t>°40'с.ш 139°21' в.д</t>
    </r>
  </si>
  <si>
    <r>
      <t>74</t>
    </r>
    <r>
      <rPr>
        <sz val="11"/>
        <color indexed="8"/>
        <rFont val="Calibri"/>
        <family val="2"/>
        <charset val="204"/>
      </rPr>
      <t>°45'с.ш 139°31' в.д</t>
    </r>
  </si>
  <si>
    <r>
      <t>74</t>
    </r>
    <r>
      <rPr>
        <sz val="11"/>
        <color indexed="8"/>
        <rFont val="Calibri"/>
        <family val="2"/>
        <charset val="204"/>
      </rPr>
      <t>°48'с.ш 139°33' в.д</t>
    </r>
  </si>
  <si>
    <r>
      <t>74</t>
    </r>
    <r>
      <rPr>
        <sz val="11"/>
        <color indexed="8"/>
        <rFont val="Calibri"/>
        <family val="2"/>
        <charset val="204"/>
      </rPr>
      <t>°54'с.ш 139°30' в.д</t>
    </r>
  </si>
  <si>
    <r>
      <t>75</t>
    </r>
    <r>
      <rPr>
        <sz val="11"/>
        <color indexed="8"/>
        <rFont val="Calibri"/>
        <family val="2"/>
        <charset val="204"/>
      </rPr>
      <t>°41'с.ш 143°04' в.д</t>
    </r>
  </si>
  <si>
    <r>
      <t>75</t>
    </r>
    <r>
      <rPr>
        <sz val="11"/>
        <color indexed="8"/>
        <rFont val="Calibri"/>
        <family val="2"/>
        <charset val="204"/>
      </rPr>
      <t>°34'с.ш 142°58' в.д</t>
    </r>
  </si>
  <si>
    <r>
      <t>75</t>
    </r>
    <r>
      <rPr>
        <sz val="11"/>
        <color indexed="8"/>
        <rFont val="Calibri"/>
        <family val="2"/>
        <charset val="204"/>
      </rPr>
      <t>°28'с.ш 142°36' в.д</t>
    </r>
  </si>
  <si>
    <r>
      <t>75</t>
    </r>
    <r>
      <rPr>
        <sz val="11"/>
        <color indexed="8"/>
        <rFont val="Calibri"/>
        <family val="2"/>
        <charset val="204"/>
      </rPr>
      <t>°20'с.ш 142°33' в.д</t>
    </r>
  </si>
  <si>
    <r>
      <t>75</t>
    </r>
    <r>
      <rPr>
        <sz val="11"/>
        <color indexed="8"/>
        <rFont val="Calibri"/>
        <family val="2"/>
        <charset val="204"/>
      </rPr>
      <t>°15'с.ш 142°46' в.д</t>
    </r>
  </si>
  <si>
    <r>
      <t>75</t>
    </r>
    <r>
      <rPr>
        <sz val="11"/>
        <color indexed="8"/>
        <rFont val="Calibri"/>
        <family val="2"/>
        <charset val="204"/>
      </rPr>
      <t>°13'с.ш 142°47' в.д</t>
    </r>
  </si>
  <si>
    <r>
      <t>75</t>
    </r>
    <r>
      <rPr>
        <sz val="11"/>
        <color indexed="8"/>
        <rFont val="Calibri"/>
        <family val="2"/>
        <charset val="204"/>
      </rPr>
      <t>°08'с.ш 142°58' в.д</t>
    </r>
  </si>
  <si>
    <r>
      <t>75</t>
    </r>
    <r>
      <rPr>
        <sz val="11"/>
        <color indexed="8"/>
        <rFont val="Calibri"/>
        <family val="2"/>
        <charset val="204"/>
      </rPr>
      <t>°03'с.ш 143°24' в.д</t>
    </r>
  </si>
  <si>
    <r>
      <t>75</t>
    </r>
    <r>
      <rPr>
        <sz val="11"/>
        <color indexed="8"/>
        <rFont val="Calibri"/>
        <family val="2"/>
        <charset val="204"/>
      </rPr>
      <t>°02'с.ш 144°03' в.д</t>
    </r>
  </si>
  <si>
    <r>
      <t>75</t>
    </r>
    <r>
      <rPr>
        <sz val="11"/>
        <color indexed="8"/>
        <rFont val="Calibri"/>
        <family val="2"/>
        <charset val="204"/>
      </rPr>
      <t>°09'с.ш 144°41' в.д</t>
    </r>
  </si>
  <si>
    <r>
      <t>75</t>
    </r>
    <r>
      <rPr>
        <sz val="11"/>
        <color indexed="8"/>
        <rFont val="Calibri"/>
        <family val="2"/>
        <charset val="204"/>
      </rPr>
      <t>°15'с.ш 144°48' в.д</t>
    </r>
  </si>
  <si>
    <r>
      <t>75</t>
    </r>
    <r>
      <rPr>
        <sz val="11"/>
        <color indexed="8"/>
        <rFont val="Calibri"/>
        <family val="2"/>
        <charset val="204"/>
      </rPr>
      <t>°20'с.ш 144°42' в.д</t>
    </r>
  </si>
  <si>
    <r>
      <t>75</t>
    </r>
    <r>
      <rPr>
        <sz val="11"/>
        <color indexed="8"/>
        <rFont val="Calibri"/>
        <family val="2"/>
        <charset val="204"/>
      </rPr>
      <t>°26'с.ш 144°48' в.д</t>
    </r>
  </si>
  <si>
    <r>
      <t>75</t>
    </r>
    <r>
      <rPr>
        <sz val="11"/>
        <color indexed="8"/>
        <rFont val="Calibri"/>
        <family val="2"/>
        <charset val="204"/>
      </rPr>
      <t>°28'с.ш 145°01' в.д</t>
    </r>
  </si>
  <si>
    <r>
      <t>75</t>
    </r>
    <r>
      <rPr>
        <sz val="11"/>
        <color indexed="8"/>
        <rFont val="Calibri"/>
        <family val="2"/>
        <charset val="204"/>
      </rPr>
      <t>°49'с.ш 143°48' в.д</t>
    </r>
  </si>
  <si>
    <r>
      <t>75</t>
    </r>
    <r>
      <rPr>
        <sz val="11"/>
        <color indexed="8"/>
        <rFont val="Calibri"/>
        <family val="2"/>
        <charset val="204"/>
      </rPr>
      <t>°48'с.ш 143°21' в.д</t>
    </r>
  </si>
  <si>
    <r>
      <t>76</t>
    </r>
    <r>
      <rPr>
        <sz val="11"/>
        <color indexed="8"/>
        <rFont val="Calibri"/>
        <family val="2"/>
        <charset val="204"/>
      </rPr>
      <t>°01'с.ш 141°37' в.д</t>
    </r>
  </si>
  <si>
    <r>
      <t>73</t>
    </r>
    <r>
      <rPr>
        <sz val="11"/>
        <color indexed="8"/>
        <rFont val="Calibri"/>
        <family val="2"/>
        <charset val="204"/>
      </rPr>
      <t>°42'с.ш 140°52' в.д</t>
    </r>
  </si>
  <si>
    <r>
      <t>73</t>
    </r>
    <r>
      <rPr>
        <sz val="11"/>
        <color indexed="8"/>
        <rFont val="Calibri"/>
        <family val="2"/>
        <charset val="204"/>
      </rPr>
      <t>°36'с.ш 140°47' в.д</t>
    </r>
  </si>
  <si>
    <r>
      <t>73</t>
    </r>
    <r>
      <rPr>
        <sz val="11"/>
        <color indexed="8"/>
        <rFont val="Calibri"/>
        <family val="2"/>
        <charset val="204"/>
      </rPr>
      <t>°16'с.ш 141°49' в.д</t>
    </r>
  </si>
  <si>
    <r>
      <t>73</t>
    </r>
    <r>
      <rPr>
        <sz val="11"/>
        <color indexed="8"/>
        <rFont val="Calibri"/>
        <family val="2"/>
        <charset val="204"/>
      </rPr>
      <t>°13'с.ш 142°40' в.д</t>
    </r>
  </si>
  <si>
    <r>
      <t>73</t>
    </r>
    <r>
      <rPr>
        <sz val="11"/>
        <color indexed="8"/>
        <rFont val="Calibri"/>
        <family val="2"/>
        <charset val="204"/>
      </rPr>
      <t>°28'с.ш 143°31' в.д</t>
    </r>
  </si>
  <si>
    <r>
      <t>73</t>
    </r>
    <r>
      <rPr>
        <sz val="11"/>
        <color indexed="8"/>
        <rFont val="Calibri"/>
        <family val="2"/>
        <charset val="204"/>
      </rPr>
      <t>°38'с.ш 143°02' в.д</t>
    </r>
  </si>
  <si>
    <r>
      <t>73</t>
    </r>
    <r>
      <rPr>
        <sz val="11"/>
        <color indexed="8"/>
        <rFont val="Calibri"/>
        <family val="2"/>
        <charset val="204"/>
      </rPr>
      <t>°55'с.ш 140°35' в.д</t>
    </r>
  </si>
  <si>
    <r>
      <t>74</t>
    </r>
    <r>
      <rPr>
        <sz val="11"/>
        <color indexed="8"/>
        <rFont val="Calibri"/>
        <family val="2"/>
        <charset val="204"/>
      </rPr>
      <t>°02'с.ш 140°16' в.д</t>
    </r>
  </si>
  <si>
    <t>Пшеницына</t>
  </si>
  <si>
    <t>Хос-Тёрюттях</t>
  </si>
  <si>
    <t>Решетникова</t>
  </si>
  <si>
    <t>Джахсаяр</t>
  </si>
  <si>
    <t>Кожевина</t>
  </si>
  <si>
    <t>Конечная</t>
  </si>
  <si>
    <t>Воллосовича</t>
  </si>
  <si>
    <t>Моржовая</t>
  </si>
  <si>
    <t>Бырылах-Юрях</t>
  </si>
  <si>
    <t>Хастыр</t>
  </si>
  <si>
    <t>Кылах</t>
  </si>
  <si>
    <t>Уэся-Юрях</t>
  </si>
  <si>
    <t>Тумус-Юрях</t>
  </si>
  <si>
    <t>Кожевенная</t>
  </si>
  <si>
    <t>Корга</t>
  </si>
  <si>
    <r>
      <t>75</t>
    </r>
    <r>
      <rPr>
        <sz val="11"/>
        <color indexed="8"/>
        <rFont val="Calibri"/>
        <family val="2"/>
        <charset val="204"/>
      </rPr>
      <t>°19'с.ш 146°21' в.д</t>
    </r>
  </si>
  <si>
    <r>
      <t>75</t>
    </r>
    <r>
      <rPr>
        <sz val="11"/>
        <color indexed="8"/>
        <rFont val="Calibri"/>
        <family val="2"/>
        <charset val="204"/>
      </rPr>
      <t>°16'с.ш 146°19' в.д</t>
    </r>
  </si>
  <si>
    <r>
      <t>74</t>
    </r>
    <r>
      <rPr>
        <sz val="11"/>
        <color indexed="8"/>
        <rFont val="Calibri"/>
        <family val="2"/>
        <charset val="204"/>
      </rPr>
      <t>°46'с.ш 148°22' в.д</t>
    </r>
  </si>
  <si>
    <r>
      <t>74</t>
    </r>
    <r>
      <rPr>
        <sz val="11"/>
        <color indexed="8"/>
        <rFont val="Calibri"/>
        <family val="2"/>
        <charset val="204"/>
      </rPr>
      <t>°45'с.ш 148°46' в.д</t>
    </r>
  </si>
  <si>
    <r>
      <t>74</t>
    </r>
    <r>
      <rPr>
        <sz val="11"/>
        <color indexed="8"/>
        <rFont val="Calibri"/>
        <family val="2"/>
        <charset val="204"/>
      </rPr>
      <t>°45'с.ш 149°41' в.д</t>
    </r>
  </si>
  <si>
    <r>
      <t>74</t>
    </r>
    <r>
      <rPr>
        <sz val="11"/>
        <color indexed="8"/>
        <rFont val="Calibri"/>
        <family val="2"/>
        <charset val="204"/>
      </rPr>
      <t>°13'с.ш 149°43' в.д</t>
    </r>
  </si>
  <si>
    <r>
      <t>75</t>
    </r>
    <r>
      <rPr>
        <sz val="11"/>
        <color indexed="8"/>
        <rFont val="Calibri"/>
        <family val="2"/>
        <charset val="204"/>
      </rPr>
      <t>°12'с.ш 148°58' в.д</t>
    </r>
  </si>
  <si>
    <r>
      <t>75</t>
    </r>
    <r>
      <rPr>
        <sz val="11"/>
        <color indexed="8"/>
        <rFont val="Calibri"/>
        <family val="2"/>
        <charset val="204"/>
      </rPr>
      <t>°14'с.ш 148°27' в.д</t>
    </r>
  </si>
  <si>
    <t>Надежная</t>
  </si>
  <si>
    <t>Обухова</t>
  </si>
  <si>
    <t>р.Черная</t>
  </si>
  <si>
    <t>Песчанка</t>
  </si>
  <si>
    <t>Маточка</t>
  </si>
  <si>
    <t>Чиракина</t>
  </si>
  <si>
    <t>Шумилиха</t>
  </si>
  <si>
    <t>Панькова</t>
  </si>
  <si>
    <t>Бритвинка</t>
  </si>
  <si>
    <t>Приметная</t>
  </si>
  <si>
    <t>Пуховая</t>
  </si>
  <si>
    <t>Кондратьева</t>
  </si>
  <si>
    <t>Домашняя</t>
  </si>
  <si>
    <t>Первая</t>
  </si>
  <si>
    <t>Средняя</t>
  </si>
  <si>
    <t>Песцовая</t>
  </si>
  <si>
    <t>Тыяха</t>
  </si>
  <si>
    <t>Крест-Яха</t>
  </si>
  <si>
    <t>Ненцы-Яха</t>
  </si>
  <si>
    <t>Саучиха</t>
  </si>
  <si>
    <t>Суева-Селаяха</t>
  </si>
  <si>
    <t>Матюй-Сяляяха</t>
  </si>
  <si>
    <t>Сегрыяха</t>
  </si>
  <si>
    <t>Юнко</t>
  </si>
  <si>
    <t>Рогачева</t>
  </si>
  <si>
    <t xml:space="preserve"> Северная Тайная</t>
  </si>
  <si>
    <t>Южная Тайная</t>
  </si>
  <si>
    <t>Нехватова</t>
  </si>
  <si>
    <t xml:space="preserve"> Западная Горная</t>
  </si>
  <si>
    <t xml:space="preserve"> Восточная Горная</t>
  </si>
  <si>
    <t xml:space="preserve">Юнау </t>
  </si>
  <si>
    <t xml:space="preserve"> Пропащая</t>
  </si>
  <si>
    <t>Утиная</t>
  </si>
  <si>
    <t>Есипова</t>
  </si>
  <si>
    <t>Обманная</t>
  </si>
  <si>
    <t>Саханина</t>
  </si>
  <si>
    <t xml:space="preserve"> Гольцовая</t>
  </si>
  <si>
    <t xml:space="preserve"> Омулевая</t>
  </si>
  <si>
    <t xml:space="preserve"> Ильинка</t>
  </si>
  <si>
    <t xml:space="preserve"> Кумжа </t>
  </si>
  <si>
    <t xml:space="preserve">Колодкина </t>
  </si>
  <si>
    <t>Пинегина</t>
  </si>
  <si>
    <t>Ручей 249</t>
  </si>
  <si>
    <t>Воронина</t>
  </si>
  <si>
    <t>Казакова</t>
  </si>
  <si>
    <t>Нижняя Бутакова</t>
  </si>
  <si>
    <t>Верхняя Бутакова</t>
  </si>
  <si>
    <t>Нагурского</t>
  </si>
  <si>
    <t>Савина</t>
  </si>
  <si>
    <t xml:space="preserve"> Куницкого </t>
  </si>
  <si>
    <t xml:space="preserve">Беспокойная </t>
  </si>
  <si>
    <t xml:space="preserve"> Каменистая </t>
  </si>
  <si>
    <t xml:space="preserve"> Абросимова</t>
  </si>
  <si>
    <t xml:space="preserve"> Лиственничная </t>
  </si>
  <si>
    <t xml:space="preserve"> Большая Кротова</t>
  </si>
  <si>
    <t>Красная</t>
  </si>
  <si>
    <t>Степового</t>
  </si>
  <si>
    <t xml:space="preserve"> Латваяха</t>
  </si>
  <si>
    <t>Клокова</t>
  </si>
  <si>
    <t xml:space="preserve"> Безымянная </t>
  </si>
  <si>
    <t>116-119</t>
  </si>
  <si>
    <r>
      <t>75</t>
    </r>
    <r>
      <rPr>
        <sz val="11"/>
        <color indexed="8"/>
        <rFont val="Calibri"/>
        <family val="2"/>
        <charset val="204"/>
      </rPr>
      <t>°08'с.ш 150°17' в.д</t>
    </r>
  </si>
  <si>
    <t>Малый Илин-Юрях</t>
  </si>
  <si>
    <r>
      <t>73</t>
    </r>
    <r>
      <rPr>
        <sz val="11"/>
        <color indexed="8"/>
        <rFont val="Calibri"/>
        <family val="2"/>
        <charset val="204"/>
      </rPr>
      <t>°15'с.ш 54°02' в.д</t>
    </r>
  </si>
  <si>
    <r>
      <t>73</t>
    </r>
    <r>
      <rPr>
        <sz val="11"/>
        <color indexed="8"/>
        <rFont val="Calibri"/>
        <family val="2"/>
        <charset val="204"/>
      </rPr>
      <t>°18'с.ш 54°24' в.д</t>
    </r>
  </si>
  <si>
    <r>
      <t>73</t>
    </r>
    <r>
      <rPr>
        <sz val="11"/>
        <color indexed="8"/>
        <rFont val="Calibri"/>
        <family val="2"/>
        <charset val="204"/>
      </rPr>
      <t>°19'с.ш 55°22' в.д</t>
    </r>
  </si>
  <si>
    <r>
      <t>73</t>
    </r>
    <r>
      <rPr>
        <sz val="11"/>
        <color indexed="8"/>
        <rFont val="Calibri"/>
        <family val="2"/>
        <charset val="204"/>
      </rPr>
      <t>°22'с.ш 54°40' в.д</t>
    </r>
  </si>
  <si>
    <r>
      <t>73</t>
    </r>
    <r>
      <rPr>
        <sz val="11"/>
        <color indexed="8"/>
        <rFont val="Calibri"/>
        <family val="2"/>
        <charset val="204"/>
      </rPr>
      <t>°18'с.ш 55°30' в.д</t>
    </r>
  </si>
  <si>
    <r>
      <t>73</t>
    </r>
    <r>
      <rPr>
        <sz val="11"/>
        <color indexed="8"/>
        <rFont val="Calibri"/>
        <family val="2"/>
        <charset val="204"/>
      </rPr>
      <t>°14'с.ш 55°59' в.д</t>
    </r>
  </si>
  <si>
    <r>
      <t>73</t>
    </r>
    <r>
      <rPr>
        <sz val="11"/>
        <color indexed="8"/>
        <rFont val="Calibri"/>
        <family val="2"/>
        <charset val="204"/>
      </rPr>
      <t>°06'с.ш 56°24' в.д</t>
    </r>
  </si>
  <si>
    <r>
      <t>73</t>
    </r>
    <r>
      <rPr>
        <sz val="11"/>
        <color indexed="8"/>
        <rFont val="Calibri"/>
        <family val="2"/>
        <charset val="204"/>
      </rPr>
      <t>°05'с.ш 56°18' в.д</t>
    </r>
  </si>
  <si>
    <r>
      <t>73</t>
    </r>
    <r>
      <rPr>
        <sz val="11"/>
        <color indexed="8"/>
        <rFont val="Calibri"/>
        <family val="2"/>
        <charset val="204"/>
      </rPr>
      <t>°14'с.ш 53°40' в.д</t>
    </r>
  </si>
  <si>
    <r>
      <t>73</t>
    </r>
    <r>
      <rPr>
        <sz val="11"/>
        <color indexed="8"/>
        <rFont val="Calibri"/>
        <family val="2"/>
        <charset val="204"/>
      </rPr>
      <t>°10'с.ш 53°18' в.д</t>
    </r>
  </si>
  <si>
    <r>
      <t>72</t>
    </r>
    <r>
      <rPr>
        <sz val="11"/>
        <color indexed="8"/>
        <rFont val="Calibri"/>
        <family val="2"/>
        <charset val="204"/>
      </rPr>
      <t>°59'с.ш 53°25' в.д</t>
    </r>
  </si>
  <si>
    <r>
      <t>72</t>
    </r>
    <r>
      <rPr>
        <sz val="11"/>
        <color indexed="8"/>
        <rFont val="Calibri"/>
        <family val="2"/>
        <charset val="204"/>
      </rPr>
      <t>°52'с.ш 53°29' в.д</t>
    </r>
  </si>
  <si>
    <r>
      <t>72</t>
    </r>
    <r>
      <rPr>
        <sz val="11"/>
        <color indexed="8"/>
        <rFont val="Calibri"/>
        <family val="2"/>
        <charset val="204"/>
      </rPr>
      <t>°49'с.ш 52°34' в.д</t>
    </r>
  </si>
  <si>
    <r>
      <t>72</t>
    </r>
    <r>
      <rPr>
        <sz val="11"/>
        <color indexed="8"/>
        <rFont val="Calibri"/>
        <family val="2"/>
        <charset val="204"/>
      </rPr>
      <t>°39'с.ш 52°53' в.д</t>
    </r>
  </si>
  <si>
    <r>
      <t>72</t>
    </r>
    <r>
      <rPr>
        <sz val="11"/>
        <color indexed="8"/>
        <rFont val="Calibri"/>
        <family val="2"/>
        <charset val="204"/>
      </rPr>
      <t>°38'с.ш 53°12' в.д</t>
    </r>
  </si>
  <si>
    <r>
      <t>72</t>
    </r>
    <r>
      <rPr>
        <sz val="11"/>
        <color indexed="8"/>
        <rFont val="Calibri"/>
        <family val="2"/>
        <charset val="204"/>
      </rPr>
      <t>°33'с.ш 53°19' в.д</t>
    </r>
  </si>
  <si>
    <r>
      <t>72</t>
    </r>
    <r>
      <rPr>
        <sz val="11"/>
        <color indexed="8"/>
        <rFont val="Calibri"/>
        <family val="2"/>
        <charset val="204"/>
      </rPr>
      <t>°20'с.ш 52°56' в.д</t>
    </r>
  </si>
  <si>
    <r>
      <t>72</t>
    </r>
    <r>
      <rPr>
        <sz val="11"/>
        <color indexed="8"/>
        <rFont val="Calibri"/>
        <family val="2"/>
        <charset val="204"/>
      </rPr>
      <t>°25'с.ш 52°48' в.д</t>
    </r>
  </si>
  <si>
    <r>
      <t>72</t>
    </r>
    <r>
      <rPr>
        <sz val="11"/>
        <color indexed="8"/>
        <rFont val="Calibri"/>
        <family val="2"/>
        <charset val="204"/>
      </rPr>
      <t>°29'с.ш 52°53' в.д</t>
    </r>
  </si>
  <si>
    <r>
      <t>72</t>
    </r>
    <r>
      <rPr>
        <sz val="11"/>
        <color indexed="8"/>
        <rFont val="Calibri"/>
        <family val="2"/>
        <charset val="204"/>
      </rPr>
      <t>°17'с.ш 52°42' в.д</t>
    </r>
  </si>
  <si>
    <r>
      <t>72</t>
    </r>
    <r>
      <rPr>
        <sz val="11"/>
        <color indexed="8"/>
        <rFont val="Calibri"/>
        <family val="2"/>
        <charset val="204"/>
      </rPr>
      <t>°17'с.ш 52°41' в.д</t>
    </r>
  </si>
  <si>
    <r>
      <t>72</t>
    </r>
    <r>
      <rPr>
        <sz val="11"/>
        <color indexed="8"/>
        <rFont val="Calibri"/>
        <family val="2"/>
        <charset val="204"/>
      </rPr>
      <t>°07'с.ш 52°32' в.д</t>
    </r>
  </si>
  <si>
    <r>
      <t>72</t>
    </r>
    <r>
      <rPr>
        <sz val="11"/>
        <color indexed="8"/>
        <rFont val="Calibri"/>
        <family val="2"/>
        <charset val="204"/>
      </rPr>
      <t>°03'с.ш 52°27' в.д</t>
    </r>
  </si>
  <si>
    <r>
      <t>72</t>
    </r>
    <r>
      <rPr>
        <sz val="11"/>
        <color indexed="8"/>
        <rFont val="Calibri"/>
        <family val="2"/>
        <charset val="204"/>
      </rPr>
      <t>°04'с.ш 52°05' в.д</t>
    </r>
  </si>
  <si>
    <r>
      <t>72</t>
    </r>
    <r>
      <rPr>
        <sz val="11"/>
        <color indexed="8"/>
        <rFont val="Calibri"/>
        <family val="2"/>
        <charset val="204"/>
      </rPr>
      <t>°04'с.ш 51°55' в.д</t>
    </r>
  </si>
  <si>
    <r>
      <t>71</t>
    </r>
    <r>
      <rPr>
        <sz val="11"/>
        <color indexed="8"/>
        <rFont val="Calibri"/>
        <family val="2"/>
        <charset val="204"/>
      </rPr>
      <t>°55'с.ш 51°29' в.д</t>
    </r>
  </si>
  <si>
    <r>
      <t>71</t>
    </r>
    <r>
      <rPr>
        <sz val="11"/>
        <color indexed="8"/>
        <rFont val="Calibri"/>
        <family val="2"/>
        <charset val="204"/>
      </rPr>
      <t>°50'с.ш 51°26' в.д</t>
    </r>
  </si>
  <si>
    <r>
      <t>71</t>
    </r>
    <r>
      <rPr>
        <sz val="11"/>
        <color indexed="8"/>
        <rFont val="Calibri"/>
        <family val="2"/>
        <charset val="204"/>
      </rPr>
      <t>°35'с.ш 51°35' в.д</t>
    </r>
  </si>
  <si>
    <r>
      <t>71</t>
    </r>
    <r>
      <rPr>
        <sz val="11"/>
        <color indexed="8"/>
        <rFont val="Calibri"/>
        <family val="2"/>
        <charset val="204"/>
      </rPr>
      <t>°37'с.ш 51°34' в.д</t>
    </r>
  </si>
  <si>
    <r>
      <t>71</t>
    </r>
    <r>
      <rPr>
        <sz val="11"/>
        <color indexed="8"/>
        <rFont val="Calibri"/>
        <family val="2"/>
        <charset val="204"/>
      </rPr>
      <t>°27'с.ш 51°57' в.д</t>
    </r>
  </si>
  <si>
    <r>
      <t>71</t>
    </r>
    <r>
      <rPr>
        <sz val="11"/>
        <color indexed="8"/>
        <rFont val="Calibri"/>
        <family val="2"/>
        <charset val="204"/>
      </rPr>
      <t>°28'с.ш 52°11' в.д</t>
    </r>
  </si>
  <si>
    <r>
      <t>71</t>
    </r>
    <r>
      <rPr>
        <sz val="11"/>
        <color indexed="8"/>
        <rFont val="Calibri"/>
        <family val="2"/>
        <charset val="204"/>
      </rPr>
      <t>°34'с.ш 52°13' в.д</t>
    </r>
  </si>
  <si>
    <r>
      <t>71</t>
    </r>
    <r>
      <rPr>
        <sz val="11"/>
        <color indexed="8"/>
        <rFont val="Calibri"/>
        <family val="2"/>
        <charset val="204"/>
      </rPr>
      <t>°35'с.ш 52°16' в.д</t>
    </r>
  </si>
  <si>
    <r>
      <t>71</t>
    </r>
    <r>
      <rPr>
        <sz val="11"/>
        <color indexed="8"/>
        <rFont val="Calibri"/>
        <family val="2"/>
        <charset val="204"/>
      </rPr>
      <t>°45'с.ш 52°32' в.д</t>
    </r>
  </si>
  <si>
    <r>
      <t>71</t>
    </r>
    <r>
      <rPr>
        <sz val="11"/>
        <color indexed="8"/>
        <rFont val="Calibri"/>
        <family val="2"/>
        <charset val="204"/>
      </rPr>
      <t>°27'с.ш 52°52' в.д</t>
    </r>
  </si>
  <si>
    <r>
      <t>71</t>
    </r>
    <r>
      <rPr>
        <sz val="11"/>
        <color indexed="8"/>
        <rFont val="Calibri"/>
        <family val="2"/>
        <charset val="204"/>
      </rPr>
      <t>°30'с.ш 53°00' в.д</t>
    </r>
  </si>
  <si>
    <r>
      <t>71</t>
    </r>
    <r>
      <rPr>
        <sz val="11"/>
        <color indexed="8"/>
        <rFont val="Calibri"/>
        <family val="2"/>
        <charset val="204"/>
      </rPr>
      <t>°32'с.ш 53°26' в.д</t>
    </r>
  </si>
  <si>
    <r>
      <t>71</t>
    </r>
    <r>
      <rPr>
        <sz val="11"/>
        <color indexed="8"/>
        <rFont val="Calibri"/>
        <family val="2"/>
        <charset val="204"/>
      </rPr>
      <t>°32'с.ш 53°29' в.д</t>
    </r>
  </si>
  <si>
    <r>
      <t>71</t>
    </r>
    <r>
      <rPr>
        <sz val="11"/>
        <color indexed="8"/>
        <rFont val="Calibri"/>
        <family val="2"/>
        <charset val="204"/>
      </rPr>
      <t>°22'с.ш 53°33' в.д</t>
    </r>
  </si>
  <si>
    <r>
      <t>71</t>
    </r>
    <r>
      <rPr>
        <sz val="11"/>
        <color indexed="8"/>
        <rFont val="Calibri"/>
        <family val="2"/>
        <charset val="204"/>
      </rPr>
      <t>°23'с.ш 53°42' в.д</t>
    </r>
  </si>
  <si>
    <r>
      <t>71</t>
    </r>
    <r>
      <rPr>
        <sz val="11"/>
        <color indexed="8"/>
        <rFont val="Calibri"/>
        <family val="2"/>
        <charset val="204"/>
      </rPr>
      <t>°28'с.ш 53°55' в.д</t>
    </r>
  </si>
  <si>
    <r>
      <t>71</t>
    </r>
    <r>
      <rPr>
        <sz val="11"/>
        <color indexed="8"/>
        <rFont val="Calibri"/>
        <family val="2"/>
        <charset val="204"/>
      </rPr>
      <t>°23'с.ш 53°50' в.д</t>
    </r>
  </si>
  <si>
    <r>
      <t>71</t>
    </r>
    <r>
      <rPr>
        <sz val="11"/>
        <color indexed="8"/>
        <rFont val="Calibri"/>
        <family val="2"/>
        <charset val="204"/>
      </rPr>
      <t>°11'с.ш 53°52' в.д</t>
    </r>
  </si>
  <si>
    <r>
      <t>71</t>
    </r>
    <r>
      <rPr>
        <sz val="11"/>
        <color indexed="8"/>
        <rFont val="Calibri"/>
        <family val="2"/>
        <charset val="204"/>
      </rPr>
      <t>°12'с.ш 54°02' в.д</t>
    </r>
  </si>
  <si>
    <r>
      <t>71</t>
    </r>
    <r>
      <rPr>
        <sz val="11"/>
        <color indexed="8"/>
        <rFont val="Calibri"/>
        <family val="2"/>
        <charset val="204"/>
      </rPr>
      <t>°12'с.ш 54°04' в.д</t>
    </r>
  </si>
  <si>
    <r>
      <t>71</t>
    </r>
    <r>
      <rPr>
        <sz val="11"/>
        <color indexed="8"/>
        <rFont val="Calibri"/>
        <family val="2"/>
        <charset val="204"/>
      </rPr>
      <t>°08'с.ш 54°13' в.д</t>
    </r>
  </si>
  <si>
    <r>
      <t>71</t>
    </r>
    <r>
      <rPr>
        <sz val="11"/>
        <color indexed="8"/>
        <rFont val="Calibri"/>
        <family val="2"/>
        <charset val="204"/>
      </rPr>
      <t>°04'с.ш 54°10' в.д</t>
    </r>
  </si>
  <si>
    <r>
      <t>71</t>
    </r>
    <r>
      <rPr>
        <sz val="11"/>
        <color indexed="8"/>
        <rFont val="Calibri"/>
        <family val="2"/>
        <charset val="204"/>
      </rPr>
      <t>°04'с.ш 54°00' в.д</t>
    </r>
  </si>
  <si>
    <r>
      <t>71</t>
    </r>
    <r>
      <rPr>
        <sz val="11"/>
        <color indexed="8"/>
        <rFont val="Calibri"/>
        <family val="2"/>
        <charset val="204"/>
      </rPr>
      <t>°01'с.ш 53°57' в.д</t>
    </r>
  </si>
  <si>
    <t>71°03'с.ш 53°44' в.д</t>
  </si>
  <si>
    <t>71°02'с.ш 53°38' в.д</t>
  </si>
  <si>
    <t>70°55'с.ш 53°46' в.д</t>
  </si>
  <si>
    <t>70°46'с.ш 54°14' в.д</t>
  </si>
  <si>
    <t>70°46'с.ш 54°28' в.д</t>
  </si>
  <si>
    <t>70°49'с.ш 54°31' в.д</t>
  </si>
  <si>
    <t>70°44'с.ш 54°42' в.д</t>
  </si>
  <si>
    <t>70°43'с.ш 55°07' в.д</t>
  </si>
  <si>
    <t>70°44'с.ш 55°26' в.д</t>
  </si>
  <si>
    <t>70°42'с.ш 55°38' в.д</t>
  </si>
  <si>
    <t>70°39'с.ш 56°02' в.д</t>
  </si>
  <si>
    <t>70°43'с.ш 56°11' в.д</t>
  </si>
  <si>
    <t>70°44'с.ш 56°29' в.д</t>
  </si>
  <si>
    <t>70°42'с.ш 57°27' в.д</t>
  </si>
  <si>
    <t>70°43'с.ш 57°25' в.д</t>
  </si>
  <si>
    <t>70°51'с.ш 57°02' в.д</t>
  </si>
  <si>
    <t>70°57'с.ш 56°47' в.д</t>
  </si>
  <si>
    <t>70°59'с.ш 56°40' в.д</t>
  </si>
  <si>
    <t>71°03'с.ш 56°33' в.д</t>
  </si>
  <si>
    <t>71°05'с.ш 56°27' в.д</t>
  </si>
  <si>
    <t>71°12'с.ш 56°10' в.д</t>
  </si>
  <si>
    <t>71°15'с.ш 56°06' в.д</t>
  </si>
  <si>
    <t>71°17'с.ш 56°04' в.д</t>
  </si>
  <si>
    <t>71°24'с.ш 55°57' в.д</t>
  </si>
  <si>
    <t>71°27'с.ш 55°52' в.д</t>
  </si>
  <si>
    <t>71°33'с.ш 55°43' в.д</t>
  </si>
  <si>
    <t>71°37'с.ш 55°39' в.д</t>
  </si>
  <si>
    <t>71°43'с.ш 55°35' в.д</t>
  </si>
  <si>
    <t>71°47'с.ш 55°31' в.д</t>
  </si>
  <si>
    <t>71°55'с.ш 55°16' в.д</t>
  </si>
  <si>
    <t>71°57'с.ш 55°17' в.д</t>
  </si>
  <si>
    <t>72°04'с.ш 55°25' в.д</t>
  </si>
  <si>
    <t>72°09'с.ш 55°31' в.д</t>
  </si>
  <si>
    <t>72°16'с.ш 55°21' в.д</t>
  </si>
  <si>
    <t>72°17'с.ш 55°21' в.д</t>
  </si>
  <si>
    <t>72°19'с.ш 55°26' в.д</t>
  </si>
  <si>
    <t>72°26'с.ш 55°09' в.д</t>
  </si>
  <si>
    <t>72°27'с.ш 55°24' в.д</t>
  </si>
  <si>
    <t>72°34'с.ш 55°18' в.д</t>
  </si>
  <si>
    <t>72°36'с.ш 55°39' в.д</t>
  </si>
  <si>
    <t>72°40'с.ш 55°40' в.д</t>
  </si>
  <si>
    <t>72°45'с.ш 55°26' в.д</t>
  </si>
  <si>
    <t>72°47'с.ш 55°30' в.д</t>
  </si>
  <si>
    <t>72°47'с.ш 55°56' в.д</t>
  </si>
  <si>
    <t>72°56'с.ш 55°39' в.д</t>
  </si>
  <si>
    <t>73°03'с.ш 55°53' в.д</t>
  </si>
  <si>
    <t>I Взморье</t>
  </si>
  <si>
    <t>Hср 500</t>
  </si>
  <si>
    <t>H ср Aster</t>
  </si>
  <si>
    <t>I водосбор 500</t>
  </si>
  <si>
    <t>I Aster</t>
  </si>
  <si>
    <t>Li</t>
  </si>
  <si>
    <t>I</t>
  </si>
  <si>
    <r>
      <t>73</t>
    </r>
    <r>
      <rPr>
        <sz val="11"/>
        <color indexed="8"/>
        <rFont val="Calibri"/>
        <family val="2"/>
        <charset val="204"/>
      </rPr>
      <t>°54'с.ш 141°59' в.д</t>
    </r>
  </si>
  <si>
    <r>
      <t>73</t>
    </r>
    <r>
      <rPr>
        <sz val="11"/>
        <color indexed="8"/>
        <rFont val="Calibri"/>
        <family val="2"/>
        <charset val="204"/>
      </rPr>
      <t>°19'с.ш 141°21' в.д</t>
    </r>
  </si>
  <si>
    <t>Дымная</t>
  </si>
  <si>
    <r>
      <t>73</t>
    </r>
    <r>
      <rPr>
        <sz val="11"/>
        <color indexed="8"/>
        <rFont val="Calibri"/>
        <family val="2"/>
        <charset val="204"/>
      </rPr>
      <t>°14'с.ш 142°22' в.д</t>
    </r>
  </si>
  <si>
    <t>Усук-Юрях</t>
  </si>
  <si>
    <r>
      <t>73</t>
    </r>
    <r>
      <rPr>
        <sz val="11"/>
        <color indexed="8"/>
        <rFont val="Calibri"/>
        <family val="2"/>
        <charset val="204"/>
      </rPr>
      <t>°20'с.ш 143°28' в.д</t>
    </r>
  </si>
  <si>
    <r>
      <t>73</t>
    </r>
    <r>
      <rPr>
        <sz val="11"/>
        <color indexed="8"/>
        <rFont val="Calibri"/>
        <family val="2"/>
        <charset val="204"/>
      </rPr>
      <t>°57'с.ш 140°47' в.д</t>
    </r>
  </si>
  <si>
    <t>Тинкир</t>
  </si>
  <si>
    <r>
      <t>73</t>
    </r>
    <r>
      <rPr>
        <sz val="11"/>
        <color indexed="8"/>
        <rFont val="Calibri"/>
        <family val="2"/>
        <charset val="204"/>
      </rPr>
      <t>°08'с.ш 141°04' в.д</t>
    </r>
  </si>
  <si>
    <t>Бечерелях</t>
  </si>
  <si>
    <r>
      <t>74</t>
    </r>
    <r>
      <rPr>
        <sz val="11"/>
        <color indexed="8"/>
        <rFont val="Calibri"/>
        <family val="2"/>
        <charset val="204"/>
      </rPr>
      <t>°15'с.ш 140°52' в.д</t>
    </r>
  </si>
  <si>
    <r>
      <t>74</t>
    </r>
    <r>
      <rPr>
        <sz val="11"/>
        <color indexed="8"/>
        <rFont val="Calibri"/>
        <family val="2"/>
        <charset val="204"/>
      </rPr>
      <t>°15'с.ш 140°26' в.д</t>
    </r>
  </si>
  <si>
    <t>Оттогой</t>
  </si>
  <si>
    <r>
      <t>74</t>
    </r>
    <r>
      <rPr>
        <sz val="11"/>
        <color indexed="8"/>
        <rFont val="Calibri"/>
        <family val="2"/>
        <charset val="204"/>
      </rPr>
      <t>°10'с.ш 140°13' в.д</t>
    </r>
  </si>
  <si>
    <t>Станник</t>
  </si>
  <si>
    <t>Грязная</t>
  </si>
  <si>
    <r>
      <t>74</t>
    </r>
    <r>
      <rPr>
        <sz val="11"/>
        <color indexed="8"/>
        <rFont val="Calibri"/>
        <family val="2"/>
        <charset val="204"/>
      </rPr>
      <t>°58'с.ш 150°37' в.д</t>
    </r>
  </si>
  <si>
    <r>
      <t>75</t>
    </r>
    <r>
      <rPr>
        <sz val="11"/>
        <color indexed="8"/>
        <rFont val="Calibri"/>
        <family val="2"/>
        <charset val="204"/>
      </rPr>
      <t>°02'с.ш 150°46' в.д</t>
    </r>
  </si>
  <si>
    <r>
      <t>75</t>
    </r>
    <r>
      <rPr>
        <sz val="11"/>
        <color indexed="8"/>
        <rFont val="Calibri"/>
        <family val="2"/>
        <charset val="204"/>
      </rPr>
      <t>°04'с.ш 150°31' в.д</t>
    </r>
  </si>
  <si>
    <t>Полигональная</t>
  </si>
  <si>
    <r>
      <t>75</t>
    </r>
    <r>
      <rPr>
        <sz val="11"/>
        <color indexed="8"/>
        <rFont val="Calibri"/>
        <family val="2"/>
        <charset val="204"/>
      </rPr>
      <t>°11'с.ш 148°47' в.д</t>
    </r>
  </si>
  <si>
    <t>79°56'с.ш 97°57' в.д</t>
  </si>
  <si>
    <t>Fводосбор</t>
  </si>
  <si>
    <r>
      <t xml:space="preserve"> Fдельты,км</t>
    </r>
    <r>
      <rPr>
        <sz val="11"/>
        <color indexed="8"/>
        <rFont val="Calibri"/>
        <family val="2"/>
        <charset val="204"/>
      </rPr>
      <t>²</t>
    </r>
  </si>
  <si>
    <t>Драгоценная</t>
  </si>
  <si>
    <t>Диринг-Аян</t>
  </si>
  <si>
    <t>Тас-Юрях</t>
  </si>
  <si>
    <t>Санникова</t>
  </si>
  <si>
    <t>Диринг-Юрюе</t>
  </si>
  <si>
    <t>Соколова</t>
  </si>
  <si>
    <t>Куччугуй-Сулбут</t>
  </si>
  <si>
    <t>Киенг-Ураса</t>
  </si>
  <si>
    <t>Чокурка</t>
  </si>
  <si>
    <t>Большой Чуоралах</t>
  </si>
  <si>
    <t>Улахан-Урасалах</t>
  </si>
  <si>
    <t>Хомурганнах</t>
  </si>
  <si>
    <t>Западная Захарка</t>
  </si>
  <si>
    <t>Большой Эселях</t>
  </si>
  <si>
    <t>Большой Делисей</t>
  </si>
  <si>
    <t>Восточный Амбардах</t>
  </si>
  <si>
    <t>Улахан-Сосолох</t>
  </si>
  <si>
    <t>Балыктах / Николка</t>
  </si>
  <si>
    <t>Буор-Юрях</t>
  </si>
  <si>
    <t>Тумара-Юрях</t>
  </si>
  <si>
    <t>Алын-Юрях</t>
  </si>
  <si>
    <t>Эрге-Юрях</t>
  </si>
  <si>
    <t>Южная</t>
  </si>
  <si>
    <t>Урдюк-Сырлах-Юрях</t>
  </si>
  <si>
    <t>Бултах-Юрях</t>
  </si>
  <si>
    <t>Маралах</t>
  </si>
  <si>
    <t>-</t>
  </si>
  <si>
    <t>Тахтубут</t>
  </si>
  <si>
    <t>Блудная</t>
  </si>
  <si>
    <t>Большой Этерикан</t>
  </si>
  <si>
    <t>Зимовье</t>
  </si>
  <si>
    <t>Большая Ванькина</t>
  </si>
  <si>
    <t>Нерпалах</t>
  </si>
  <si>
    <t>Орто-Юрях</t>
  </si>
  <si>
    <t>Тердё-Кенгир-Юрях</t>
  </si>
  <si>
    <t>Рожина</t>
  </si>
  <si>
    <t>Геденштрома</t>
  </si>
  <si>
    <t>Илин-Юрях</t>
  </si>
  <si>
    <t>Пёстрая</t>
  </si>
  <si>
    <t>Кубалах-Юрях</t>
  </si>
  <si>
    <t>Уюргаки</t>
  </si>
  <si>
    <t>Струйка</t>
  </si>
  <si>
    <t>Илистая</t>
  </si>
  <si>
    <t>Говорливая</t>
  </si>
  <si>
    <t>Туннельная</t>
  </si>
  <si>
    <t>б/н</t>
  </si>
  <si>
    <t>Пятиугловка</t>
  </si>
  <si>
    <t>Разъезжая</t>
  </si>
  <si>
    <t>Партизанский</t>
  </si>
  <si>
    <t>Геологов</t>
  </si>
  <si>
    <t>Посадочная</t>
  </si>
  <si>
    <t>Близкая / Многоструйная</t>
  </si>
  <si>
    <t>Илистый</t>
  </si>
  <si>
    <t>Печерина</t>
  </si>
  <si>
    <t>Курчавая</t>
  </si>
  <si>
    <t>Плавная</t>
  </si>
  <si>
    <t>Известняковая</t>
  </si>
  <si>
    <t>Снежинка / Пушинка</t>
  </si>
  <si>
    <t>Изменчивая</t>
  </si>
  <si>
    <t>Песчаная</t>
  </si>
  <si>
    <t>Бедовая</t>
  </si>
  <si>
    <t>Ушакова</t>
  </si>
  <si>
    <t>79°56'с.ш 93°38' в.д</t>
  </si>
  <si>
    <t>79°47'с.ш 93°28' в.д</t>
  </si>
  <si>
    <t>79°42'с.ш 93°03' в.д</t>
  </si>
  <si>
    <t>79°40'с.ш 92°41' в.д</t>
  </si>
  <si>
    <t>79°45'с.ш 92°24' в.д</t>
  </si>
  <si>
    <t>79°45'с.ш 92°23' в.д</t>
  </si>
  <si>
    <t>79°47'с.ш 92°14' в.д</t>
  </si>
  <si>
    <t>79°49'с.ш 92°03' в.д</t>
  </si>
  <si>
    <t>79°49'с.ш 92°39' в.д</t>
  </si>
  <si>
    <t>77°58'с.ш 99°44' в.д</t>
  </si>
  <si>
    <t>78°01'с.ш 100°29' в.д</t>
  </si>
  <si>
    <t>78°03'с.ш 100°43' в.д</t>
  </si>
  <si>
    <t>78°08'с.ш 101°08' в.д</t>
  </si>
  <si>
    <t>78°10'с.ш 101°18' в.д</t>
  </si>
  <si>
    <t>78°10'с.ш 101°22' в.д</t>
  </si>
  <si>
    <t>78°10'с.ш 101°29' в.д</t>
  </si>
  <si>
    <t>78°10'с.ш 102°01' в.д</t>
  </si>
  <si>
    <t>78°11'с.ш 102°12' в.д</t>
  </si>
  <si>
    <t>78°11'с.ш 102°16' в.д</t>
  </si>
  <si>
    <t>78°12'с.ш 102°37' в.д</t>
  </si>
  <si>
    <t>78°11'с.ш 102°43' в.д</t>
  </si>
  <si>
    <t>78°12'с.ш 103°02' в.д</t>
  </si>
  <si>
    <t>78°13'с.ш 103°06' в.д</t>
  </si>
  <si>
    <t>78°13'с.ш 103°26' в.д</t>
  </si>
  <si>
    <t>78°14'с.ш 103°31' в.д</t>
  </si>
  <si>
    <t>78°14'с.ш 103°39' в.д</t>
  </si>
  <si>
    <t>78°14'с.ш 103°52' в.д</t>
  </si>
  <si>
    <t>78°17'с.ш 104°09' в.д</t>
  </si>
  <si>
    <t>78°18'с.ш 104°16' в.д</t>
  </si>
  <si>
    <t>78°18'с.ш 104°23' в.д</t>
  </si>
  <si>
    <t>78°19'с.ш 104°26' в.д</t>
  </si>
  <si>
    <t>78°19'с.ш 104°43' в.д</t>
  </si>
  <si>
    <t>78°18'с.ш 104°48' в.д</t>
  </si>
  <si>
    <t>78°19'с.ш 104°59' в.д</t>
  </si>
  <si>
    <t>78°21'с.ш 105°03' в.д</t>
  </si>
  <si>
    <t>78°40'с.ш 105°23' в.д</t>
  </si>
  <si>
    <t>78°44'с.ш 105°20' в.д</t>
  </si>
  <si>
    <t>Ночуев</t>
  </si>
  <si>
    <t>Тыртова</t>
  </si>
  <si>
    <t>F ледников, км²</t>
  </si>
  <si>
    <t xml:space="preserve">Карелка </t>
  </si>
  <si>
    <t xml:space="preserve">Вадега 2-я </t>
  </si>
  <si>
    <t xml:space="preserve">Вадега 1-я </t>
  </si>
  <si>
    <t>fол,%</t>
  </si>
  <si>
    <t>остров</t>
  </si>
  <si>
    <t>море</t>
  </si>
  <si>
    <t>СЗ-Пионер</t>
  </si>
  <si>
    <t>СЗ-Большевик</t>
  </si>
  <si>
    <t>СЗ-Комосомолец</t>
  </si>
  <si>
    <t>СЗ-М.Таймыр</t>
  </si>
  <si>
    <t>СЗ-ОктРеволюции</t>
  </si>
  <si>
    <t>Н-Котельный</t>
  </si>
  <si>
    <t>Н-М.Ляховский</t>
  </si>
  <si>
    <t>Н-Б.Ляховский</t>
  </si>
  <si>
    <t>Н-НовСибирь</t>
  </si>
  <si>
    <t>НЗ-Северный</t>
  </si>
  <si>
    <t>НЗ-Южный</t>
  </si>
  <si>
    <t>Карское</t>
  </si>
  <si>
    <t>Баренцево</t>
  </si>
  <si>
    <t>Лаптевых</t>
  </si>
  <si>
    <t>В-Сибирское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</si>
</sst>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49" fontId="0" fillId="0" borderId="1" xfId="0" applyNumberFormat="1" applyBorder="1" applyAlignment="1">
      <alignment wrapText="1"/>
    </xf>
    <xf numFmtId="49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49" fontId="0" fillId="0" borderId="5" xfId="0" applyNumberFormat="1" applyBorder="1" applyAlignment="1">
      <alignment wrapText="1"/>
    </xf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2" fontId="0" fillId="2" borderId="1" xfId="0" applyNumberFormat="1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5" xfId="0" applyFont="1" applyBorder="1"/>
    <xf numFmtId="0" fontId="0" fillId="0" borderId="5" xfId="0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1" xfId="0" applyFill="1" applyBorder="1" applyAlignment="1">
      <alignment wrapText="1"/>
    </xf>
    <xf numFmtId="165" fontId="0" fillId="0" borderId="0" xfId="0" applyNumberFormat="1"/>
    <xf numFmtId="1" fontId="0" fillId="0" borderId="0" xfId="0" applyNumberFormat="1"/>
    <xf numFmtId="0" fontId="0" fillId="0" borderId="1" xfId="0" applyNumberFormat="1" applyBorder="1"/>
    <xf numFmtId="165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165" fontId="0" fillId="0" borderId="5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2" fontId="0" fillId="0" borderId="1" xfId="0" applyNumberFormat="1" applyFill="1" applyBorder="1" applyAlignment="1">
      <alignment wrapText="1"/>
    </xf>
    <xf numFmtId="1" fontId="0" fillId="0" borderId="3" xfId="0" applyNumberFormat="1" applyBorder="1"/>
    <xf numFmtId="49" fontId="0" fillId="0" borderId="1" xfId="0" applyNumberFormat="1" applyBorder="1" applyAlignment="1">
      <alignment horizontal="right" wrapText="1"/>
    </xf>
    <xf numFmtId="0" fontId="0" fillId="3" borderId="1" xfId="0" applyFill="1" applyBorder="1"/>
    <xf numFmtId="0" fontId="2" fillId="0" borderId="0" xfId="1"/>
    <xf numFmtId="1" fontId="0" fillId="0" borderId="5" xfId="0" applyNumberFormat="1" applyBorder="1"/>
    <xf numFmtId="0" fontId="0" fillId="0" borderId="0" xfId="0" applyFont="1" applyAlignment="1">
      <alignment horizontal="left"/>
    </xf>
    <xf numFmtId="1" fontId="0" fillId="0" borderId="1" xfId="0" applyNumberFormat="1" applyBorder="1"/>
    <xf numFmtId="2" fontId="0" fillId="3" borderId="1" xfId="0" applyNumberFormat="1" applyFill="1" applyBorder="1"/>
    <xf numFmtId="0" fontId="4" fillId="0" borderId="1" xfId="0" applyFont="1" applyBorder="1" applyAlignment="1">
      <alignment wrapText="1"/>
    </xf>
    <xf numFmtId="165" fontId="0" fillId="0" borderId="1" xfId="0" applyNumberFormat="1" applyFont="1" applyBorder="1"/>
    <xf numFmtId="165" fontId="0" fillId="3" borderId="5" xfId="0" applyNumberFormat="1" applyFill="1" applyBorder="1"/>
    <xf numFmtId="165" fontId="0" fillId="3" borderId="1" xfId="0" applyNumberFormat="1" applyFill="1" applyBorder="1"/>
    <xf numFmtId="0" fontId="0" fillId="0" borderId="0" xfId="0" applyFont="1" applyBorder="1" applyAlignment="1">
      <alignment horizontal="left"/>
    </xf>
    <xf numFmtId="0" fontId="2" fillId="0" borderId="0" xfId="1" applyBorder="1"/>
    <xf numFmtId="0" fontId="0" fillId="2" borderId="2" xfId="0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165" fontId="0" fillId="0" borderId="0" xfId="0" applyNumberFormat="1" applyFont="1"/>
    <xf numFmtId="0" fontId="0" fillId="0" borderId="1" xfId="0" applyNumberFormat="1" applyFont="1" applyBorder="1"/>
    <xf numFmtId="0" fontId="0" fillId="0" borderId="0" xfId="0" applyNumberFormat="1" applyFont="1"/>
    <xf numFmtId="0" fontId="0" fillId="0" borderId="0" xfId="0" applyFill="1"/>
    <xf numFmtId="2" fontId="0" fillId="2" borderId="0" xfId="0" applyNumberFormat="1" applyFill="1"/>
    <xf numFmtId="166" fontId="0" fillId="0" borderId="1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2" xfId="0" applyFill="1" applyBorder="1"/>
    <xf numFmtId="0" fontId="0" fillId="2" borderId="5" xfId="0" applyFill="1" applyBorder="1"/>
    <xf numFmtId="2" fontId="0" fillId="3" borderId="5" xfId="0" applyNumberFormat="1" applyFill="1" applyBorder="1"/>
    <xf numFmtId="0" fontId="3" fillId="0" borderId="3" xfId="0" applyFont="1" applyBorder="1"/>
    <xf numFmtId="0" fontId="0" fillId="2" borderId="5" xfId="0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165" fontId="0" fillId="0" borderId="0" xfId="0" applyNumberFormat="1" applyFont="1" applyBorder="1"/>
    <xf numFmtId="165" fontId="0" fillId="0" borderId="0" xfId="0" applyNumberFormat="1" applyBorder="1"/>
    <xf numFmtId="2" fontId="0" fillId="2" borderId="5" xfId="0" applyNumberFormat="1" applyFill="1" applyBorder="1"/>
    <xf numFmtId="164" fontId="0" fillId="2" borderId="5" xfId="0" applyNumberFormat="1" applyFill="1" applyBorder="1"/>
    <xf numFmtId="0" fontId="0" fillId="0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10" xfId="0" applyNumberFormat="1" applyFill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10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/>
              <a:t>Зависимость площади дельты от площади водосбора </a:t>
            </a:r>
            <a:endParaRPr lang="ru-RU" sz="14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9687802182621919E-2"/>
          <c:y val="0.14988868634857397"/>
          <c:w val="0.8333062912590472"/>
          <c:h val="0.6945317873451976"/>
        </c:manualLayout>
      </c:layout>
      <c:scatterChart>
        <c:scatterStyle val="lineMarker"/>
        <c:varyColors val="0"/>
        <c:ser>
          <c:idx val="0"/>
          <c:order val="0"/>
          <c:tx>
            <c:v>3.а</c:v>
          </c:tx>
          <c:spPr>
            <a:ln w="28575">
              <a:noFill/>
            </a:ln>
          </c:spPr>
          <c:xVal>
            <c:numRef>
              <c:f>('[1]Новая Земля '!$H$35:$H$46,'[1]Новая Земля '!$H$126:$H$135)</c:f>
              <c:numCache>
                <c:formatCode>General</c:formatCode>
                <c:ptCount val="22"/>
                <c:pt idx="0">
                  <c:v>4.72</c:v>
                </c:pt>
                <c:pt idx="1">
                  <c:v>3.16</c:v>
                </c:pt>
                <c:pt idx="2">
                  <c:v>4.0000000000000001E-3</c:v>
                </c:pt>
                <c:pt idx="3">
                  <c:v>3.49</c:v>
                </c:pt>
                <c:pt idx="4">
                  <c:v>0.8</c:v>
                </c:pt>
                <c:pt idx="5">
                  <c:v>0.3</c:v>
                </c:pt>
                <c:pt idx="6">
                  <c:v>0.8</c:v>
                </c:pt>
                <c:pt idx="7">
                  <c:v>26.1</c:v>
                </c:pt>
                <c:pt idx="8">
                  <c:v>26.9</c:v>
                </c:pt>
                <c:pt idx="9">
                  <c:v>7.63</c:v>
                </c:pt>
                <c:pt idx="10">
                  <c:v>2.16</c:v>
                </c:pt>
                <c:pt idx="11">
                  <c:v>6.94</c:v>
                </c:pt>
                <c:pt idx="12">
                  <c:v>3.53</c:v>
                </c:pt>
                <c:pt idx="13">
                  <c:v>2.12</c:v>
                </c:pt>
                <c:pt idx="14">
                  <c:v>2.61</c:v>
                </c:pt>
                <c:pt idx="15">
                  <c:v>1.5</c:v>
                </c:pt>
                <c:pt idx="16">
                  <c:v>7.26</c:v>
                </c:pt>
                <c:pt idx="17">
                  <c:v>2.35</c:v>
                </c:pt>
                <c:pt idx="18">
                  <c:v>5.51</c:v>
                </c:pt>
                <c:pt idx="19">
                  <c:v>2.11</c:v>
                </c:pt>
                <c:pt idx="20">
                  <c:v>4.29</c:v>
                </c:pt>
                <c:pt idx="21">
                  <c:v>1.41</c:v>
                </c:pt>
              </c:numCache>
            </c:numRef>
          </c:xVal>
          <c:yVal>
            <c:numRef>
              <c:f>('[1]Новая Земля '!$E$35:$E$46,'[1]Новая Земля '!$E$126:$E$135)</c:f>
              <c:numCache>
                <c:formatCode>General</c:formatCode>
                <c:ptCount val="22"/>
                <c:pt idx="0">
                  <c:v>144.10300000000001</c:v>
                </c:pt>
                <c:pt idx="1">
                  <c:v>213.57900000000001</c:v>
                </c:pt>
                <c:pt idx="2">
                  <c:v>38.3962</c:v>
                </c:pt>
                <c:pt idx="3">
                  <c:v>113.848</c:v>
                </c:pt>
                <c:pt idx="4">
                  <c:v>155.09899999999999</c:v>
                </c:pt>
                <c:pt idx="5">
                  <c:v>457.52499999999998</c:v>
                </c:pt>
                <c:pt idx="6">
                  <c:v>840.42</c:v>
                </c:pt>
                <c:pt idx="7">
                  <c:v>413.762</c:v>
                </c:pt>
                <c:pt idx="8">
                  <c:v>602.88699999999994</c:v>
                </c:pt>
                <c:pt idx="9">
                  <c:v>250.16800000000001</c:v>
                </c:pt>
                <c:pt idx="10">
                  <c:v>598.29200000000003</c:v>
                </c:pt>
                <c:pt idx="11">
                  <c:v>313.29599999999999</c:v>
                </c:pt>
                <c:pt idx="12">
                  <c:v>122.216748518166</c:v>
                </c:pt>
                <c:pt idx="13">
                  <c:v>1019.98283455311</c:v>
                </c:pt>
                <c:pt idx="14">
                  <c:v>825.78678405134906</c:v>
                </c:pt>
                <c:pt idx="15">
                  <c:v>424.550297338733</c:v>
                </c:pt>
                <c:pt idx="16">
                  <c:v>429.578239139461</c:v>
                </c:pt>
                <c:pt idx="17">
                  <c:v>299.657346630083</c:v>
                </c:pt>
                <c:pt idx="18">
                  <c:v>551.85110730446695</c:v>
                </c:pt>
                <c:pt idx="19">
                  <c:v>143.075965458691</c:v>
                </c:pt>
                <c:pt idx="20">
                  <c:v>502.26373090178902</c:v>
                </c:pt>
                <c:pt idx="21">
                  <c:v>292.85949466440496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6-475D-BA15-3B1F442B5153}"/>
            </c:ext>
          </c:extLst>
        </c:ser>
        <c:ser>
          <c:idx val="1"/>
          <c:order val="1"/>
          <c:tx>
            <c:v>3.б</c:v>
          </c:tx>
          <c:spPr>
            <a:ln w="28575">
              <a:noFill/>
            </a:ln>
          </c:spPr>
          <c:xVal>
            <c:numRef>
              <c:f>('[1]Новая Земля '!$H$47:$H$54,'[1]Новая Земля '!$H$136:$H$154)</c:f>
              <c:numCache>
                <c:formatCode>General</c:formatCode>
                <c:ptCount val="27"/>
                <c:pt idx="0">
                  <c:v>0.04</c:v>
                </c:pt>
                <c:pt idx="1">
                  <c:v>0.08</c:v>
                </c:pt>
                <c:pt idx="2">
                  <c:v>0.96</c:v>
                </c:pt>
                <c:pt idx="3">
                  <c:v>1.34</c:v>
                </c:pt>
                <c:pt idx="4">
                  <c:v>12.82</c:v>
                </c:pt>
                <c:pt idx="5">
                  <c:v>0.02</c:v>
                </c:pt>
                <c:pt idx="6">
                  <c:v>0.04</c:v>
                </c:pt>
                <c:pt idx="7">
                  <c:v>1.45</c:v>
                </c:pt>
                <c:pt idx="8">
                  <c:v>0.08</c:v>
                </c:pt>
                <c:pt idx="9">
                  <c:v>0.5</c:v>
                </c:pt>
                <c:pt idx="10">
                  <c:v>0.7</c:v>
                </c:pt>
                <c:pt idx="11">
                  <c:v>0.09</c:v>
                </c:pt>
                <c:pt idx="12">
                  <c:v>6.32</c:v>
                </c:pt>
                <c:pt idx="13">
                  <c:v>2.2400000000000002</c:v>
                </c:pt>
                <c:pt idx="14">
                  <c:v>0.8</c:v>
                </c:pt>
                <c:pt idx="15">
                  <c:v>0.12</c:v>
                </c:pt>
                <c:pt idx="16">
                  <c:v>0.4</c:v>
                </c:pt>
                <c:pt idx="17">
                  <c:v>0.3</c:v>
                </c:pt>
                <c:pt idx="18">
                  <c:v>0.08</c:v>
                </c:pt>
                <c:pt idx="19">
                  <c:v>0.08</c:v>
                </c:pt>
                <c:pt idx="20">
                  <c:v>1.19</c:v>
                </c:pt>
                <c:pt idx="21">
                  <c:v>0.09</c:v>
                </c:pt>
                <c:pt idx="22">
                  <c:v>0.09</c:v>
                </c:pt>
                <c:pt idx="23">
                  <c:v>2.65</c:v>
                </c:pt>
                <c:pt idx="24">
                  <c:v>7.0000000000000007E-2</c:v>
                </c:pt>
                <c:pt idx="25">
                  <c:v>1.83</c:v>
                </c:pt>
                <c:pt idx="26">
                  <c:v>22.3</c:v>
                </c:pt>
              </c:numCache>
            </c:numRef>
          </c:xVal>
          <c:yVal>
            <c:numRef>
              <c:f>('[1]Новая Земля '!$E$136:$E$154,'[1]Новая Земля '!$E$47:$E$54)</c:f>
              <c:numCache>
                <c:formatCode>General</c:formatCode>
                <c:ptCount val="27"/>
                <c:pt idx="0">
                  <c:v>72.587061035565</c:v>
                </c:pt>
                <c:pt idx="1">
                  <c:v>454.861076595398</c:v>
                </c:pt>
                <c:pt idx="2">
                  <c:v>1045.68557583606</c:v>
                </c:pt>
                <c:pt idx="3">
                  <c:v>73.430974524345999</c:v>
                </c:pt>
                <c:pt idx="4">
                  <c:v>1166.0019077910299</c:v>
                </c:pt>
                <c:pt idx="5">
                  <c:v>596.94906073926199</c:v>
                </c:pt>
                <c:pt idx="6">
                  <c:v>607.48436033873293</c:v>
                </c:pt>
                <c:pt idx="7">
                  <c:v>55.167605024521002</c:v>
                </c:pt>
                <c:pt idx="8">
                  <c:v>77.897771089553999</c:v>
                </c:pt>
                <c:pt idx="9">
                  <c:v>51.784469357249996</c:v>
                </c:pt>
                <c:pt idx="10">
                  <c:v>88.521623664633012</c:v>
                </c:pt>
                <c:pt idx="11">
                  <c:v>70.770910685574989</c:v>
                </c:pt>
                <c:pt idx="12">
                  <c:v>178.433987292105</c:v>
                </c:pt>
                <c:pt idx="13">
                  <c:v>53.506101256987996</c:v>
                </c:pt>
                <c:pt idx="14">
                  <c:v>50.733628315242996</c:v>
                </c:pt>
                <c:pt idx="15">
                  <c:v>1230.8228448376701</c:v>
                </c:pt>
                <c:pt idx="16">
                  <c:v>65.084459695416996</c:v>
                </c:pt>
                <c:pt idx="17">
                  <c:v>857.43382500168207</c:v>
                </c:pt>
                <c:pt idx="18">
                  <c:v>1399.86048749263</c:v>
                </c:pt>
                <c:pt idx="19">
                  <c:v>67.113</c:v>
                </c:pt>
                <c:pt idx="20">
                  <c:v>250.303</c:v>
                </c:pt>
                <c:pt idx="21">
                  <c:v>313.31799999999998</c:v>
                </c:pt>
                <c:pt idx="22">
                  <c:v>78.729299999999995</c:v>
                </c:pt>
                <c:pt idx="23">
                  <c:v>326.48899999999998</c:v>
                </c:pt>
                <c:pt idx="24">
                  <c:v>34.798299999999998</c:v>
                </c:pt>
                <c:pt idx="25">
                  <c:v>54.050199999999997</c:v>
                </c:pt>
                <c:pt idx="26">
                  <c:v>144.94200000000001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6-475D-BA15-3B1F442B5153}"/>
            </c:ext>
          </c:extLst>
        </c:ser>
        <c:ser>
          <c:idx val="2"/>
          <c:order val="2"/>
          <c:tx>
            <c:v>4</c:v>
          </c:tx>
          <c:spPr>
            <a:ln w="28575">
              <a:noFill/>
            </a:ln>
          </c:spPr>
          <c:xVal>
            <c:numRef>
              <c:f>('[1]Новая Земля '!$H$55:$H$58,'[1]Новая Земля '!$H$155:$H$176)</c:f>
              <c:numCache>
                <c:formatCode>General</c:formatCode>
                <c:ptCount val="26"/>
                <c:pt idx="0">
                  <c:v>3.29</c:v>
                </c:pt>
                <c:pt idx="1">
                  <c:v>1E-3</c:v>
                </c:pt>
                <c:pt idx="2">
                  <c:v>0.1</c:v>
                </c:pt>
                <c:pt idx="3">
                  <c:v>1.26</c:v>
                </c:pt>
                <c:pt idx="4">
                  <c:v>0.03</c:v>
                </c:pt>
                <c:pt idx="5">
                  <c:v>0.4</c:v>
                </c:pt>
                <c:pt idx="6">
                  <c:v>0.08</c:v>
                </c:pt>
                <c:pt idx="7">
                  <c:v>0.2</c:v>
                </c:pt>
                <c:pt idx="8">
                  <c:v>0.05</c:v>
                </c:pt>
                <c:pt idx="9">
                  <c:v>0.3</c:v>
                </c:pt>
                <c:pt idx="10">
                  <c:v>0.2</c:v>
                </c:pt>
                <c:pt idx="11">
                  <c:v>0.47</c:v>
                </c:pt>
                <c:pt idx="12">
                  <c:v>0.24</c:v>
                </c:pt>
                <c:pt idx="13">
                  <c:v>0.04</c:v>
                </c:pt>
                <c:pt idx="14">
                  <c:v>0.09</c:v>
                </c:pt>
                <c:pt idx="15">
                  <c:v>0.15</c:v>
                </c:pt>
                <c:pt idx="16">
                  <c:v>0.8</c:v>
                </c:pt>
                <c:pt idx="17">
                  <c:v>0.36</c:v>
                </c:pt>
                <c:pt idx="18">
                  <c:v>0.96</c:v>
                </c:pt>
                <c:pt idx="19">
                  <c:v>0.02</c:v>
                </c:pt>
                <c:pt idx="20">
                  <c:v>0.6</c:v>
                </c:pt>
                <c:pt idx="21">
                  <c:v>0.27</c:v>
                </c:pt>
                <c:pt idx="22">
                  <c:v>0.17</c:v>
                </c:pt>
                <c:pt idx="23">
                  <c:v>0.38</c:v>
                </c:pt>
                <c:pt idx="24">
                  <c:v>1.34</c:v>
                </c:pt>
                <c:pt idx="25">
                  <c:v>1.46</c:v>
                </c:pt>
              </c:numCache>
            </c:numRef>
          </c:xVal>
          <c:yVal>
            <c:numRef>
              <c:f>('[1]Новая Земля '!$E$55:$E$58,'[1]Новая Земля '!$E$155:$E$176)</c:f>
              <c:numCache>
                <c:formatCode>General</c:formatCode>
                <c:ptCount val="26"/>
                <c:pt idx="0">
                  <c:v>417.62599999999998</c:v>
                </c:pt>
                <c:pt idx="1">
                  <c:v>1.8737699999999999</c:v>
                </c:pt>
                <c:pt idx="2">
                  <c:v>153.364</c:v>
                </c:pt>
                <c:pt idx="3">
                  <c:v>65.007099999999994</c:v>
                </c:pt>
                <c:pt idx="4">
                  <c:v>288.44211510973901</c:v>
                </c:pt>
                <c:pt idx="5">
                  <c:v>69.559296417835</c:v>
                </c:pt>
                <c:pt idx="6">
                  <c:v>69.63369452489799</c:v>
                </c:pt>
                <c:pt idx="7">
                  <c:v>51.982898324086001</c:v>
                </c:pt>
                <c:pt idx="8">
                  <c:v>86.468033740964998</c:v>
                </c:pt>
                <c:pt idx="9">
                  <c:v>51.588919183550999</c:v>
                </c:pt>
                <c:pt idx="10">
                  <c:v>54.009011818764996</c:v>
                </c:pt>
                <c:pt idx="11">
                  <c:v>106.46971776257101</c:v>
                </c:pt>
                <c:pt idx="12">
                  <c:v>108.396541247161</c:v>
                </c:pt>
                <c:pt idx="13">
                  <c:v>86.537273523962</c:v>
                </c:pt>
                <c:pt idx="14">
                  <c:v>57.800821075172003</c:v>
                </c:pt>
                <c:pt idx="15">
                  <c:v>72.839803308057995</c:v>
                </c:pt>
                <c:pt idx="16">
                  <c:v>64.858528782215998</c:v>
                </c:pt>
                <c:pt idx="17">
                  <c:v>183.66804033401297</c:v>
                </c:pt>
                <c:pt idx="18">
                  <c:v>95.927319832178995</c:v>
                </c:pt>
                <c:pt idx="19">
                  <c:v>48.871350416032001</c:v>
                </c:pt>
                <c:pt idx="20">
                  <c:v>69.526229064517011</c:v>
                </c:pt>
                <c:pt idx="21">
                  <c:v>110.641579719513</c:v>
                </c:pt>
                <c:pt idx="22">
                  <c:v>119.12259056888699</c:v>
                </c:pt>
                <c:pt idx="23">
                  <c:v>101.61705110211</c:v>
                </c:pt>
                <c:pt idx="24">
                  <c:v>111.62993138386101</c:v>
                </c:pt>
                <c:pt idx="25">
                  <c:v>96.497893539017014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6-475D-BA15-3B1F442B5153}"/>
            </c:ext>
          </c:extLst>
        </c:ser>
        <c:ser>
          <c:idx val="3"/>
          <c:order val="3"/>
          <c:tx>
            <c:v>5.а</c:v>
          </c:tx>
          <c:spPr>
            <a:ln w="28575">
              <a:noFill/>
            </a:ln>
          </c:spPr>
          <c:marker>
            <c:symbol val="x"/>
            <c:size val="7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  <a:ln>
                <a:solidFill>
                  <a:srgbClr val="7030A0"/>
                </a:solidFill>
              </a:ln>
            </c:spPr>
          </c:marker>
          <c:xVal>
            <c:numRef>
              <c:f>('[1]Новая Земля '!$H$59:$H$75,'[1]Новая Земля '!$H$177:$H$179)</c:f>
              <c:numCache>
                <c:formatCode>General</c:formatCode>
                <c:ptCount val="20"/>
                <c:pt idx="0">
                  <c:v>0.4</c:v>
                </c:pt>
                <c:pt idx="1">
                  <c:v>0.14000000000000001</c:v>
                </c:pt>
                <c:pt idx="2">
                  <c:v>0.61</c:v>
                </c:pt>
                <c:pt idx="3">
                  <c:v>0.78</c:v>
                </c:pt>
                <c:pt idx="4">
                  <c:v>0.15</c:v>
                </c:pt>
                <c:pt idx="5">
                  <c:v>0.51</c:v>
                </c:pt>
                <c:pt idx="6">
                  <c:v>7.0000000000000007E-2</c:v>
                </c:pt>
                <c:pt idx="7">
                  <c:v>0.4</c:v>
                </c:pt>
                <c:pt idx="8">
                  <c:v>2.11</c:v>
                </c:pt>
                <c:pt idx="9">
                  <c:v>8.15</c:v>
                </c:pt>
                <c:pt idx="10">
                  <c:v>2.83</c:v>
                </c:pt>
                <c:pt idx="11">
                  <c:v>2.16</c:v>
                </c:pt>
                <c:pt idx="12">
                  <c:v>2.34</c:v>
                </c:pt>
                <c:pt idx="13">
                  <c:v>0.72</c:v>
                </c:pt>
                <c:pt idx="14">
                  <c:v>0.47</c:v>
                </c:pt>
                <c:pt idx="15">
                  <c:v>0.28999999999999998</c:v>
                </c:pt>
                <c:pt idx="16">
                  <c:v>2.33</c:v>
                </c:pt>
                <c:pt idx="17">
                  <c:v>3.21</c:v>
                </c:pt>
                <c:pt idx="18">
                  <c:v>2.97</c:v>
                </c:pt>
                <c:pt idx="19">
                  <c:v>0.37</c:v>
                </c:pt>
              </c:numCache>
            </c:numRef>
          </c:xVal>
          <c:yVal>
            <c:numRef>
              <c:f>('[1]Новая Земля '!$E$59:$E$75,'[1]Новая Земля '!$E$177:$E$180)</c:f>
              <c:numCache>
                <c:formatCode>General</c:formatCode>
                <c:ptCount val="21"/>
                <c:pt idx="0">
                  <c:v>4.2178699999999996</c:v>
                </c:pt>
                <c:pt idx="1">
                  <c:v>14.639900000000001</c:v>
                </c:pt>
                <c:pt idx="2">
                  <c:v>24.392700000000001</c:v>
                </c:pt>
                <c:pt idx="3">
                  <c:v>37.357100000000003</c:v>
                </c:pt>
                <c:pt idx="4">
                  <c:v>15.422599999999999</c:v>
                </c:pt>
                <c:pt idx="5">
                  <c:v>18.2849</c:v>
                </c:pt>
                <c:pt idx="6">
                  <c:v>10.5861</c:v>
                </c:pt>
                <c:pt idx="7">
                  <c:v>316.56799999999998</c:v>
                </c:pt>
                <c:pt idx="8">
                  <c:v>243.584</c:v>
                </c:pt>
                <c:pt idx="9">
                  <c:v>440.363</c:v>
                </c:pt>
                <c:pt idx="10">
                  <c:v>243.345</c:v>
                </c:pt>
                <c:pt idx="11">
                  <c:v>353.37799999999999</c:v>
                </c:pt>
                <c:pt idx="12">
                  <c:v>109.90600000000001</c:v>
                </c:pt>
                <c:pt idx="13">
                  <c:v>37.932600000000001</c:v>
                </c:pt>
                <c:pt idx="14">
                  <c:v>25.2118</c:v>
                </c:pt>
                <c:pt idx="15">
                  <c:v>12.0205</c:v>
                </c:pt>
                <c:pt idx="16">
                  <c:v>45.453600000000002</c:v>
                </c:pt>
                <c:pt idx="17">
                  <c:v>759.54970400729803</c:v>
                </c:pt>
                <c:pt idx="18">
                  <c:v>289.21134123916602</c:v>
                </c:pt>
                <c:pt idx="19">
                  <c:v>65.252841371180992</c:v>
                </c:pt>
                <c:pt idx="20">
                  <c:v>55.467441577745994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6-475D-BA15-3B1F442B5153}"/>
            </c:ext>
          </c:extLst>
        </c:ser>
        <c:ser>
          <c:idx val="4"/>
          <c:order val="4"/>
          <c:tx>
            <c:v>5.б</c:v>
          </c:tx>
          <c:spPr>
            <a:ln w="28575">
              <a:noFill/>
            </a:ln>
          </c:spPr>
          <c:xVal>
            <c:numRef>
              <c:f>сводная!$H$301:$H$323</c:f>
              <c:numCache>
                <c:formatCode>General</c:formatCode>
                <c:ptCount val="23"/>
                <c:pt idx="0">
                  <c:v>0.61</c:v>
                </c:pt>
                <c:pt idx="1">
                  <c:v>0.85</c:v>
                </c:pt>
                <c:pt idx="2">
                  <c:v>1.1399999999999999</c:v>
                </c:pt>
                <c:pt idx="3">
                  <c:v>1.52</c:v>
                </c:pt>
                <c:pt idx="4">
                  <c:v>4.45</c:v>
                </c:pt>
                <c:pt idx="5">
                  <c:v>7.2</c:v>
                </c:pt>
                <c:pt idx="6">
                  <c:v>10.8</c:v>
                </c:pt>
                <c:pt idx="7">
                  <c:v>8</c:v>
                </c:pt>
                <c:pt idx="8">
                  <c:v>9</c:v>
                </c:pt>
                <c:pt idx="9">
                  <c:v>6.14</c:v>
                </c:pt>
                <c:pt idx="10">
                  <c:v>0.9</c:v>
                </c:pt>
                <c:pt idx="11">
                  <c:v>0.62</c:v>
                </c:pt>
                <c:pt idx="12">
                  <c:v>2.76</c:v>
                </c:pt>
                <c:pt idx="13">
                  <c:v>0.42</c:v>
                </c:pt>
                <c:pt idx="14">
                  <c:v>0.6</c:v>
                </c:pt>
                <c:pt idx="15">
                  <c:v>0.51</c:v>
                </c:pt>
                <c:pt idx="16">
                  <c:v>0.35</c:v>
                </c:pt>
                <c:pt idx="17">
                  <c:v>0.04</c:v>
                </c:pt>
                <c:pt idx="18">
                  <c:v>1.27</c:v>
                </c:pt>
                <c:pt idx="19">
                  <c:v>4.18</c:v>
                </c:pt>
                <c:pt idx="20">
                  <c:v>0.6</c:v>
                </c:pt>
                <c:pt idx="21">
                  <c:v>0.5</c:v>
                </c:pt>
                <c:pt idx="22">
                  <c:v>1.86</c:v>
                </c:pt>
              </c:numCache>
            </c:numRef>
          </c:xVal>
          <c:yVal>
            <c:numRef>
              <c:f>сводная!$E$301:$E$323</c:f>
              <c:numCache>
                <c:formatCode>0.0</c:formatCode>
                <c:ptCount val="23"/>
                <c:pt idx="0">
                  <c:v>313.99399</c:v>
                </c:pt>
                <c:pt idx="1">
                  <c:v>48.633999000000003</c:v>
                </c:pt>
                <c:pt idx="2">
                  <c:v>37.316101000000003</c:v>
                </c:pt>
                <c:pt idx="3">
                  <c:v>42.895499999999998</c:v>
                </c:pt>
                <c:pt idx="4">
                  <c:v>562.81299000000001</c:v>
                </c:pt>
                <c:pt idx="5">
                  <c:v>32.388900999999997</c:v>
                </c:pt>
                <c:pt idx="6">
                  <c:v>547.95501999999999</c:v>
                </c:pt>
                <c:pt idx="7">
                  <c:v>78.399803000000006</c:v>
                </c:pt>
                <c:pt idx="8">
                  <c:v>447.25400000000002</c:v>
                </c:pt>
                <c:pt idx="9">
                  <c:v>162.851</c:v>
                </c:pt>
                <c:pt idx="10">
                  <c:v>541.16399999999999</c:v>
                </c:pt>
                <c:pt idx="11" formatCode="General">
                  <c:v>251.78700000000001</c:v>
                </c:pt>
                <c:pt idx="12" formatCode="General">
                  <c:v>103.048</c:v>
                </c:pt>
                <c:pt idx="13" formatCode="General">
                  <c:v>303.649</c:v>
                </c:pt>
                <c:pt idx="14" formatCode="General">
                  <c:v>78.313999999999993</c:v>
                </c:pt>
                <c:pt idx="15" formatCode="General">
                  <c:v>28.163</c:v>
                </c:pt>
                <c:pt idx="16" formatCode="General">
                  <c:v>29.56</c:v>
                </c:pt>
                <c:pt idx="17" formatCode="General">
                  <c:v>3.0562999999999998</c:v>
                </c:pt>
                <c:pt idx="18" formatCode="General">
                  <c:v>191.47399999999999</c:v>
                </c:pt>
                <c:pt idx="19" formatCode="General">
                  <c:v>200.92</c:v>
                </c:pt>
                <c:pt idx="20" formatCode="General">
                  <c:v>47.074199999999998</c:v>
                </c:pt>
                <c:pt idx="21" formatCode="General">
                  <c:v>29.015799999999999</c:v>
                </c:pt>
                <c:pt idx="22" formatCode="General">
                  <c:v>51.570954238303997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6-475D-BA15-3B1F442B5153}"/>
            </c:ext>
          </c:extLst>
        </c:ser>
        <c:ser>
          <c:idx val="5"/>
          <c:order val="5"/>
          <c:tx>
            <c:v>5.в</c:v>
          </c:tx>
          <c:spPr>
            <a:ln w="28575">
              <a:noFill/>
            </a:ln>
          </c:spPr>
          <c:xVal>
            <c:numRef>
              <c:f>сводная!$H$324:$H$362</c:f>
              <c:numCache>
                <c:formatCode>General</c:formatCode>
                <c:ptCount val="39"/>
                <c:pt idx="0">
                  <c:v>0.98</c:v>
                </c:pt>
                <c:pt idx="1">
                  <c:v>0.23</c:v>
                </c:pt>
                <c:pt idx="2">
                  <c:v>0.12</c:v>
                </c:pt>
                <c:pt idx="3">
                  <c:v>0.64</c:v>
                </c:pt>
                <c:pt idx="4">
                  <c:v>0.13</c:v>
                </c:pt>
                <c:pt idx="5">
                  <c:v>8.48</c:v>
                </c:pt>
                <c:pt idx="6">
                  <c:v>0.35</c:v>
                </c:pt>
                <c:pt idx="7">
                  <c:v>0.85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1.36</c:v>
                </c:pt>
                <c:pt idx="13">
                  <c:v>4.87</c:v>
                </c:pt>
                <c:pt idx="14">
                  <c:v>0.4</c:v>
                </c:pt>
                <c:pt idx="15">
                  <c:v>0.25</c:v>
                </c:pt>
                <c:pt idx="16">
                  <c:v>0.6</c:v>
                </c:pt>
                <c:pt idx="17">
                  <c:v>8.0000000000000002E-3</c:v>
                </c:pt>
                <c:pt idx="18">
                  <c:v>7.0000000000000007E-2</c:v>
                </c:pt>
                <c:pt idx="19">
                  <c:v>0.87</c:v>
                </c:pt>
                <c:pt idx="20">
                  <c:v>8.2899999999999991</c:v>
                </c:pt>
                <c:pt idx="21">
                  <c:v>2.92</c:v>
                </c:pt>
                <c:pt idx="22">
                  <c:v>0.5</c:v>
                </c:pt>
                <c:pt idx="23">
                  <c:v>2.65</c:v>
                </c:pt>
                <c:pt idx="24">
                  <c:v>0.1</c:v>
                </c:pt>
                <c:pt idx="25">
                  <c:v>18.489999999999998</c:v>
                </c:pt>
                <c:pt idx="26">
                  <c:v>3.36</c:v>
                </c:pt>
                <c:pt idx="27">
                  <c:v>0.4</c:v>
                </c:pt>
                <c:pt idx="28">
                  <c:v>0.21</c:v>
                </c:pt>
                <c:pt idx="29">
                  <c:v>0.12</c:v>
                </c:pt>
                <c:pt idx="30">
                  <c:v>7.07</c:v>
                </c:pt>
                <c:pt idx="31">
                  <c:v>0.32</c:v>
                </c:pt>
                <c:pt idx="32">
                  <c:v>0.35</c:v>
                </c:pt>
                <c:pt idx="33">
                  <c:v>0.28000000000000003</c:v>
                </c:pt>
                <c:pt idx="34">
                  <c:v>0.03</c:v>
                </c:pt>
                <c:pt idx="35">
                  <c:v>0.09</c:v>
                </c:pt>
                <c:pt idx="36">
                  <c:v>0.23</c:v>
                </c:pt>
                <c:pt idx="37">
                  <c:v>0.11</c:v>
                </c:pt>
                <c:pt idx="38">
                  <c:v>1.58</c:v>
                </c:pt>
              </c:numCache>
            </c:numRef>
          </c:xVal>
          <c:yVal>
            <c:numRef>
              <c:f>сводная!$E$324:$E$362</c:f>
              <c:numCache>
                <c:formatCode>0.0</c:formatCode>
                <c:ptCount val="39"/>
                <c:pt idx="0">
                  <c:v>119.328</c:v>
                </c:pt>
                <c:pt idx="1">
                  <c:v>97.7089</c:v>
                </c:pt>
                <c:pt idx="2">
                  <c:v>46.508301000000003</c:v>
                </c:pt>
                <c:pt idx="3">
                  <c:v>430.25698999999997</c:v>
                </c:pt>
                <c:pt idx="4">
                  <c:v>258.56</c:v>
                </c:pt>
                <c:pt idx="5">
                  <c:v>356.73599000000002</c:v>
                </c:pt>
                <c:pt idx="6">
                  <c:v>60.924702000000003</c:v>
                </c:pt>
                <c:pt idx="7">
                  <c:v>75.776199000000005</c:v>
                </c:pt>
                <c:pt idx="8">
                  <c:v>26.193000999999999</c:v>
                </c:pt>
                <c:pt idx="9">
                  <c:v>37.148299999999999</c:v>
                </c:pt>
                <c:pt idx="10">
                  <c:v>142.96799999999999</c:v>
                </c:pt>
                <c:pt idx="11">
                  <c:v>356.24599999999998</c:v>
                </c:pt>
                <c:pt idx="12">
                  <c:v>237.69099</c:v>
                </c:pt>
                <c:pt idx="13">
                  <c:v>344.32900999999998</c:v>
                </c:pt>
                <c:pt idx="14" formatCode="General">
                  <c:v>78.741699999999994</c:v>
                </c:pt>
                <c:pt idx="15" formatCode="General">
                  <c:v>89.035899999999998</c:v>
                </c:pt>
                <c:pt idx="16" formatCode="General">
                  <c:v>170.60201000000001</c:v>
                </c:pt>
                <c:pt idx="17" formatCode="General">
                  <c:v>12.715400000000001</c:v>
                </c:pt>
                <c:pt idx="18" formatCode="General">
                  <c:v>203.024</c:v>
                </c:pt>
                <c:pt idx="19" formatCode="General">
                  <c:v>67.823700000000002</c:v>
                </c:pt>
                <c:pt idx="20" formatCode="General">
                  <c:v>387.79500000000002</c:v>
                </c:pt>
                <c:pt idx="21" formatCode="General">
                  <c:v>113.76</c:v>
                </c:pt>
                <c:pt idx="22" formatCode="General">
                  <c:v>381.40100000000001</c:v>
                </c:pt>
                <c:pt idx="23" formatCode="General">
                  <c:v>70.189899999999994</c:v>
                </c:pt>
                <c:pt idx="24" formatCode="General">
                  <c:v>6.5597000000000003</c:v>
                </c:pt>
                <c:pt idx="25" formatCode="General">
                  <c:v>571.92200000000003</c:v>
                </c:pt>
                <c:pt idx="26" formatCode="General">
                  <c:v>880.06200000000001</c:v>
                </c:pt>
                <c:pt idx="27" formatCode="General">
                  <c:v>100.35299999999999</c:v>
                </c:pt>
                <c:pt idx="28" formatCode="General">
                  <c:v>66.338200000000001</c:v>
                </c:pt>
                <c:pt idx="29" formatCode="General">
                  <c:v>27.679200000000002</c:v>
                </c:pt>
                <c:pt idx="30" formatCode="General">
                  <c:v>128.63</c:v>
                </c:pt>
                <c:pt idx="31" formatCode="General">
                  <c:v>81.712886742157991</c:v>
                </c:pt>
                <c:pt idx="32" formatCode="General">
                  <c:v>236.92737438769601</c:v>
                </c:pt>
                <c:pt idx="33" formatCode="General">
                  <c:v>78.686703158613</c:v>
                </c:pt>
                <c:pt idx="34" formatCode="General">
                  <c:v>52.572277022906</c:v>
                </c:pt>
                <c:pt idx="35" formatCode="General">
                  <c:v>128.61413366904699</c:v>
                </c:pt>
                <c:pt idx="36" formatCode="General">
                  <c:v>67.779800291914</c:v>
                </c:pt>
                <c:pt idx="37" formatCode="General">
                  <c:v>89.175067770246997</c:v>
                </c:pt>
                <c:pt idx="38" formatCode="General">
                  <c:v>123.623240345146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6-475D-BA15-3B1F442B5153}"/>
            </c:ext>
          </c:extLst>
        </c:ser>
        <c:ser>
          <c:idx val="6"/>
          <c:order val="6"/>
          <c:tx>
            <c:v>6</c:v>
          </c:tx>
          <c:spPr>
            <a:ln w="28575">
              <a:noFill/>
            </a:ln>
          </c:spPr>
          <c:xVal>
            <c:numRef>
              <c:f>сводная!$H$363:$H$371</c:f>
              <c:numCache>
                <c:formatCode>General</c:formatCode>
                <c:ptCount val="9"/>
                <c:pt idx="0">
                  <c:v>13.25</c:v>
                </c:pt>
                <c:pt idx="1">
                  <c:v>1.59</c:v>
                </c:pt>
                <c:pt idx="2">
                  <c:v>0.4</c:v>
                </c:pt>
                <c:pt idx="3">
                  <c:v>0.2</c:v>
                </c:pt>
                <c:pt idx="4">
                  <c:v>1.86</c:v>
                </c:pt>
                <c:pt idx="5">
                  <c:v>0.7</c:v>
                </c:pt>
                <c:pt idx="6">
                  <c:v>0.13</c:v>
                </c:pt>
                <c:pt idx="7">
                  <c:v>4.3899999999999997</c:v>
                </c:pt>
                <c:pt idx="8">
                  <c:v>0.2</c:v>
                </c:pt>
              </c:numCache>
            </c:numRef>
          </c:xVal>
          <c:yVal>
            <c:numRef>
              <c:f>сводная!$E$363:$E$371</c:f>
              <c:numCache>
                <c:formatCode>General</c:formatCode>
                <c:ptCount val="9"/>
                <c:pt idx="0" formatCode="0.0">
                  <c:v>1078.3599999999999</c:v>
                </c:pt>
                <c:pt idx="1">
                  <c:v>501.81299999999999</c:v>
                </c:pt>
                <c:pt idx="2">
                  <c:v>147.999</c:v>
                </c:pt>
                <c:pt idx="3">
                  <c:v>85.152993829482</c:v>
                </c:pt>
                <c:pt idx="4">
                  <c:v>50.596449336678994</c:v>
                </c:pt>
                <c:pt idx="5">
                  <c:v>113.319159068255</c:v>
                </c:pt>
                <c:pt idx="6">
                  <c:v>375.88179098928799</c:v>
                </c:pt>
                <c:pt idx="7">
                  <c:v>1369.0577213244201</c:v>
                </c:pt>
                <c:pt idx="8">
                  <c:v>156.33390046600698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6-475D-BA15-3B1F442B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4584"/>
        <c:axId val="1"/>
      </c:scatterChart>
      <c:valAx>
        <c:axId val="375084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 дельты, км2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Площадь водосбора, км2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84584"/>
        <c:crosses val="autoZero"/>
        <c:crossBetween val="midCat"/>
        <c:majorUnit val="100"/>
        <c:minorUnit val="100"/>
      </c:valAx>
    </c:plotArea>
    <c:legend>
      <c:legendPos val="r"/>
      <c:layout>
        <c:manualLayout>
          <c:xMode val="edge"/>
          <c:yMode val="edge"/>
          <c:x val="0.94146948941469488"/>
          <c:y val="0.30701820136504882"/>
          <c:w val="4.8567870485678705E-2"/>
          <c:h val="0.368421841638058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/>
              <a:t>Зависимость площади дельты от площади оледенения </a:t>
            </a:r>
            <a:endParaRPr lang="ru-RU" sz="14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424581496690894E-2"/>
          <c:y val="0.14988868634857397"/>
          <c:w val="0.8333062912590472"/>
          <c:h val="0.6945317873451976"/>
        </c:manualLayout>
      </c:layout>
      <c:scatterChart>
        <c:scatterStyle val="lineMarker"/>
        <c:varyColors val="0"/>
        <c:ser>
          <c:idx val="0"/>
          <c:order val="0"/>
          <c:tx>
            <c:v>3.а</c:v>
          </c:tx>
          <c:spPr>
            <a:ln w="28575">
              <a:noFill/>
            </a:ln>
          </c:spPr>
          <c:xVal>
            <c:numRef>
              <c:f>сводная!$H$101:$H$125</c:f>
              <c:numCache>
                <c:formatCode>General</c:formatCode>
                <c:ptCount val="25"/>
                <c:pt idx="0">
                  <c:v>0.52</c:v>
                </c:pt>
                <c:pt idx="1">
                  <c:v>0.48</c:v>
                </c:pt>
                <c:pt idx="2">
                  <c:v>0.34</c:v>
                </c:pt>
                <c:pt idx="3">
                  <c:v>4.72</c:v>
                </c:pt>
                <c:pt idx="4">
                  <c:v>3.16</c:v>
                </c:pt>
                <c:pt idx="5">
                  <c:v>4.0000000000000001E-3</c:v>
                </c:pt>
                <c:pt idx="6">
                  <c:v>3.49</c:v>
                </c:pt>
                <c:pt idx="7">
                  <c:v>0.8</c:v>
                </c:pt>
                <c:pt idx="8">
                  <c:v>0.3</c:v>
                </c:pt>
                <c:pt idx="9">
                  <c:v>0.8</c:v>
                </c:pt>
                <c:pt idx="10">
                  <c:v>26.1</c:v>
                </c:pt>
                <c:pt idx="11">
                  <c:v>26.9</c:v>
                </c:pt>
                <c:pt idx="12">
                  <c:v>7.63</c:v>
                </c:pt>
                <c:pt idx="13">
                  <c:v>2.16</c:v>
                </c:pt>
                <c:pt idx="14">
                  <c:v>6.94</c:v>
                </c:pt>
                <c:pt idx="15">
                  <c:v>3.53</c:v>
                </c:pt>
                <c:pt idx="16">
                  <c:v>2.12</c:v>
                </c:pt>
                <c:pt idx="17">
                  <c:v>2.61</c:v>
                </c:pt>
                <c:pt idx="18">
                  <c:v>1.5</c:v>
                </c:pt>
                <c:pt idx="19">
                  <c:v>7.26</c:v>
                </c:pt>
                <c:pt idx="20">
                  <c:v>2.35</c:v>
                </c:pt>
                <c:pt idx="21">
                  <c:v>5.51</c:v>
                </c:pt>
                <c:pt idx="22">
                  <c:v>2.11</c:v>
                </c:pt>
                <c:pt idx="23">
                  <c:v>4.29</c:v>
                </c:pt>
                <c:pt idx="24">
                  <c:v>1.41</c:v>
                </c:pt>
              </c:numCache>
            </c:numRef>
          </c:xVal>
          <c:yVal>
            <c:numRef>
              <c:f>сводная!$G$101:$G$125</c:f>
              <c:numCache>
                <c:formatCode>0</c:formatCode>
                <c:ptCount val="25"/>
                <c:pt idx="0">
                  <c:v>32.795377224597829</c:v>
                </c:pt>
                <c:pt idx="1">
                  <c:v>24.478474719461502</c:v>
                </c:pt>
                <c:pt idx="2">
                  <c:v>95.829929489030192</c:v>
                </c:pt>
                <c:pt idx="3" formatCode="0.0">
                  <c:v>21.923782988556795</c:v>
                </c:pt>
                <c:pt idx="4" formatCode="0.0">
                  <c:v>4.125464113981244</c:v>
                </c:pt>
                <c:pt idx="6" formatCode="0.0">
                  <c:v>38.45095741690676</c:v>
                </c:pt>
                <c:pt idx="8" formatCode="0.0">
                  <c:v>64.87845254357687</c:v>
                </c:pt>
                <c:pt idx="9" formatCode="0.0">
                  <c:v>43.302081102305991</c:v>
                </c:pt>
                <c:pt idx="10" formatCode="0.0">
                  <c:v>17.970350588019201</c:v>
                </c:pt>
                <c:pt idx="11" formatCode="0.0">
                  <c:v>11.468704251377124</c:v>
                </c:pt>
                <c:pt idx="12" formatCode="0.00">
                  <c:v>4.4977958811678551</c:v>
                </c:pt>
                <c:pt idx="13" formatCode="0.00">
                  <c:v>57.928197602508483</c:v>
                </c:pt>
                <c:pt idx="14" formatCode="0.00">
                  <c:v>75.00560875338337</c:v>
                </c:pt>
                <c:pt idx="15" formatCode="0.00">
                  <c:v>4.1823138111575942</c:v>
                </c:pt>
                <c:pt idx="23" formatCode="0.00">
                  <c:v>7.3870331050276201</c:v>
                </c:pt>
                <c:pt idx="24" formatCode="0.00">
                  <c:v>9.2740761717557909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C-4251-8DFC-63AD9ED7C652}"/>
            </c:ext>
          </c:extLst>
        </c:ser>
        <c:ser>
          <c:idx val="1"/>
          <c:order val="1"/>
          <c:tx>
            <c:v>3.б</c:v>
          </c:tx>
          <c:spPr>
            <a:ln w="28575">
              <a:noFill/>
            </a:ln>
          </c:spPr>
          <c:xVal>
            <c:numRef>
              <c:f>сводная!$H$126:$H$170</c:f>
              <c:numCache>
                <c:formatCode>General</c:formatCode>
                <c:ptCount val="45"/>
                <c:pt idx="0">
                  <c:v>0.48</c:v>
                </c:pt>
                <c:pt idx="1">
                  <c:v>0.8</c:v>
                </c:pt>
                <c:pt idx="2">
                  <c:v>0.36</c:v>
                </c:pt>
                <c:pt idx="3">
                  <c:v>1.1200000000000001</c:v>
                </c:pt>
                <c:pt idx="4">
                  <c:v>5.35</c:v>
                </c:pt>
                <c:pt idx="5">
                  <c:v>0.15</c:v>
                </c:pt>
                <c:pt idx="6">
                  <c:v>0.15</c:v>
                </c:pt>
                <c:pt idx="7">
                  <c:v>0.11</c:v>
                </c:pt>
                <c:pt idx="8">
                  <c:v>0.52</c:v>
                </c:pt>
                <c:pt idx="9" formatCode="0.00">
                  <c:v>4.96</c:v>
                </c:pt>
                <c:pt idx="10">
                  <c:v>1.68</c:v>
                </c:pt>
                <c:pt idx="11">
                  <c:v>0.57999999999999996</c:v>
                </c:pt>
                <c:pt idx="12">
                  <c:v>0.12</c:v>
                </c:pt>
                <c:pt idx="13">
                  <c:v>0.51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0.12</c:v>
                </c:pt>
                <c:pt idx="17">
                  <c:v>3.16</c:v>
                </c:pt>
                <c:pt idx="18">
                  <c:v>0.04</c:v>
                </c:pt>
                <c:pt idx="19">
                  <c:v>0.08</c:v>
                </c:pt>
                <c:pt idx="20">
                  <c:v>0.96</c:v>
                </c:pt>
                <c:pt idx="21">
                  <c:v>1.34</c:v>
                </c:pt>
                <c:pt idx="22">
                  <c:v>12.82</c:v>
                </c:pt>
                <c:pt idx="23">
                  <c:v>0.02</c:v>
                </c:pt>
                <c:pt idx="24">
                  <c:v>0.04</c:v>
                </c:pt>
                <c:pt idx="25">
                  <c:v>1.45</c:v>
                </c:pt>
                <c:pt idx="26">
                  <c:v>0.08</c:v>
                </c:pt>
                <c:pt idx="27">
                  <c:v>0.5</c:v>
                </c:pt>
                <c:pt idx="28">
                  <c:v>0.7</c:v>
                </c:pt>
                <c:pt idx="29">
                  <c:v>0.09</c:v>
                </c:pt>
                <c:pt idx="30">
                  <c:v>6.32</c:v>
                </c:pt>
                <c:pt idx="31">
                  <c:v>2.2400000000000002</c:v>
                </c:pt>
                <c:pt idx="32">
                  <c:v>0.8</c:v>
                </c:pt>
                <c:pt idx="33">
                  <c:v>0.12</c:v>
                </c:pt>
                <c:pt idx="34">
                  <c:v>0.4</c:v>
                </c:pt>
                <c:pt idx="35">
                  <c:v>0.3</c:v>
                </c:pt>
                <c:pt idx="36">
                  <c:v>0.08</c:v>
                </c:pt>
                <c:pt idx="37">
                  <c:v>0.08</c:v>
                </c:pt>
                <c:pt idx="38">
                  <c:v>1.19</c:v>
                </c:pt>
                <c:pt idx="39">
                  <c:v>0.09</c:v>
                </c:pt>
                <c:pt idx="40">
                  <c:v>0.09</c:v>
                </c:pt>
                <c:pt idx="41">
                  <c:v>2.65</c:v>
                </c:pt>
                <c:pt idx="42">
                  <c:v>7.0000000000000007E-2</c:v>
                </c:pt>
                <c:pt idx="43">
                  <c:v>1.83</c:v>
                </c:pt>
                <c:pt idx="44">
                  <c:v>22.3</c:v>
                </c:pt>
              </c:numCache>
            </c:numRef>
          </c:xVal>
          <c:yVal>
            <c:numRef>
              <c:f>сводная!$G$126:$G$170</c:f>
              <c:numCache>
                <c:formatCode>0</c:formatCode>
                <c:ptCount val="45"/>
                <c:pt idx="0">
                  <c:v>33.625437298258717</c:v>
                </c:pt>
                <c:pt idx="1">
                  <c:v>15.860468189427049</c:v>
                </c:pt>
                <c:pt idx="2">
                  <c:v>4.961679147924845</c:v>
                </c:pt>
                <c:pt idx="3">
                  <c:v>10.450693728538985</c:v>
                </c:pt>
                <c:pt idx="4">
                  <c:v>94.759802047844587</c:v>
                </c:pt>
                <c:pt idx="7" formatCode="0.0">
                  <c:v>0.17556798865479695</c:v>
                </c:pt>
                <c:pt idx="8">
                  <c:v>98.348709012415299</c:v>
                </c:pt>
                <c:pt idx="10">
                  <c:v>43.409681717121508</c:v>
                </c:pt>
                <c:pt idx="13">
                  <c:v>13.989748104204315</c:v>
                </c:pt>
                <c:pt idx="14">
                  <c:v>57.267760612177696</c:v>
                </c:pt>
                <c:pt idx="15">
                  <c:v>84.583031316347515</c:v>
                </c:pt>
                <c:pt idx="16">
                  <c:v>69.741081841268524</c:v>
                </c:pt>
                <c:pt idx="19" formatCode="0.0">
                  <c:v>1.7985345760937745</c:v>
                </c:pt>
                <c:pt idx="20" formatCode="0.0">
                  <c:v>10.105657510899469</c:v>
                </c:pt>
                <c:pt idx="22" formatCode="0.0">
                  <c:v>24.789746055762986</c:v>
                </c:pt>
                <c:pt idx="44" formatCode="0.00">
                  <c:v>7.2617035151591285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C-4251-8DFC-63AD9ED7C652}"/>
            </c:ext>
          </c:extLst>
        </c:ser>
        <c:ser>
          <c:idx val="2"/>
          <c:order val="2"/>
          <c:tx>
            <c:v>4</c:v>
          </c:tx>
          <c:spPr>
            <a:ln w="28575">
              <a:noFill/>
            </a:ln>
          </c:spPr>
          <c:xVal>
            <c:numRef>
              <c:f>сводная!$H$171:$H$248</c:f>
              <c:numCache>
                <c:formatCode>General</c:formatCode>
                <c:ptCount val="78"/>
                <c:pt idx="0">
                  <c:v>1.6</c:v>
                </c:pt>
                <c:pt idx="1">
                  <c:v>0.14000000000000001</c:v>
                </c:pt>
                <c:pt idx="2">
                  <c:v>0.84</c:v>
                </c:pt>
                <c:pt idx="3">
                  <c:v>0.19</c:v>
                </c:pt>
                <c:pt idx="4">
                  <c:v>0.04</c:v>
                </c:pt>
                <c:pt idx="5">
                  <c:v>0.34</c:v>
                </c:pt>
                <c:pt idx="6">
                  <c:v>0.1</c:v>
                </c:pt>
                <c:pt idx="7">
                  <c:v>0.08</c:v>
                </c:pt>
                <c:pt idx="8">
                  <c:v>0.15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0.2</c:v>
                </c:pt>
                <c:pt idx="13">
                  <c:v>0.96</c:v>
                </c:pt>
                <c:pt idx="14">
                  <c:v>0.2</c:v>
                </c:pt>
                <c:pt idx="15">
                  <c:v>0.06</c:v>
                </c:pt>
                <c:pt idx="16">
                  <c:v>0.25</c:v>
                </c:pt>
                <c:pt idx="17">
                  <c:v>0.41</c:v>
                </c:pt>
                <c:pt idx="18">
                  <c:v>0.45</c:v>
                </c:pt>
                <c:pt idx="19">
                  <c:v>0.78</c:v>
                </c:pt>
                <c:pt idx="20">
                  <c:v>0.39</c:v>
                </c:pt>
                <c:pt idx="21">
                  <c:v>0.14000000000000001</c:v>
                </c:pt>
                <c:pt idx="22">
                  <c:v>0.8</c:v>
                </c:pt>
                <c:pt idx="23">
                  <c:v>0.09</c:v>
                </c:pt>
                <c:pt idx="24">
                  <c:v>0.27</c:v>
                </c:pt>
                <c:pt idx="25">
                  <c:v>0.09</c:v>
                </c:pt>
                <c:pt idx="26">
                  <c:v>0.31</c:v>
                </c:pt>
                <c:pt idx="27">
                  <c:v>0.22</c:v>
                </c:pt>
                <c:pt idx="28">
                  <c:v>0.26</c:v>
                </c:pt>
                <c:pt idx="29">
                  <c:v>0.37</c:v>
                </c:pt>
                <c:pt idx="30">
                  <c:v>0.35</c:v>
                </c:pt>
                <c:pt idx="31">
                  <c:v>0.18</c:v>
                </c:pt>
                <c:pt idx="32">
                  <c:v>0.36</c:v>
                </c:pt>
                <c:pt idx="33">
                  <c:v>0.99</c:v>
                </c:pt>
                <c:pt idx="34">
                  <c:v>0.16</c:v>
                </c:pt>
                <c:pt idx="35">
                  <c:v>0.1</c:v>
                </c:pt>
                <c:pt idx="36">
                  <c:v>15.3</c:v>
                </c:pt>
                <c:pt idx="37">
                  <c:v>0.7</c:v>
                </c:pt>
                <c:pt idx="38">
                  <c:v>0.11</c:v>
                </c:pt>
                <c:pt idx="39">
                  <c:v>0.2</c:v>
                </c:pt>
                <c:pt idx="40">
                  <c:v>10</c:v>
                </c:pt>
                <c:pt idx="41">
                  <c:v>1.65</c:v>
                </c:pt>
                <c:pt idx="42">
                  <c:v>0.15</c:v>
                </c:pt>
                <c:pt idx="43">
                  <c:v>1.35</c:v>
                </c:pt>
                <c:pt idx="44">
                  <c:v>0.31</c:v>
                </c:pt>
                <c:pt idx="45">
                  <c:v>0.36</c:v>
                </c:pt>
                <c:pt idx="46">
                  <c:v>0.4</c:v>
                </c:pt>
                <c:pt idx="47">
                  <c:v>21.3</c:v>
                </c:pt>
                <c:pt idx="48">
                  <c:v>2.84</c:v>
                </c:pt>
                <c:pt idx="49">
                  <c:v>0.12</c:v>
                </c:pt>
                <c:pt idx="50">
                  <c:v>1.08</c:v>
                </c:pt>
                <c:pt idx="51">
                  <c:v>0.78</c:v>
                </c:pt>
                <c:pt idx="52">
                  <c:v>3.29</c:v>
                </c:pt>
                <c:pt idx="53">
                  <c:v>1E-3</c:v>
                </c:pt>
                <c:pt idx="54">
                  <c:v>0.1</c:v>
                </c:pt>
                <c:pt idx="55">
                  <c:v>1.26</c:v>
                </c:pt>
                <c:pt idx="56">
                  <c:v>0.03</c:v>
                </c:pt>
                <c:pt idx="57">
                  <c:v>0.4</c:v>
                </c:pt>
                <c:pt idx="58">
                  <c:v>0.08</c:v>
                </c:pt>
                <c:pt idx="59">
                  <c:v>0.2</c:v>
                </c:pt>
                <c:pt idx="60">
                  <c:v>0.05</c:v>
                </c:pt>
                <c:pt idx="61">
                  <c:v>0.3</c:v>
                </c:pt>
                <c:pt idx="62">
                  <c:v>0.2</c:v>
                </c:pt>
                <c:pt idx="63">
                  <c:v>0.47</c:v>
                </c:pt>
                <c:pt idx="64">
                  <c:v>0.24</c:v>
                </c:pt>
                <c:pt idx="65">
                  <c:v>0.04</c:v>
                </c:pt>
                <c:pt idx="66">
                  <c:v>0.09</c:v>
                </c:pt>
                <c:pt idx="67">
                  <c:v>0.15</c:v>
                </c:pt>
                <c:pt idx="68">
                  <c:v>0.8</c:v>
                </c:pt>
                <c:pt idx="69">
                  <c:v>0.36</c:v>
                </c:pt>
                <c:pt idx="70">
                  <c:v>0.96</c:v>
                </c:pt>
                <c:pt idx="71">
                  <c:v>0.02</c:v>
                </c:pt>
                <c:pt idx="72">
                  <c:v>0.6</c:v>
                </c:pt>
                <c:pt idx="73">
                  <c:v>0.27</c:v>
                </c:pt>
                <c:pt idx="74">
                  <c:v>0.17</c:v>
                </c:pt>
                <c:pt idx="75">
                  <c:v>0.38</c:v>
                </c:pt>
                <c:pt idx="76">
                  <c:v>1.34</c:v>
                </c:pt>
                <c:pt idx="77">
                  <c:v>1.46</c:v>
                </c:pt>
              </c:numCache>
            </c:numRef>
          </c:xVal>
          <c:yVal>
            <c:numRef>
              <c:f>сводная!$G$171:$G$248</c:f>
              <c:numCache>
                <c:formatCode>0</c:formatCode>
                <c:ptCount val="78"/>
                <c:pt idx="1">
                  <c:v>21.693410104421854</c:v>
                </c:pt>
                <c:pt idx="2">
                  <c:v>22.472275156512445</c:v>
                </c:pt>
                <c:pt idx="8">
                  <c:v>15.294175170550645</c:v>
                </c:pt>
                <c:pt idx="13">
                  <c:v>22.113656535684804</c:v>
                </c:pt>
                <c:pt idx="18">
                  <c:v>4.8162109088097722</c:v>
                </c:pt>
                <c:pt idx="19">
                  <c:v>15.405338341048902</c:v>
                </c:pt>
                <c:pt idx="20">
                  <c:v>2.1924904244948902</c:v>
                </c:pt>
                <c:pt idx="26">
                  <c:v>1.0506879215526905</c:v>
                </c:pt>
                <c:pt idx="30">
                  <c:v>21.572457446824618</c:v>
                </c:pt>
                <c:pt idx="31">
                  <c:v>53.798263620039194</c:v>
                </c:pt>
                <c:pt idx="32">
                  <c:v>68.864529177770024</c:v>
                </c:pt>
                <c:pt idx="52" formatCode="0.00">
                  <c:v>5.0509235536101693</c:v>
                </c:pt>
                <c:pt idx="54" formatCode="0.00">
                  <c:v>27.311363814193683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C-4251-8DFC-63AD9ED7C652}"/>
            </c:ext>
          </c:extLst>
        </c:ser>
        <c:ser>
          <c:idx val="3"/>
          <c:order val="3"/>
          <c:tx>
            <c:v>5.а</c:v>
          </c:tx>
          <c:spPr>
            <a:ln w="28575">
              <a:noFill/>
            </a:ln>
          </c:spPr>
          <c:xVal>
            <c:numRef>
              <c:f>сводная!$H$249:$H$300</c:f>
              <c:numCache>
                <c:formatCode>General</c:formatCode>
                <c:ptCount val="52"/>
                <c:pt idx="0">
                  <c:v>1.0900000000000001</c:v>
                </c:pt>
                <c:pt idx="1">
                  <c:v>2.44</c:v>
                </c:pt>
                <c:pt idx="2">
                  <c:v>0.37</c:v>
                </c:pt>
                <c:pt idx="3">
                  <c:v>0.2</c:v>
                </c:pt>
                <c:pt idx="4">
                  <c:v>1.21</c:v>
                </c:pt>
                <c:pt idx="5">
                  <c:v>4.49</c:v>
                </c:pt>
                <c:pt idx="6">
                  <c:v>1.1399999999999999</c:v>
                </c:pt>
                <c:pt idx="7">
                  <c:v>1.25</c:v>
                </c:pt>
                <c:pt idx="8">
                  <c:v>0.36</c:v>
                </c:pt>
                <c:pt idx="9">
                  <c:v>5.0599999999999996</c:v>
                </c:pt>
                <c:pt idx="10">
                  <c:v>2.29</c:v>
                </c:pt>
                <c:pt idx="11">
                  <c:v>0.91</c:v>
                </c:pt>
                <c:pt idx="12">
                  <c:v>0.4</c:v>
                </c:pt>
                <c:pt idx="13">
                  <c:v>0.25</c:v>
                </c:pt>
                <c:pt idx="14">
                  <c:v>6.9</c:v>
                </c:pt>
                <c:pt idx="15">
                  <c:v>7.72</c:v>
                </c:pt>
                <c:pt idx="16">
                  <c:v>10.6</c:v>
                </c:pt>
                <c:pt idx="17">
                  <c:v>6.86</c:v>
                </c:pt>
                <c:pt idx="18">
                  <c:v>0.98</c:v>
                </c:pt>
                <c:pt idx="19">
                  <c:v>0.05</c:v>
                </c:pt>
                <c:pt idx="20">
                  <c:v>0.26</c:v>
                </c:pt>
                <c:pt idx="21">
                  <c:v>1.98</c:v>
                </c:pt>
                <c:pt idx="22">
                  <c:v>0.6</c:v>
                </c:pt>
                <c:pt idx="23">
                  <c:v>0.28999999999999998</c:v>
                </c:pt>
                <c:pt idx="24">
                  <c:v>0.83</c:v>
                </c:pt>
                <c:pt idx="25">
                  <c:v>0.56999999999999995</c:v>
                </c:pt>
                <c:pt idx="26">
                  <c:v>3.54</c:v>
                </c:pt>
                <c:pt idx="27">
                  <c:v>6.63</c:v>
                </c:pt>
                <c:pt idx="28">
                  <c:v>1.31</c:v>
                </c:pt>
                <c:pt idx="29">
                  <c:v>13.01</c:v>
                </c:pt>
                <c:pt idx="30">
                  <c:v>1.43</c:v>
                </c:pt>
                <c:pt idx="31">
                  <c:v>0.4</c:v>
                </c:pt>
                <c:pt idx="32">
                  <c:v>0.14000000000000001</c:v>
                </c:pt>
                <c:pt idx="33">
                  <c:v>0.61</c:v>
                </c:pt>
                <c:pt idx="34">
                  <c:v>0.78</c:v>
                </c:pt>
                <c:pt idx="35">
                  <c:v>0.15</c:v>
                </c:pt>
                <c:pt idx="36">
                  <c:v>0.51</c:v>
                </c:pt>
                <c:pt idx="37">
                  <c:v>7.0000000000000007E-2</c:v>
                </c:pt>
                <c:pt idx="38">
                  <c:v>0.4</c:v>
                </c:pt>
                <c:pt idx="39">
                  <c:v>2.11</c:v>
                </c:pt>
                <c:pt idx="40">
                  <c:v>8.15</c:v>
                </c:pt>
                <c:pt idx="41">
                  <c:v>2.83</c:v>
                </c:pt>
                <c:pt idx="42">
                  <c:v>2.16</c:v>
                </c:pt>
                <c:pt idx="43">
                  <c:v>2.34</c:v>
                </c:pt>
                <c:pt idx="44">
                  <c:v>0.72</c:v>
                </c:pt>
                <c:pt idx="45">
                  <c:v>0.47</c:v>
                </c:pt>
                <c:pt idx="46">
                  <c:v>0.28999999999999998</c:v>
                </c:pt>
                <c:pt idx="47">
                  <c:v>2.33</c:v>
                </c:pt>
                <c:pt idx="48">
                  <c:v>3.21</c:v>
                </c:pt>
                <c:pt idx="49">
                  <c:v>2.97</c:v>
                </c:pt>
                <c:pt idx="50">
                  <c:v>0.37</c:v>
                </c:pt>
                <c:pt idx="51">
                  <c:v>0.08</c:v>
                </c:pt>
              </c:numCache>
            </c:numRef>
          </c:xVal>
          <c:yVal>
            <c:numRef>
              <c:f>сводная!$G$249:$G$300</c:f>
              <c:numCache>
                <c:formatCode>0</c:formatCode>
                <c:ptCount val="52"/>
                <c:pt idx="0">
                  <c:v>36.129979928786675</c:v>
                </c:pt>
                <c:pt idx="1">
                  <c:v>37.388359716047496</c:v>
                </c:pt>
                <c:pt idx="4">
                  <c:v>23.114102280861442</c:v>
                </c:pt>
                <c:pt idx="6">
                  <c:v>26.134128245766078</c:v>
                </c:pt>
                <c:pt idx="7">
                  <c:v>44.851227541706585</c:v>
                </c:pt>
                <c:pt idx="8">
                  <c:v>23.473423171005052</c:v>
                </c:pt>
                <c:pt idx="9">
                  <c:v>52.040650129890864</c:v>
                </c:pt>
                <c:pt idx="10">
                  <c:v>45.831544959449111</c:v>
                </c:pt>
                <c:pt idx="11">
                  <c:v>18.840369659321578</c:v>
                </c:pt>
                <c:pt idx="12">
                  <c:v>31.555978846825646</c:v>
                </c:pt>
                <c:pt idx="13">
                  <c:v>20.204097169151826</c:v>
                </c:pt>
                <c:pt idx="14">
                  <c:v>48.887038427937419</c:v>
                </c:pt>
                <c:pt idx="15">
                  <c:v>36.10930695346913</c:v>
                </c:pt>
                <c:pt idx="16">
                  <c:v>73.203007788702891</c:v>
                </c:pt>
                <c:pt idx="17">
                  <c:v>46.94178016591615</c:v>
                </c:pt>
                <c:pt idx="18">
                  <c:v>75.531253952324292</c:v>
                </c:pt>
                <c:pt idx="20">
                  <c:v>85.596966089885029</c:v>
                </c:pt>
                <c:pt idx="36" formatCode="0.0">
                  <c:v>25.907065392755772</c:v>
                </c:pt>
                <c:pt idx="37" formatCode="0.0">
                  <c:v>5.9078319683358362</c:v>
                </c:pt>
                <c:pt idx="38" formatCode="0.0">
                  <c:v>27.678694624851534</c:v>
                </c:pt>
                <c:pt idx="39" formatCode="0.0">
                  <c:v>86.762595244351019</c:v>
                </c:pt>
                <c:pt idx="40" formatCode="0.0">
                  <c:v>31.435587685613896</c:v>
                </c:pt>
                <c:pt idx="41" formatCode="0.0">
                  <c:v>11.605102632065586</c:v>
                </c:pt>
                <c:pt idx="42" formatCode="0.00">
                  <c:v>8.853575491400143</c:v>
                </c:pt>
                <c:pt idx="43" formatCode="0.00">
                  <c:v>2.363742652812403</c:v>
                </c:pt>
                <c:pt idx="44" formatCode="0.00">
                  <c:v>11.71957102861391</c:v>
                </c:pt>
                <c:pt idx="47" formatCode="0.00">
                  <c:v>34.725896298643008</c:v>
                </c:pt>
                <c:pt idx="48" formatCode="0.00">
                  <c:v>9.4141446216991653</c:v>
                </c:pt>
                <c:pt idx="49" formatCode="0.00">
                  <c:v>5.8984409100180946</c:v>
                </c:pt>
                <c:pt idx="50" formatCode="0.00">
                  <c:v>10.944978587700602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C-4251-8DFC-63AD9ED7C652}"/>
            </c:ext>
          </c:extLst>
        </c:ser>
        <c:ser>
          <c:idx val="4"/>
          <c:order val="4"/>
          <c:tx>
            <c:v>5.б</c:v>
          </c:tx>
          <c:spPr>
            <a:ln w="28575">
              <a:noFill/>
            </a:ln>
          </c:spPr>
          <c:xVal>
            <c:numRef>
              <c:f>сводная!$H$302:$H$323</c:f>
              <c:numCache>
                <c:formatCode>General</c:formatCode>
                <c:ptCount val="22"/>
                <c:pt idx="0">
                  <c:v>0.85</c:v>
                </c:pt>
                <c:pt idx="1">
                  <c:v>1.1399999999999999</c:v>
                </c:pt>
                <c:pt idx="2">
                  <c:v>1.52</c:v>
                </c:pt>
                <c:pt idx="3">
                  <c:v>4.45</c:v>
                </c:pt>
                <c:pt idx="4">
                  <c:v>7.2</c:v>
                </c:pt>
                <c:pt idx="5">
                  <c:v>10.8</c:v>
                </c:pt>
                <c:pt idx="6">
                  <c:v>8</c:v>
                </c:pt>
                <c:pt idx="7">
                  <c:v>9</c:v>
                </c:pt>
                <c:pt idx="8">
                  <c:v>6.14</c:v>
                </c:pt>
                <c:pt idx="9">
                  <c:v>0.9</c:v>
                </c:pt>
                <c:pt idx="10">
                  <c:v>0.62</c:v>
                </c:pt>
                <c:pt idx="11">
                  <c:v>2.76</c:v>
                </c:pt>
                <c:pt idx="12">
                  <c:v>0.42</c:v>
                </c:pt>
                <c:pt idx="13">
                  <c:v>0.6</c:v>
                </c:pt>
                <c:pt idx="14">
                  <c:v>0.51</c:v>
                </c:pt>
                <c:pt idx="15">
                  <c:v>0.35</c:v>
                </c:pt>
                <c:pt idx="16">
                  <c:v>0.04</c:v>
                </c:pt>
                <c:pt idx="17">
                  <c:v>1.27</c:v>
                </c:pt>
                <c:pt idx="18">
                  <c:v>4.18</c:v>
                </c:pt>
                <c:pt idx="19">
                  <c:v>0.6</c:v>
                </c:pt>
                <c:pt idx="20">
                  <c:v>0.5</c:v>
                </c:pt>
                <c:pt idx="21">
                  <c:v>1.86</c:v>
                </c:pt>
              </c:numCache>
            </c:numRef>
          </c:xVal>
          <c:yVal>
            <c:numRef>
              <c:f>сводная!$G$301:$G$323</c:f>
              <c:numCache>
                <c:formatCode>0</c:formatCode>
                <c:ptCount val="23"/>
                <c:pt idx="0">
                  <c:v>33.051715735068683</c:v>
                </c:pt>
                <c:pt idx="1">
                  <c:v>8.3276022603035358</c:v>
                </c:pt>
                <c:pt idx="3">
                  <c:v>28.588884614936298</c:v>
                </c:pt>
                <c:pt idx="4">
                  <c:v>10.978163279422528</c:v>
                </c:pt>
                <c:pt idx="6">
                  <c:v>31.929878660478376</c:v>
                </c:pt>
                <c:pt idx="8">
                  <c:v>81.971782700657783</c:v>
                </c:pt>
                <c:pt idx="9">
                  <c:v>36.697422797526578</c:v>
                </c:pt>
                <c:pt idx="10">
                  <c:v>20.821503093332151</c:v>
                </c:pt>
                <c:pt idx="15" formatCode="0.0">
                  <c:v>9.5425558356709139</c:v>
                </c:pt>
                <c:pt idx="16" formatCode="0.0">
                  <c:v>10.296312584573748</c:v>
                </c:pt>
                <c:pt idx="19" formatCode="0.0">
                  <c:v>81.678333167429813</c:v>
                </c:pt>
                <c:pt idx="20" formatCode="0.00">
                  <c:v>27.918632711761433</c:v>
                </c:pt>
                <c:pt idx="22" formatCode="0.00">
                  <c:v>18.771263072097387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C-4251-8DFC-63AD9ED7C652}"/>
            </c:ext>
          </c:extLst>
        </c:ser>
        <c:ser>
          <c:idx val="5"/>
          <c:order val="5"/>
          <c:tx>
            <c:v>5.в</c:v>
          </c:tx>
          <c:spPr>
            <a:ln w="28575">
              <a:noFill/>
            </a:ln>
          </c:spPr>
          <c:xVal>
            <c:numRef>
              <c:f>сводная!$H$324:$H$362</c:f>
              <c:numCache>
                <c:formatCode>General</c:formatCode>
                <c:ptCount val="39"/>
                <c:pt idx="0">
                  <c:v>0.98</c:v>
                </c:pt>
                <c:pt idx="1">
                  <c:v>0.23</c:v>
                </c:pt>
                <c:pt idx="2">
                  <c:v>0.12</c:v>
                </c:pt>
                <c:pt idx="3">
                  <c:v>0.64</c:v>
                </c:pt>
                <c:pt idx="4">
                  <c:v>0.13</c:v>
                </c:pt>
                <c:pt idx="5">
                  <c:v>8.48</c:v>
                </c:pt>
                <c:pt idx="6">
                  <c:v>0.35</c:v>
                </c:pt>
                <c:pt idx="7">
                  <c:v>0.85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1.36</c:v>
                </c:pt>
                <c:pt idx="13">
                  <c:v>4.87</c:v>
                </c:pt>
                <c:pt idx="14">
                  <c:v>0.4</c:v>
                </c:pt>
                <c:pt idx="15">
                  <c:v>0.25</c:v>
                </c:pt>
                <c:pt idx="16">
                  <c:v>0.6</c:v>
                </c:pt>
                <c:pt idx="17">
                  <c:v>8.0000000000000002E-3</c:v>
                </c:pt>
                <c:pt idx="18">
                  <c:v>7.0000000000000007E-2</c:v>
                </c:pt>
                <c:pt idx="19">
                  <c:v>0.87</c:v>
                </c:pt>
                <c:pt idx="20">
                  <c:v>8.2899999999999991</c:v>
                </c:pt>
                <c:pt idx="21">
                  <c:v>2.92</c:v>
                </c:pt>
                <c:pt idx="22">
                  <c:v>0.5</c:v>
                </c:pt>
                <c:pt idx="23">
                  <c:v>2.65</c:v>
                </c:pt>
                <c:pt idx="24">
                  <c:v>0.1</c:v>
                </c:pt>
                <c:pt idx="25">
                  <c:v>18.489999999999998</c:v>
                </c:pt>
                <c:pt idx="26">
                  <c:v>3.36</c:v>
                </c:pt>
                <c:pt idx="27">
                  <c:v>0.4</c:v>
                </c:pt>
                <c:pt idx="28">
                  <c:v>0.21</c:v>
                </c:pt>
                <c:pt idx="29">
                  <c:v>0.12</c:v>
                </c:pt>
                <c:pt idx="30">
                  <c:v>7.07</c:v>
                </c:pt>
                <c:pt idx="31">
                  <c:v>0.32</c:v>
                </c:pt>
                <c:pt idx="32">
                  <c:v>0.35</c:v>
                </c:pt>
                <c:pt idx="33">
                  <c:v>0.28000000000000003</c:v>
                </c:pt>
                <c:pt idx="34">
                  <c:v>0.03</c:v>
                </c:pt>
                <c:pt idx="35">
                  <c:v>0.09</c:v>
                </c:pt>
                <c:pt idx="36">
                  <c:v>0.23</c:v>
                </c:pt>
                <c:pt idx="37">
                  <c:v>0.11</c:v>
                </c:pt>
                <c:pt idx="38">
                  <c:v>1.58</c:v>
                </c:pt>
              </c:numCache>
            </c:numRef>
          </c:xVal>
          <c:yVal>
            <c:numRef>
              <c:f>сводная!$G$324:$G$362</c:f>
              <c:numCache>
                <c:formatCode>0</c:formatCode>
                <c:ptCount val="39"/>
                <c:pt idx="2">
                  <c:v>0.44628377200878611</c:v>
                </c:pt>
                <c:pt idx="3">
                  <c:v>47.940232882677869</c:v>
                </c:pt>
                <c:pt idx="4">
                  <c:v>10.766674272896038</c:v>
                </c:pt>
                <c:pt idx="5">
                  <c:v>39.117240175290419</c:v>
                </c:pt>
                <c:pt idx="11">
                  <c:v>75.391410429871485</c:v>
                </c:pt>
                <c:pt idx="12">
                  <c:v>21.35216778726026</c:v>
                </c:pt>
                <c:pt idx="13">
                  <c:v>39.174876377683084</c:v>
                </c:pt>
                <c:pt idx="18" formatCode="0.0">
                  <c:v>16.610997714555914</c:v>
                </c:pt>
                <c:pt idx="20" formatCode="0.0">
                  <c:v>60.984014492193033</c:v>
                </c:pt>
                <c:pt idx="22" formatCode="0.00">
                  <c:v>30.795484280324381</c:v>
                </c:pt>
                <c:pt idx="23" formatCode="0.0">
                  <c:v>7.6804027360061786</c:v>
                </c:pt>
                <c:pt idx="25" formatCode="0.00">
                  <c:v>70.74000073436585</c:v>
                </c:pt>
                <c:pt idx="26" formatCode="0.0">
                  <c:v>4.8508246009940192</c:v>
                </c:pt>
                <c:pt idx="30" formatCode="0.00">
                  <c:v>8.0310028764673884</c:v>
                </c:pt>
                <c:pt idx="32" formatCode="0.00">
                  <c:v>3.9119552517471048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C-4251-8DFC-63AD9ED7C652}"/>
            </c:ext>
          </c:extLst>
        </c:ser>
        <c:ser>
          <c:idx val="6"/>
          <c:order val="6"/>
          <c:tx>
            <c:v>6</c:v>
          </c:tx>
          <c:spPr>
            <a:ln w="28575">
              <a:noFill/>
            </a:ln>
          </c:spPr>
          <c:xVal>
            <c:numRef>
              <c:f>сводная!$H$363:$H$371</c:f>
              <c:numCache>
                <c:formatCode>General</c:formatCode>
                <c:ptCount val="9"/>
                <c:pt idx="0">
                  <c:v>13.25</c:v>
                </c:pt>
                <c:pt idx="1">
                  <c:v>1.59</c:v>
                </c:pt>
                <c:pt idx="2">
                  <c:v>0.4</c:v>
                </c:pt>
                <c:pt idx="3">
                  <c:v>0.2</c:v>
                </c:pt>
                <c:pt idx="4">
                  <c:v>1.86</c:v>
                </c:pt>
                <c:pt idx="5">
                  <c:v>0.7</c:v>
                </c:pt>
                <c:pt idx="6">
                  <c:v>0.13</c:v>
                </c:pt>
                <c:pt idx="7">
                  <c:v>4.3899999999999997</c:v>
                </c:pt>
                <c:pt idx="8">
                  <c:v>0.2</c:v>
                </c:pt>
              </c:numCache>
            </c:numRef>
          </c:xVal>
          <c:yVal>
            <c:numRef>
              <c:f>сводная!$G$363:$G$371</c:f>
              <c:numCache>
                <c:formatCode>0.0</c:formatCode>
                <c:ptCount val="9"/>
                <c:pt idx="0" formatCode="0">
                  <c:v>28.930162654401123</c:v>
                </c:pt>
                <c:pt idx="1">
                  <c:v>5.3494225936753343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C-4251-8DFC-63AD9ED7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59512"/>
        <c:axId val="1"/>
      </c:scatterChart>
      <c:valAx>
        <c:axId val="376259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 дельты, км2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Площадь оледенения, </a:t>
                </a:r>
                <a:r>
                  <a:rPr lang="en-US"/>
                  <a:t>%</a:t>
                </a:r>
                <a:endParaRPr lang="ru-RU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6259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320408752694727"/>
          <c:y val="0.28878281622911695"/>
          <c:w val="6.3725591882391047E-2"/>
          <c:h val="0.400954653937947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/>
              <a:t>Зависимость площади дельты от уклона взморья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424581496690894E-2"/>
          <c:y val="0.14988868634857397"/>
          <c:w val="0.8333062912590472"/>
          <c:h val="0.6945317873451976"/>
        </c:manualLayout>
      </c:layout>
      <c:scatterChart>
        <c:scatterStyle val="lineMarker"/>
        <c:varyColors val="0"/>
        <c:ser>
          <c:idx val="0"/>
          <c:order val="0"/>
          <c:tx>
            <c:v>3.а</c:v>
          </c:tx>
          <c:spPr>
            <a:ln w="28575">
              <a:noFill/>
            </a:ln>
          </c:spPr>
          <c:xVal>
            <c:numRef>
              <c:f>сводная!$H$101:$H$125</c:f>
              <c:numCache>
                <c:formatCode>General</c:formatCode>
                <c:ptCount val="25"/>
                <c:pt idx="0">
                  <c:v>0.52</c:v>
                </c:pt>
                <c:pt idx="1">
                  <c:v>0.48</c:v>
                </c:pt>
                <c:pt idx="2">
                  <c:v>0.34</c:v>
                </c:pt>
                <c:pt idx="3">
                  <c:v>4.72</c:v>
                </c:pt>
                <c:pt idx="4">
                  <c:v>3.16</c:v>
                </c:pt>
                <c:pt idx="5">
                  <c:v>4.0000000000000001E-3</c:v>
                </c:pt>
                <c:pt idx="6">
                  <c:v>3.49</c:v>
                </c:pt>
                <c:pt idx="7">
                  <c:v>0.8</c:v>
                </c:pt>
                <c:pt idx="8">
                  <c:v>0.3</c:v>
                </c:pt>
                <c:pt idx="9">
                  <c:v>0.8</c:v>
                </c:pt>
                <c:pt idx="10">
                  <c:v>26.1</c:v>
                </c:pt>
                <c:pt idx="11">
                  <c:v>26.9</c:v>
                </c:pt>
                <c:pt idx="12">
                  <c:v>7.63</c:v>
                </c:pt>
                <c:pt idx="13">
                  <c:v>2.16</c:v>
                </c:pt>
                <c:pt idx="14">
                  <c:v>6.94</c:v>
                </c:pt>
                <c:pt idx="15">
                  <c:v>3.53</c:v>
                </c:pt>
                <c:pt idx="16">
                  <c:v>2.12</c:v>
                </c:pt>
                <c:pt idx="17">
                  <c:v>2.61</c:v>
                </c:pt>
                <c:pt idx="18">
                  <c:v>1.5</c:v>
                </c:pt>
                <c:pt idx="19">
                  <c:v>7.26</c:v>
                </c:pt>
                <c:pt idx="20">
                  <c:v>2.35</c:v>
                </c:pt>
                <c:pt idx="21">
                  <c:v>5.51</c:v>
                </c:pt>
                <c:pt idx="22">
                  <c:v>2.11</c:v>
                </c:pt>
                <c:pt idx="23">
                  <c:v>4.29</c:v>
                </c:pt>
                <c:pt idx="24">
                  <c:v>1.41</c:v>
                </c:pt>
              </c:numCache>
            </c:numRef>
          </c:xVal>
          <c:yVal>
            <c:numRef>
              <c:f>сводная!$L$101:$L$125</c:f>
              <c:numCache>
                <c:formatCode>0.000</c:formatCode>
                <c:ptCount val="25"/>
                <c:pt idx="0">
                  <c:v>3.1055900621118012E-2</c:v>
                </c:pt>
                <c:pt idx="1">
                  <c:v>5.4054054054054057E-2</c:v>
                </c:pt>
                <c:pt idx="2">
                  <c:v>0.18518518518518517</c:v>
                </c:pt>
                <c:pt idx="3">
                  <c:v>0.11363636363636363</c:v>
                </c:pt>
                <c:pt idx="4">
                  <c:v>0.10752688172043011</c:v>
                </c:pt>
                <c:pt idx="5">
                  <c:v>2.0527859237536656E-2</c:v>
                </c:pt>
                <c:pt idx="6">
                  <c:v>7.0135746606334842E-2</c:v>
                </c:pt>
                <c:pt idx="7">
                  <c:v>4.8309178743961352E-2</c:v>
                </c:pt>
                <c:pt idx="8">
                  <c:v>1.2547051442910916E-2</c:v>
                </c:pt>
                <c:pt idx="9">
                  <c:v>1.1111111111111112E-2</c:v>
                </c:pt>
                <c:pt idx="10">
                  <c:v>3.1075201988812928E-3</c:v>
                </c:pt>
                <c:pt idx="11">
                  <c:v>9.2250922509225092E-3</c:v>
                </c:pt>
                <c:pt idx="12">
                  <c:v>4.1436464088397788E-2</c:v>
                </c:pt>
                <c:pt idx="13">
                  <c:v>5.7339449541284407E-3</c:v>
                </c:pt>
                <c:pt idx="14">
                  <c:v>5.4644808743169397E-2</c:v>
                </c:pt>
                <c:pt idx="15">
                  <c:v>3.3783783783783786E-2</c:v>
                </c:pt>
                <c:pt idx="16">
                  <c:v>1.7006802721088437E-2</c:v>
                </c:pt>
                <c:pt idx="17">
                  <c:v>4.7393364928909956E-3</c:v>
                </c:pt>
                <c:pt idx="18">
                  <c:v>3.2717160150498937E-3</c:v>
                </c:pt>
                <c:pt idx="19">
                  <c:v>2.8710881424059719E-3</c:v>
                </c:pt>
                <c:pt idx="20">
                  <c:v>5.0994390617032127E-3</c:v>
                </c:pt>
                <c:pt idx="21">
                  <c:v>1.1261261261261261E-2</c:v>
                </c:pt>
                <c:pt idx="22">
                  <c:v>1.2919896640826873E-2</c:v>
                </c:pt>
                <c:pt idx="23">
                  <c:v>1.0080645161290322E-2</c:v>
                </c:pt>
                <c:pt idx="24">
                  <c:v>1.4347202295552367E-2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A69-94A8-952C92AC334A}"/>
            </c:ext>
          </c:extLst>
        </c:ser>
        <c:ser>
          <c:idx val="1"/>
          <c:order val="1"/>
          <c:tx>
            <c:v>3.б</c:v>
          </c:tx>
          <c:spPr>
            <a:ln w="28575">
              <a:noFill/>
            </a:ln>
          </c:spPr>
          <c:xVal>
            <c:numRef>
              <c:f>сводная!$H$126:$H$170</c:f>
              <c:numCache>
                <c:formatCode>General</c:formatCode>
                <c:ptCount val="45"/>
                <c:pt idx="0">
                  <c:v>0.48</c:v>
                </c:pt>
                <c:pt idx="1">
                  <c:v>0.8</c:v>
                </c:pt>
                <c:pt idx="2">
                  <c:v>0.36</c:v>
                </c:pt>
                <c:pt idx="3">
                  <c:v>1.1200000000000001</c:v>
                </c:pt>
                <c:pt idx="4">
                  <c:v>5.35</c:v>
                </c:pt>
                <c:pt idx="5">
                  <c:v>0.15</c:v>
                </c:pt>
                <c:pt idx="6">
                  <c:v>0.15</c:v>
                </c:pt>
                <c:pt idx="7">
                  <c:v>0.11</c:v>
                </c:pt>
                <c:pt idx="8">
                  <c:v>0.52</c:v>
                </c:pt>
                <c:pt idx="9" formatCode="0.00">
                  <c:v>4.96</c:v>
                </c:pt>
                <c:pt idx="10">
                  <c:v>1.68</c:v>
                </c:pt>
                <c:pt idx="11">
                  <c:v>0.57999999999999996</c:v>
                </c:pt>
                <c:pt idx="12">
                  <c:v>0.12</c:v>
                </c:pt>
                <c:pt idx="13">
                  <c:v>0.51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0.12</c:v>
                </c:pt>
                <c:pt idx="17">
                  <c:v>3.16</c:v>
                </c:pt>
                <c:pt idx="18">
                  <c:v>0.04</c:v>
                </c:pt>
                <c:pt idx="19">
                  <c:v>0.08</c:v>
                </c:pt>
                <c:pt idx="20">
                  <c:v>0.96</c:v>
                </c:pt>
                <c:pt idx="21">
                  <c:v>1.34</c:v>
                </c:pt>
                <c:pt idx="22">
                  <c:v>12.82</c:v>
                </c:pt>
                <c:pt idx="23">
                  <c:v>0.02</c:v>
                </c:pt>
                <c:pt idx="24">
                  <c:v>0.04</c:v>
                </c:pt>
                <c:pt idx="25">
                  <c:v>1.45</c:v>
                </c:pt>
                <c:pt idx="26">
                  <c:v>0.08</c:v>
                </c:pt>
                <c:pt idx="27">
                  <c:v>0.5</c:v>
                </c:pt>
                <c:pt idx="28">
                  <c:v>0.7</c:v>
                </c:pt>
                <c:pt idx="29">
                  <c:v>0.09</c:v>
                </c:pt>
                <c:pt idx="30">
                  <c:v>6.32</c:v>
                </c:pt>
                <c:pt idx="31">
                  <c:v>2.2400000000000002</c:v>
                </c:pt>
                <c:pt idx="32">
                  <c:v>0.8</c:v>
                </c:pt>
                <c:pt idx="33">
                  <c:v>0.12</c:v>
                </c:pt>
                <c:pt idx="34">
                  <c:v>0.4</c:v>
                </c:pt>
                <c:pt idx="35">
                  <c:v>0.3</c:v>
                </c:pt>
                <c:pt idx="36">
                  <c:v>0.08</c:v>
                </c:pt>
                <c:pt idx="37">
                  <c:v>0.08</c:v>
                </c:pt>
                <c:pt idx="38">
                  <c:v>1.19</c:v>
                </c:pt>
                <c:pt idx="39">
                  <c:v>0.09</c:v>
                </c:pt>
                <c:pt idx="40">
                  <c:v>0.09</c:v>
                </c:pt>
                <c:pt idx="41">
                  <c:v>2.65</c:v>
                </c:pt>
                <c:pt idx="42">
                  <c:v>7.0000000000000007E-2</c:v>
                </c:pt>
                <c:pt idx="43">
                  <c:v>1.83</c:v>
                </c:pt>
                <c:pt idx="44">
                  <c:v>22.3</c:v>
                </c:pt>
              </c:numCache>
            </c:numRef>
          </c:xVal>
          <c:yVal>
            <c:numRef>
              <c:f>сводная!$L$126:$L$170</c:f>
              <c:numCache>
                <c:formatCode>0.000</c:formatCode>
                <c:ptCount val="45"/>
                <c:pt idx="0">
                  <c:v>4.9164208456243851E-3</c:v>
                </c:pt>
                <c:pt idx="1">
                  <c:v>5.2910052910052907E-3</c:v>
                </c:pt>
                <c:pt idx="2">
                  <c:v>2.0622808826562177E-3</c:v>
                </c:pt>
                <c:pt idx="3">
                  <c:v>1.2106537530266344E-2</c:v>
                </c:pt>
                <c:pt idx="4">
                  <c:v>1.2903225806451613E-2</c:v>
                </c:pt>
                <c:pt idx="5">
                  <c:v>1.9267822736030827E-2</c:v>
                </c:pt>
                <c:pt idx="6">
                  <c:v>4.9019607843137254E-2</c:v>
                </c:pt>
                <c:pt idx="7">
                  <c:v>3.2786885245901641E-2</c:v>
                </c:pt>
                <c:pt idx="8">
                  <c:v>3.7622272385252069E-3</c:v>
                </c:pt>
                <c:pt idx="9">
                  <c:v>1.1383039271485486E-2</c:v>
                </c:pt>
                <c:pt idx="10">
                  <c:v>4.4563279857397506E-3</c:v>
                </c:pt>
                <c:pt idx="11">
                  <c:v>3.1766200762388818E-3</c:v>
                </c:pt>
                <c:pt idx="12">
                  <c:v>1.7024174327545114E-3</c:v>
                </c:pt>
                <c:pt idx="13">
                  <c:v>8.389261744966443E-3</c:v>
                </c:pt>
                <c:pt idx="14">
                  <c:v>4.7687172150691466E-2</c:v>
                </c:pt>
                <c:pt idx="15">
                  <c:v>4.1493775933609957E-2</c:v>
                </c:pt>
                <c:pt idx="16">
                  <c:v>4.048582995951417E-2</c:v>
                </c:pt>
                <c:pt idx="17">
                  <c:v>1.2773023374632775E-3</c:v>
                </c:pt>
                <c:pt idx="18">
                  <c:v>1.8761726078799251E-2</c:v>
                </c:pt>
                <c:pt idx="19">
                  <c:v>1.9011406844106463E-2</c:v>
                </c:pt>
                <c:pt idx="20">
                  <c:v>2.7510316368638238E-2</c:v>
                </c:pt>
                <c:pt idx="21">
                  <c:v>6.1162079510703363E-2</c:v>
                </c:pt>
                <c:pt idx="22">
                  <c:v>5.0761421319796954E-2</c:v>
                </c:pt>
                <c:pt idx="23">
                  <c:v>1.0734220695577501E-2</c:v>
                </c:pt>
                <c:pt idx="24">
                  <c:v>1.8871129059651638E-3</c:v>
                </c:pt>
                <c:pt idx="25">
                  <c:v>5.4495912806539508E-3</c:v>
                </c:pt>
                <c:pt idx="26">
                  <c:v>0.04</c:v>
                </c:pt>
                <c:pt idx="27">
                  <c:v>1.8570102135561746E-3</c:v>
                </c:pt>
                <c:pt idx="28">
                  <c:v>1.8132366273798731E-3</c:v>
                </c:pt>
                <c:pt idx="29">
                  <c:v>4.911591355599214E-3</c:v>
                </c:pt>
                <c:pt idx="30">
                  <c:v>3.3333333333333335E-3</c:v>
                </c:pt>
                <c:pt idx="31">
                  <c:v>5.9417706476530005E-3</c:v>
                </c:pt>
                <c:pt idx="32">
                  <c:v>3.9077764751856191E-3</c:v>
                </c:pt>
                <c:pt idx="33">
                  <c:v>1.4524328249818447E-2</c:v>
                </c:pt>
                <c:pt idx="34">
                  <c:v>8.3333333333333332E-3</c:v>
                </c:pt>
                <c:pt idx="35">
                  <c:v>8.3333333333333332E-3</c:v>
                </c:pt>
                <c:pt idx="36">
                  <c:v>1.4367816091954023E-2</c:v>
                </c:pt>
                <c:pt idx="37">
                  <c:v>8.0450522928399038E-3</c:v>
                </c:pt>
                <c:pt idx="38">
                  <c:v>2.5953802232026994E-3</c:v>
                </c:pt>
                <c:pt idx="39">
                  <c:v>3.9619651347068147E-3</c:v>
                </c:pt>
                <c:pt idx="40">
                  <c:v>9.8280098280098278E-4</c:v>
                </c:pt>
                <c:pt idx="41">
                  <c:v>3.6818851251840942E-3</c:v>
                </c:pt>
                <c:pt idx="42">
                  <c:v>4.0000000000000001E-3</c:v>
                </c:pt>
                <c:pt idx="43">
                  <c:v>7.5018754688672166E-3</c:v>
                </c:pt>
                <c:pt idx="44">
                  <c:v>5.9808612440191387E-3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9-4A69-94A8-952C92AC334A}"/>
            </c:ext>
          </c:extLst>
        </c:ser>
        <c:ser>
          <c:idx val="2"/>
          <c:order val="2"/>
          <c:tx>
            <c:v>4</c:v>
          </c:tx>
          <c:spPr>
            <a:ln w="28575">
              <a:noFill/>
            </a:ln>
          </c:spPr>
          <c:xVal>
            <c:numRef>
              <c:f>сводная!$H$171:$H$248</c:f>
              <c:numCache>
                <c:formatCode>General</c:formatCode>
                <c:ptCount val="78"/>
                <c:pt idx="0">
                  <c:v>1.6</c:v>
                </c:pt>
                <c:pt idx="1">
                  <c:v>0.14000000000000001</c:v>
                </c:pt>
                <c:pt idx="2">
                  <c:v>0.84</c:v>
                </c:pt>
                <c:pt idx="3">
                  <c:v>0.19</c:v>
                </c:pt>
                <c:pt idx="4">
                  <c:v>0.04</c:v>
                </c:pt>
                <c:pt idx="5">
                  <c:v>0.34</c:v>
                </c:pt>
                <c:pt idx="6">
                  <c:v>0.1</c:v>
                </c:pt>
                <c:pt idx="7">
                  <c:v>0.08</c:v>
                </c:pt>
                <c:pt idx="8">
                  <c:v>0.15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0.2</c:v>
                </c:pt>
                <c:pt idx="13">
                  <c:v>0.96</c:v>
                </c:pt>
                <c:pt idx="14">
                  <c:v>0.2</c:v>
                </c:pt>
                <c:pt idx="15">
                  <c:v>0.06</c:v>
                </c:pt>
                <c:pt idx="16">
                  <c:v>0.25</c:v>
                </c:pt>
                <c:pt idx="17">
                  <c:v>0.41</c:v>
                </c:pt>
                <c:pt idx="18">
                  <c:v>0.45</c:v>
                </c:pt>
                <c:pt idx="19">
                  <c:v>0.78</c:v>
                </c:pt>
                <c:pt idx="20">
                  <c:v>0.39</c:v>
                </c:pt>
                <c:pt idx="21">
                  <c:v>0.14000000000000001</c:v>
                </c:pt>
                <c:pt idx="22">
                  <c:v>0.8</c:v>
                </c:pt>
                <c:pt idx="23">
                  <c:v>0.09</c:v>
                </c:pt>
                <c:pt idx="24">
                  <c:v>0.27</c:v>
                </c:pt>
                <c:pt idx="25">
                  <c:v>0.09</c:v>
                </c:pt>
                <c:pt idx="26">
                  <c:v>0.31</c:v>
                </c:pt>
                <c:pt idx="27">
                  <c:v>0.22</c:v>
                </c:pt>
                <c:pt idx="28">
                  <c:v>0.26</c:v>
                </c:pt>
                <c:pt idx="29">
                  <c:v>0.37</c:v>
                </c:pt>
                <c:pt idx="30">
                  <c:v>0.35</c:v>
                </c:pt>
                <c:pt idx="31">
                  <c:v>0.18</c:v>
                </c:pt>
                <c:pt idx="32">
                  <c:v>0.36</c:v>
                </c:pt>
                <c:pt idx="33">
                  <c:v>0.99</c:v>
                </c:pt>
                <c:pt idx="34">
                  <c:v>0.16</c:v>
                </c:pt>
                <c:pt idx="35">
                  <c:v>0.1</c:v>
                </c:pt>
                <c:pt idx="36">
                  <c:v>15.3</c:v>
                </c:pt>
                <c:pt idx="37">
                  <c:v>0.7</c:v>
                </c:pt>
                <c:pt idx="38">
                  <c:v>0.11</c:v>
                </c:pt>
                <c:pt idx="39">
                  <c:v>0.2</c:v>
                </c:pt>
                <c:pt idx="40">
                  <c:v>10</c:v>
                </c:pt>
                <c:pt idx="41">
                  <c:v>1.65</c:v>
                </c:pt>
                <c:pt idx="42">
                  <c:v>0.15</c:v>
                </c:pt>
                <c:pt idx="43">
                  <c:v>1.35</c:v>
                </c:pt>
                <c:pt idx="44">
                  <c:v>0.31</c:v>
                </c:pt>
                <c:pt idx="45">
                  <c:v>0.36</c:v>
                </c:pt>
                <c:pt idx="46">
                  <c:v>0.4</c:v>
                </c:pt>
                <c:pt idx="47">
                  <c:v>21.3</c:v>
                </c:pt>
                <c:pt idx="48">
                  <c:v>2.84</c:v>
                </c:pt>
                <c:pt idx="49">
                  <c:v>0.12</c:v>
                </c:pt>
                <c:pt idx="50">
                  <c:v>1.08</c:v>
                </c:pt>
                <c:pt idx="51">
                  <c:v>0.78</c:v>
                </c:pt>
                <c:pt idx="52">
                  <c:v>3.29</c:v>
                </c:pt>
                <c:pt idx="53">
                  <c:v>1E-3</c:v>
                </c:pt>
                <c:pt idx="54">
                  <c:v>0.1</c:v>
                </c:pt>
                <c:pt idx="55">
                  <c:v>1.26</c:v>
                </c:pt>
                <c:pt idx="56">
                  <c:v>0.03</c:v>
                </c:pt>
                <c:pt idx="57">
                  <c:v>0.4</c:v>
                </c:pt>
                <c:pt idx="58">
                  <c:v>0.08</c:v>
                </c:pt>
                <c:pt idx="59">
                  <c:v>0.2</c:v>
                </c:pt>
                <c:pt idx="60">
                  <c:v>0.05</c:v>
                </c:pt>
                <c:pt idx="61">
                  <c:v>0.3</c:v>
                </c:pt>
                <c:pt idx="62">
                  <c:v>0.2</c:v>
                </c:pt>
                <c:pt idx="63">
                  <c:v>0.47</c:v>
                </c:pt>
                <c:pt idx="64">
                  <c:v>0.24</c:v>
                </c:pt>
                <c:pt idx="65">
                  <c:v>0.04</c:v>
                </c:pt>
                <c:pt idx="66">
                  <c:v>0.09</c:v>
                </c:pt>
                <c:pt idx="67">
                  <c:v>0.15</c:v>
                </c:pt>
                <c:pt idx="68">
                  <c:v>0.8</c:v>
                </c:pt>
                <c:pt idx="69">
                  <c:v>0.36</c:v>
                </c:pt>
                <c:pt idx="70">
                  <c:v>0.96</c:v>
                </c:pt>
                <c:pt idx="71">
                  <c:v>0.02</c:v>
                </c:pt>
                <c:pt idx="72">
                  <c:v>0.6</c:v>
                </c:pt>
                <c:pt idx="73">
                  <c:v>0.27</c:v>
                </c:pt>
                <c:pt idx="74">
                  <c:v>0.17</c:v>
                </c:pt>
                <c:pt idx="75">
                  <c:v>0.38</c:v>
                </c:pt>
                <c:pt idx="76">
                  <c:v>1.34</c:v>
                </c:pt>
                <c:pt idx="77">
                  <c:v>1.46</c:v>
                </c:pt>
              </c:numCache>
            </c:numRef>
          </c:xVal>
          <c:yVal>
            <c:numRef>
              <c:f>сводная!$L$171:$L$248</c:f>
              <c:numCache>
                <c:formatCode>0.000</c:formatCode>
                <c:ptCount val="78"/>
                <c:pt idx="0">
                  <c:v>1.4970059880239521E-2</c:v>
                </c:pt>
                <c:pt idx="1">
                  <c:v>1.2285012285012284E-2</c:v>
                </c:pt>
                <c:pt idx="2">
                  <c:v>1.5128593040847202E-2</c:v>
                </c:pt>
                <c:pt idx="3">
                  <c:v>1.5060240963855422E-2</c:v>
                </c:pt>
                <c:pt idx="4">
                  <c:v>1.5313935681470138E-2</c:v>
                </c:pt>
                <c:pt idx="5">
                  <c:v>1.0060362173038229E-2</c:v>
                </c:pt>
                <c:pt idx="6">
                  <c:v>7.8064012490241998E-3</c:v>
                </c:pt>
                <c:pt idx="7">
                  <c:v>1.2515644555694618E-2</c:v>
                </c:pt>
                <c:pt idx="8">
                  <c:v>1.015228426395939E-2</c:v>
                </c:pt>
                <c:pt idx="9">
                  <c:v>2.4509803921568627E-2</c:v>
                </c:pt>
                <c:pt idx="10">
                  <c:v>2.2075055187637971E-2</c:v>
                </c:pt>
                <c:pt idx="11">
                  <c:v>2.8901734104046242E-2</c:v>
                </c:pt>
                <c:pt idx="12">
                  <c:v>9.46969696969697E-3</c:v>
                </c:pt>
                <c:pt idx="13">
                  <c:v>1.2642225031605562E-2</c:v>
                </c:pt>
                <c:pt idx="14">
                  <c:v>1.6339869281045753E-2</c:v>
                </c:pt>
                <c:pt idx="15">
                  <c:v>5.6980056980056981E-2</c:v>
                </c:pt>
                <c:pt idx="16">
                  <c:v>2.0449897750511249E-2</c:v>
                </c:pt>
                <c:pt idx="17">
                  <c:v>3.9840637450199202E-2</c:v>
                </c:pt>
                <c:pt idx="18">
                  <c:v>1.4684287812041116E-2</c:v>
                </c:pt>
                <c:pt idx="19">
                  <c:v>1.7271157167530225E-2</c:v>
                </c:pt>
                <c:pt idx="20">
                  <c:v>1.0660980810234541E-2</c:v>
                </c:pt>
                <c:pt idx="21">
                  <c:v>2.1834061135371178E-2</c:v>
                </c:pt>
                <c:pt idx="22">
                  <c:v>1.9762845849802372E-2</c:v>
                </c:pt>
                <c:pt idx="23">
                  <c:v>2.01450443190975E-3</c:v>
                </c:pt>
                <c:pt idx="24">
                  <c:v>2.2727272727272726E-3</c:v>
                </c:pt>
                <c:pt idx="25">
                  <c:v>1.3297872340425532E-2</c:v>
                </c:pt>
                <c:pt idx="26">
                  <c:v>9.5419847328244278E-3</c:v>
                </c:pt>
                <c:pt idx="27">
                  <c:v>1.5432098765432098E-2</c:v>
                </c:pt>
                <c:pt idx="28">
                  <c:v>1.6051364365971106E-2</c:v>
                </c:pt>
                <c:pt idx="29">
                  <c:v>2.2371364653243849E-2</c:v>
                </c:pt>
                <c:pt idx="30">
                  <c:v>6.5789473684210523E-3</c:v>
                </c:pt>
                <c:pt idx="31">
                  <c:v>6.6006600660066007E-3</c:v>
                </c:pt>
                <c:pt idx="32">
                  <c:v>3.5335689045936397E-2</c:v>
                </c:pt>
                <c:pt idx="33">
                  <c:v>5.8892815076560655E-4</c:v>
                </c:pt>
                <c:pt idx="34">
                  <c:v>5.8892815076560655E-4</c:v>
                </c:pt>
                <c:pt idx="35">
                  <c:v>5.8892815076560655E-4</c:v>
                </c:pt>
                <c:pt idx="36">
                  <c:v>5.8892815076560655E-4</c:v>
                </c:pt>
                <c:pt idx="37">
                  <c:v>5.8892815076560655E-4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1.2773023374632775E-3</c:v>
                </c:pt>
                <c:pt idx="50">
                  <c:v>1.2773023374632775E-3</c:v>
                </c:pt>
                <c:pt idx="51">
                  <c:v>1.2773023374632775E-3</c:v>
                </c:pt>
                <c:pt idx="52">
                  <c:v>8.8888888888888892E-2</c:v>
                </c:pt>
                <c:pt idx="53">
                  <c:v>1.4084507042253521E-2</c:v>
                </c:pt>
                <c:pt idx="54">
                  <c:v>3.5260930888575459E-2</c:v>
                </c:pt>
                <c:pt idx="55">
                  <c:v>1.3157894736842105E-2</c:v>
                </c:pt>
                <c:pt idx="56">
                  <c:v>6.5402223675604968E-3</c:v>
                </c:pt>
                <c:pt idx="57">
                  <c:v>6.6934404283801874E-3</c:v>
                </c:pt>
                <c:pt idx="58">
                  <c:v>1.9342359767891683E-3</c:v>
                </c:pt>
                <c:pt idx="59">
                  <c:v>1.1086474501108648E-2</c:v>
                </c:pt>
                <c:pt idx="60">
                  <c:v>1.1933174224343675E-2</c:v>
                </c:pt>
                <c:pt idx="61">
                  <c:v>1E-3</c:v>
                </c:pt>
                <c:pt idx="62">
                  <c:v>1.4367816091954023E-2</c:v>
                </c:pt>
                <c:pt idx="63">
                  <c:v>3.3422459893048127E-3</c:v>
                </c:pt>
                <c:pt idx="64">
                  <c:v>9.6339113680154135E-3</c:v>
                </c:pt>
                <c:pt idx="65">
                  <c:v>1.9880715705765408E-2</c:v>
                </c:pt>
                <c:pt idx="66">
                  <c:v>5.6947608200455585E-3</c:v>
                </c:pt>
                <c:pt idx="67">
                  <c:v>1.0351966873706004E-2</c:v>
                </c:pt>
                <c:pt idx="68">
                  <c:v>7.9744816586921844E-3</c:v>
                </c:pt>
                <c:pt idx="69">
                  <c:v>6.3051702395964691E-3</c:v>
                </c:pt>
                <c:pt idx="70">
                  <c:v>6.3051702395964691E-3</c:v>
                </c:pt>
                <c:pt idx="71">
                  <c:v>1.1890606420927468E-2</c:v>
                </c:pt>
                <c:pt idx="72">
                  <c:v>6.6934404283801874E-3</c:v>
                </c:pt>
                <c:pt idx="73">
                  <c:v>1.8148820326678767E-2</c:v>
                </c:pt>
                <c:pt idx="74">
                  <c:v>2.3148148148148147E-2</c:v>
                </c:pt>
                <c:pt idx="75">
                  <c:v>2.4140012070006035E-3</c:v>
                </c:pt>
                <c:pt idx="76">
                  <c:v>4.2571306939123031E-3</c:v>
                </c:pt>
                <c:pt idx="77">
                  <c:v>1.4892032762472078E-3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9-4A69-94A8-952C92AC334A}"/>
            </c:ext>
          </c:extLst>
        </c:ser>
        <c:ser>
          <c:idx val="3"/>
          <c:order val="3"/>
          <c:tx>
            <c:v>5.а</c:v>
          </c:tx>
          <c:spPr>
            <a:ln w="28575">
              <a:noFill/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xVal>
            <c:numRef>
              <c:f>сводная!$H$249:$H$300</c:f>
              <c:numCache>
                <c:formatCode>General</c:formatCode>
                <c:ptCount val="52"/>
                <c:pt idx="0">
                  <c:v>1.0900000000000001</c:v>
                </c:pt>
                <c:pt idx="1">
                  <c:v>2.44</c:v>
                </c:pt>
                <c:pt idx="2">
                  <c:v>0.37</c:v>
                </c:pt>
                <c:pt idx="3">
                  <c:v>0.2</c:v>
                </c:pt>
                <c:pt idx="4">
                  <c:v>1.21</c:v>
                </c:pt>
                <c:pt idx="5">
                  <c:v>4.49</c:v>
                </c:pt>
                <c:pt idx="6">
                  <c:v>1.1399999999999999</c:v>
                </c:pt>
                <c:pt idx="7">
                  <c:v>1.25</c:v>
                </c:pt>
                <c:pt idx="8">
                  <c:v>0.36</c:v>
                </c:pt>
                <c:pt idx="9">
                  <c:v>5.0599999999999996</c:v>
                </c:pt>
                <c:pt idx="10">
                  <c:v>2.29</c:v>
                </c:pt>
                <c:pt idx="11">
                  <c:v>0.91</c:v>
                </c:pt>
                <c:pt idx="12">
                  <c:v>0.4</c:v>
                </c:pt>
                <c:pt idx="13">
                  <c:v>0.25</c:v>
                </c:pt>
                <c:pt idx="14">
                  <c:v>6.9</c:v>
                </c:pt>
                <c:pt idx="15">
                  <c:v>7.72</c:v>
                </c:pt>
                <c:pt idx="16">
                  <c:v>10.6</c:v>
                </c:pt>
                <c:pt idx="17">
                  <c:v>6.86</c:v>
                </c:pt>
                <c:pt idx="18">
                  <c:v>0.98</c:v>
                </c:pt>
                <c:pt idx="19">
                  <c:v>0.05</c:v>
                </c:pt>
                <c:pt idx="20">
                  <c:v>0.26</c:v>
                </c:pt>
                <c:pt idx="21">
                  <c:v>1.98</c:v>
                </c:pt>
                <c:pt idx="22">
                  <c:v>0.6</c:v>
                </c:pt>
                <c:pt idx="23">
                  <c:v>0.28999999999999998</c:v>
                </c:pt>
                <c:pt idx="24">
                  <c:v>0.83</c:v>
                </c:pt>
                <c:pt idx="25">
                  <c:v>0.56999999999999995</c:v>
                </c:pt>
                <c:pt idx="26">
                  <c:v>3.54</c:v>
                </c:pt>
                <c:pt idx="27">
                  <c:v>6.63</c:v>
                </c:pt>
                <c:pt idx="28">
                  <c:v>1.31</c:v>
                </c:pt>
                <c:pt idx="29">
                  <c:v>13.01</c:v>
                </c:pt>
                <c:pt idx="30">
                  <c:v>1.43</c:v>
                </c:pt>
                <c:pt idx="31">
                  <c:v>0.4</c:v>
                </c:pt>
                <c:pt idx="32">
                  <c:v>0.14000000000000001</c:v>
                </c:pt>
                <c:pt idx="33">
                  <c:v>0.61</c:v>
                </c:pt>
                <c:pt idx="34">
                  <c:v>0.78</c:v>
                </c:pt>
                <c:pt idx="35">
                  <c:v>0.15</c:v>
                </c:pt>
                <c:pt idx="36">
                  <c:v>0.51</c:v>
                </c:pt>
                <c:pt idx="37">
                  <c:v>7.0000000000000007E-2</c:v>
                </c:pt>
                <c:pt idx="38">
                  <c:v>0.4</c:v>
                </c:pt>
                <c:pt idx="39">
                  <c:v>2.11</c:v>
                </c:pt>
                <c:pt idx="40">
                  <c:v>8.15</c:v>
                </c:pt>
                <c:pt idx="41">
                  <c:v>2.83</c:v>
                </c:pt>
                <c:pt idx="42">
                  <c:v>2.16</c:v>
                </c:pt>
                <c:pt idx="43">
                  <c:v>2.34</c:v>
                </c:pt>
                <c:pt idx="44">
                  <c:v>0.72</c:v>
                </c:pt>
                <c:pt idx="45">
                  <c:v>0.47</c:v>
                </c:pt>
                <c:pt idx="46">
                  <c:v>0.28999999999999998</c:v>
                </c:pt>
                <c:pt idx="47">
                  <c:v>2.33</c:v>
                </c:pt>
                <c:pt idx="48">
                  <c:v>3.21</c:v>
                </c:pt>
                <c:pt idx="49">
                  <c:v>2.97</c:v>
                </c:pt>
                <c:pt idx="50">
                  <c:v>0.37</c:v>
                </c:pt>
                <c:pt idx="51">
                  <c:v>0.08</c:v>
                </c:pt>
              </c:numCache>
            </c:numRef>
          </c:xVal>
          <c:yVal>
            <c:numRef>
              <c:f>сводная!$L$249:$L$300</c:f>
              <c:numCache>
                <c:formatCode>0.000</c:formatCode>
                <c:ptCount val="52"/>
                <c:pt idx="0">
                  <c:v>4.2016806722689079E-2</c:v>
                </c:pt>
                <c:pt idx="1">
                  <c:v>5.3191489361702128E-2</c:v>
                </c:pt>
                <c:pt idx="2">
                  <c:v>2.0080321285140562E-2</c:v>
                </c:pt>
                <c:pt idx="3">
                  <c:v>5.2083333333333336E-2</c:v>
                </c:pt>
                <c:pt idx="4">
                  <c:v>6.4184852374839542E-3</c:v>
                </c:pt>
                <c:pt idx="5">
                  <c:v>6.1500615006150061E-3</c:v>
                </c:pt>
                <c:pt idx="6">
                  <c:v>4.6296296296296294E-2</c:v>
                </c:pt>
                <c:pt idx="7">
                  <c:v>3.3783783783783786E-2</c:v>
                </c:pt>
                <c:pt idx="8">
                  <c:v>3.4013605442176874E-2</c:v>
                </c:pt>
                <c:pt idx="9">
                  <c:v>5.7142857142857141E-2</c:v>
                </c:pt>
                <c:pt idx="10">
                  <c:v>2.2935779816513763E-2</c:v>
                </c:pt>
                <c:pt idx="11">
                  <c:v>2.4570024570024569E-2</c:v>
                </c:pt>
                <c:pt idx="12">
                  <c:v>6.6666666666666666E-2</c:v>
                </c:pt>
                <c:pt idx="13">
                  <c:v>2.7472527472527472E-2</c:v>
                </c:pt>
                <c:pt idx="14">
                  <c:v>3.484320557491289E-2</c:v>
                </c:pt>
                <c:pt idx="15">
                  <c:v>1.2674271229404309E-2</c:v>
                </c:pt>
                <c:pt idx="16">
                  <c:v>5.1072522982635342E-3</c:v>
                </c:pt>
                <c:pt idx="17">
                  <c:v>2.8149190710767065E-3</c:v>
                </c:pt>
                <c:pt idx="18">
                  <c:v>8.0515297906602248E-3</c:v>
                </c:pt>
                <c:pt idx="19">
                  <c:v>1.3154433043935806E-3</c:v>
                </c:pt>
                <c:pt idx="20">
                  <c:v>5.4644808743169397E-2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1.2773023374632775E-3</c:v>
                </c:pt>
                <c:pt idx="31">
                  <c:v>8.0971659919028341E-2</c:v>
                </c:pt>
                <c:pt idx="32">
                  <c:v>0.12903225806451613</c:v>
                </c:pt>
                <c:pt idx="33">
                  <c:v>2.3752969121140142E-2</c:v>
                </c:pt>
                <c:pt idx="34">
                  <c:v>0.1111111111111111</c:v>
                </c:pt>
                <c:pt idx="35">
                  <c:v>8.2987551867219914E-2</c:v>
                </c:pt>
                <c:pt idx="36">
                  <c:v>0.10033444816053512</c:v>
                </c:pt>
                <c:pt idx="37">
                  <c:v>8.9285714285714288E-2</c:v>
                </c:pt>
                <c:pt idx="39">
                  <c:v>1.3448090371167294E-2</c:v>
                </c:pt>
                <c:pt idx="40">
                  <c:v>1.276595744680851E-2</c:v>
                </c:pt>
                <c:pt idx="41">
                  <c:v>2.7685492801771874E-3</c:v>
                </c:pt>
                <c:pt idx="42">
                  <c:v>4.4642857142857144E-2</c:v>
                </c:pt>
                <c:pt idx="43">
                  <c:v>4.4543429844097995E-2</c:v>
                </c:pt>
                <c:pt idx="44">
                  <c:v>7.2463768115942032E-2</c:v>
                </c:pt>
                <c:pt idx="45">
                  <c:v>3.6496350364963501E-2</c:v>
                </c:pt>
                <c:pt idx="46">
                  <c:v>0.13333333333333333</c:v>
                </c:pt>
                <c:pt idx="47">
                  <c:v>4.6296296296296294E-2</c:v>
                </c:pt>
                <c:pt idx="48">
                  <c:v>3.7313432835820892E-2</c:v>
                </c:pt>
                <c:pt idx="49">
                  <c:v>7.6335877862595422E-2</c:v>
                </c:pt>
                <c:pt idx="50">
                  <c:v>9.1743119266055051E-2</c:v>
                </c:pt>
                <c:pt idx="51">
                  <c:v>7.3529411764705885E-2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9-4A69-94A8-952C92AC334A}"/>
            </c:ext>
          </c:extLst>
        </c:ser>
        <c:ser>
          <c:idx val="4"/>
          <c:order val="4"/>
          <c:tx>
            <c:v>5.б</c:v>
          </c:tx>
          <c:spPr>
            <a:ln w="28575">
              <a:noFill/>
            </a:ln>
          </c:spPr>
          <c:xVal>
            <c:numRef>
              <c:f>сводная!$H$301:$H$323</c:f>
              <c:numCache>
                <c:formatCode>General</c:formatCode>
                <c:ptCount val="23"/>
                <c:pt idx="0">
                  <c:v>0.61</c:v>
                </c:pt>
                <c:pt idx="1">
                  <c:v>0.85</c:v>
                </c:pt>
                <c:pt idx="2">
                  <c:v>1.1399999999999999</c:v>
                </c:pt>
                <c:pt idx="3">
                  <c:v>1.52</c:v>
                </c:pt>
                <c:pt idx="4">
                  <c:v>4.45</c:v>
                </c:pt>
                <c:pt idx="5">
                  <c:v>7.2</c:v>
                </c:pt>
                <c:pt idx="6">
                  <c:v>10.8</c:v>
                </c:pt>
                <c:pt idx="7">
                  <c:v>8</c:v>
                </c:pt>
                <c:pt idx="8">
                  <c:v>9</c:v>
                </c:pt>
                <c:pt idx="9">
                  <c:v>6.14</c:v>
                </c:pt>
                <c:pt idx="10">
                  <c:v>0.9</c:v>
                </c:pt>
                <c:pt idx="11">
                  <c:v>0.62</c:v>
                </c:pt>
                <c:pt idx="12">
                  <c:v>2.76</c:v>
                </c:pt>
                <c:pt idx="13">
                  <c:v>0.42</c:v>
                </c:pt>
                <c:pt idx="14">
                  <c:v>0.6</c:v>
                </c:pt>
                <c:pt idx="15">
                  <c:v>0.51</c:v>
                </c:pt>
                <c:pt idx="16">
                  <c:v>0.35</c:v>
                </c:pt>
                <c:pt idx="17">
                  <c:v>0.04</c:v>
                </c:pt>
                <c:pt idx="18">
                  <c:v>1.27</c:v>
                </c:pt>
                <c:pt idx="19">
                  <c:v>4.18</c:v>
                </c:pt>
                <c:pt idx="20">
                  <c:v>0.6</c:v>
                </c:pt>
                <c:pt idx="21">
                  <c:v>0.5</c:v>
                </c:pt>
                <c:pt idx="22">
                  <c:v>1.86</c:v>
                </c:pt>
              </c:numCache>
            </c:numRef>
          </c:xVal>
          <c:yVal>
            <c:numRef>
              <c:f>сводная!$L$301:$L$323</c:f>
              <c:numCache>
                <c:formatCode>0.000</c:formatCode>
                <c:ptCount val="23"/>
                <c:pt idx="0">
                  <c:v>1.2903225806451613E-2</c:v>
                </c:pt>
                <c:pt idx="1">
                  <c:v>2.7397260273972603E-3</c:v>
                </c:pt>
                <c:pt idx="2">
                  <c:v>1.6181229773462782E-2</c:v>
                </c:pt>
                <c:pt idx="3">
                  <c:v>1.4847809948032665E-2</c:v>
                </c:pt>
                <c:pt idx="4">
                  <c:v>1.8867924528301886E-2</c:v>
                </c:pt>
                <c:pt idx="5">
                  <c:v>9.2932484549974447E-4</c:v>
                </c:pt>
                <c:pt idx="6">
                  <c:v>8.7183958151700082E-3</c:v>
                </c:pt>
                <c:pt idx="7">
                  <c:v>1.3166556945358789E-2</c:v>
                </c:pt>
                <c:pt idx="8">
                  <c:v>1.7376194613379671E-2</c:v>
                </c:pt>
                <c:pt idx="9" formatCode="0.0000">
                  <c:v>3.9308176100628933E-4</c:v>
                </c:pt>
                <c:pt idx="10">
                  <c:v>3.6390101892285298E-3</c:v>
                </c:pt>
                <c:pt idx="11">
                  <c:v>1E-3</c:v>
                </c:pt>
                <c:pt idx="12">
                  <c:v>1E-3</c:v>
                </c:pt>
                <c:pt idx="13">
                  <c:v>5.308137374595254E-4</c:v>
                </c:pt>
                <c:pt idx="14">
                  <c:v>8.8888888888888892E-2</c:v>
                </c:pt>
                <c:pt idx="15">
                  <c:v>0.10869565217391304</c:v>
                </c:pt>
                <c:pt idx="16">
                  <c:v>3.7950664136622389E-2</c:v>
                </c:pt>
                <c:pt idx="17">
                  <c:v>5.7971014492753624E-2</c:v>
                </c:pt>
                <c:pt idx="18">
                  <c:v>7.6045627376425853E-2</c:v>
                </c:pt>
                <c:pt idx="19">
                  <c:v>2.2351363433169423E-2</c:v>
                </c:pt>
                <c:pt idx="20">
                  <c:v>4.1511000415110008E-3</c:v>
                </c:pt>
                <c:pt idx="21">
                  <c:v>1.7667844522968199E-2</c:v>
                </c:pt>
                <c:pt idx="22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09-4A69-94A8-952C92AC334A}"/>
            </c:ext>
          </c:extLst>
        </c:ser>
        <c:ser>
          <c:idx val="5"/>
          <c:order val="5"/>
          <c:tx>
            <c:v>5.в</c:v>
          </c:tx>
          <c:spPr>
            <a:ln w="28575">
              <a:noFill/>
            </a:ln>
          </c:spPr>
          <c:xVal>
            <c:numRef>
              <c:f>сводная!$H$324:$H$362</c:f>
              <c:numCache>
                <c:formatCode>General</c:formatCode>
                <c:ptCount val="39"/>
                <c:pt idx="0">
                  <c:v>0.98</c:v>
                </c:pt>
                <c:pt idx="1">
                  <c:v>0.23</c:v>
                </c:pt>
                <c:pt idx="2">
                  <c:v>0.12</c:v>
                </c:pt>
                <c:pt idx="3">
                  <c:v>0.64</c:v>
                </c:pt>
                <c:pt idx="4">
                  <c:v>0.13</c:v>
                </c:pt>
                <c:pt idx="5">
                  <c:v>8.48</c:v>
                </c:pt>
                <c:pt idx="6">
                  <c:v>0.35</c:v>
                </c:pt>
                <c:pt idx="7">
                  <c:v>0.85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1.36</c:v>
                </c:pt>
                <c:pt idx="13">
                  <c:v>4.87</c:v>
                </c:pt>
                <c:pt idx="14">
                  <c:v>0.4</c:v>
                </c:pt>
                <c:pt idx="15">
                  <c:v>0.25</c:v>
                </c:pt>
                <c:pt idx="16">
                  <c:v>0.6</c:v>
                </c:pt>
                <c:pt idx="17">
                  <c:v>8.0000000000000002E-3</c:v>
                </c:pt>
                <c:pt idx="18">
                  <c:v>7.0000000000000007E-2</c:v>
                </c:pt>
                <c:pt idx="19">
                  <c:v>0.87</c:v>
                </c:pt>
                <c:pt idx="20">
                  <c:v>8.2899999999999991</c:v>
                </c:pt>
                <c:pt idx="21">
                  <c:v>2.92</c:v>
                </c:pt>
                <c:pt idx="22">
                  <c:v>0.5</c:v>
                </c:pt>
                <c:pt idx="23">
                  <c:v>2.65</c:v>
                </c:pt>
                <c:pt idx="24">
                  <c:v>0.1</c:v>
                </c:pt>
                <c:pt idx="25">
                  <c:v>18.489999999999998</c:v>
                </c:pt>
                <c:pt idx="26">
                  <c:v>3.36</c:v>
                </c:pt>
                <c:pt idx="27">
                  <c:v>0.4</c:v>
                </c:pt>
                <c:pt idx="28">
                  <c:v>0.21</c:v>
                </c:pt>
                <c:pt idx="29">
                  <c:v>0.12</c:v>
                </c:pt>
                <c:pt idx="30">
                  <c:v>7.07</c:v>
                </c:pt>
                <c:pt idx="31">
                  <c:v>0.32</c:v>
                </c:pt>
                <c:pt idx="32">
                  <c:v>0.35</c:v>
                </c:pt>
                <c:pt idx="33">
                  <c:v>0.28000000000000003</c:v>
                </c:pt>
                <c:pt idx="34">
                  <c:v>0.03</c:v>
                </c:pt>
                <c:pt idx="35">
                  <c:v>0.09</c:v>
                </c:pt>
                <c:pt idx="36">
                  <c:v>0.23</c:v>
                </c:pt>
                <c:pt idx="37">
                  <c:v>0.11</c:v>
                </c:pt>
                <c:pt idx="38">
                  <c:v>1.58</c:v>
                </c:pt>
              </c:numCache>
            </c:numRef>
          </c:xVal>
          <c:yVal>
            <c:numRef>
              <c:f>сводная!$L$324:$L$362</c:f>
              <c:numCache>
                <c:formatCode>0.000</c:formatCode>
                <c:ptCount val="39"/>
                <c:pt idx="0">
                  <c:v>1.2626262626262626E-2</c:v>
                </c:pt>
                <c:pt idx="1">
                  <c:v>1.0298661174047374E-2</c:v>
                </c:pt>
                <c:pt idx="2">
                  <c:v>1.2658227848101266E-2</c:v>
                </c:pt>
                <c:pt idx="3">
                  <c:v>1.0482180293501049E-2</c:v>
                </c:pt>
                <c:pt idx="4">
                  <c:v>1.2706480304955527E-2</c:v>
                </c:pt>
                <c:pt idx="5">
                  <c:v>1.5713387806411063E-3</c:v>
                </c:pt>
                <c:pt idx="6">
                  <c:v>2.0876826722338204E-2</c:v>
                </c:pt>
                <c:pt idx="7">
                  <c:v>6.7613252197430695E-3</c:v>
                </c:pt>
                <c:pt idx="8">
                  <c:v>3.6049026676279738E-3</c:v>
                </c:pt>
                <c:pt idx="9">
                  <c:v>3.0303030303030304E-2</c:v>
                </c:pt>
                <c:pt idx="10">
                  <c:v>1.7462673535318257E-3</c:v>
                </c:pt>
                <c:pt idx="11">
                  <c:v>4.7687172150691461E-3</c:v>
                </c:pt>
                <c:pt idx="12">
                  <c:v>4.7687172150691461E-3</c:v>
                </c:pt>
                <c:pt idx="13">
                  <c:v>1.5923566878980892E-2</c:v>
                </c:pt>
                <c:pt idx="14">
                  <c:v>1E-3</c:v>
                </c:pt>
                <c:pt idx="15">
                  <c:v>5.308137374595254E-4</c:v>
                </c:pt>
                <c:pt idx="16">
                  <c:v>1.2773023374632775E-3</c:v>
                </c:pt>
                <c:pt idx="17">
                  <c:v>1.646090534979424E-2</c:v>
                </c:pt>
                <c:pt idx="18">
                  <c:v>1.966568338249754E-2</c:v>
                </c:pt>
                <c:pt idx="19">
                  <c:v>7.895775759968417E-3</c:v>
                </c:pt>
                <c:pt idx="20">
                  <c:v>3.937007874015748E-2</c:v>
                </c:pt>
                <c:pt idx="21">
                  <c:v>2.2160664819944598E-2</c:v>
                </c:pt>
                <c:pt idx="22">
                  <c:v>8.7565674255691769E-3</c:v>
                </c:pt>
                <c:pt idx="23">
                  <c:v>7.2727272727272727E-3</c:v>
                </c:pt>
                <c:pt idx="24">
                  <c:v>9.3457943925233638E-3</c:v>
                </c:pt>
                <c:pt idx="25">
                  <c:v>4.6125461254612546E-3</c:v>
                </c:pt>
                <c:pt idx="26">
                  <c:v>1E-3</c:v>
                </c:pt>
                <c:pt idx="27">
                  <c:v>8.5836909871244635E-3</c:v>
                </c:pt>
                <c:pt idx="28">
                  <c:v>6.2617407639323731E-3</c:v>
                </c:pt>
                <c:pt idx="29">
                  <c:v>2.5445292620865142E-3</c:v>
                </c:pt>
                <c:pt idx="30">
                  <c:v>1.8726591760299626E-2</c:v>
                </c:pt>
                <c:pt idx="31">
                  <c:v>6.3532401524777635E-3</c:v>
                </c:pt>
                <c:pt idx="32">
                  <c:v>7.7821011673151752E-3</c:v>
                </c:pt>
                <c:pt idx="33">
                  <c:v>1.6949152542372881E-2</c:v>
                </c:pt>
                <c:pt idx="34">
                  <c:v>1.4326647564469915E-2</c:v>
                </c:pt>
                <c:pt idx="35">
                  <c:v>9.6571704490584255E-3</c:v>
                </c:pt>
                <c:pt idx="36">
                  <c:v>2.0635575732562937E-3</c:v>
                </c:pt>
                <c:pt idx="37">
                  <c:v>6.9468565474122956E-3</c:v>
                </c:pt>
                <c:pt idx="38">
                  <c:v>1.2239902080783354E-2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09-4A69-94A8-952C92AC334A}"/>
            </c:ext>
          </c:extLst>
        </c:ser>
        <c:ser>
          <c:idx val="6"/>
          <c:order val="6"/>
          <c:tx>
            <c:v>6</c:v>
          </c:tx>
          <c:spPr>
            <a:ln w="28575">
              <a:noFill/>
            </a:ln>
          </c:spPr>
          <c:xVal>
            <c:numRef>
              <c:f>сводная!$H$363:$H$371</c:f>
              <c:numCache>
                <c:formatCode>General</c:formatCode>
                <c:ptCount val="9"/>
                <c:pt idx="0">
                  <c:v>13.25</c:v>
                </c:pt>
                <c:pt idx="1">
                  <c:v>1.59</c:v>
                </c:pt>
                <c:pt idx="2">
                  <c:v>0.4</c:v>
                </c:pt>
                <c:pt idx="3">
                  <c:v>0.2</c:v>
                </c:pt>
                <c:pt idx="4">
                  <c:v>1.86</c:v>
                </c:pt>
                <c:pt idx="5">
                  <c:v>0.7</c:v>
                </c:pt>
                <c:pt idx="6">
                  <c:v>0.13</c:v>
                </c:pt>
                <c:pt idx="7">
                  <c:v>4.3899999999999997</c:v>
                </c:pt>
                <c:pt idx="8">
                  <c:v>0.2</c:v>
                </c:pt>
              </c:numCache>
            </c:numRef>
          </c:xVal>
          <c:yVal>
            <c:numRef>
              <c:f>сводная!$L$363:$L$371</c:f>
              <c:numCache>
                <c:formatCode>0.000</c:formatCode>
                <c:ptCount val="9"/>
                <c:pt idx="0">
                  <c:v>2.461E-2</c:v>
                </c:pt>
                <c:pt idx="1">
                  <c:v>1.1709601873536301E-2</c:v>
                </c:pt>
                <c:pt idx="2">
                  <c:v>4.4434570095534323E-3</c:v>
                </c:pt>
                <c:pt idx="3">
                  <c:v>1.5060240963855422E-2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6.5963060686015833E-3</c:v>
                </c:pt>
                <c:pt idx="8">
                  <c:v>3.9888312724371761E-3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09-4A69-94A8-952C92AC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824"/>
        <c:axId val="1"/>
      </c:scatterChart>
      <c:valAx>
        <c:axId val="3762608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 дельты, км2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уклон взморья</a:t>
                </a:r>
              </a:p>
            </c:rich>
          </c:tx>
          <c:layout>
            <c:manualLayout>
              <c:xMode val="edge"/>
              <c:yMode val="edge"/>
              <c:x val="6.3434426902489868E-3"/>
              <c:y val="0.3841156037367367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376260824"/>
        <c:crosses val="autoZero"/>
        <c:crossBetween val="midCat"/>
        <c:majorUnit val="100"/>
        <c:minorUnit val="100"/>
      </c:valAx>
    </c:plotArea>
    <c:legend>
      <c:legendPos val="r"/>
      <c:layout>
        <c:manualLayout>
          <c:xMode val="edge"/>
          <c:yMode val="edge"/>
          <c:x val="0.94073197899342575"/>
          <c:y val="0.36538487930559999"/>
          <c:w val="4.9180358151130837E-2"/>
          <c:h val="0.2485208895681813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/>
              <a:t>Зависимость площади дельты от средней высоты водосбора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424581496690894E-2"/>
          <c:y val="0.14988868634857397"/>
          <c:w val="0.8333062912590472"/>
          <c:h val="0.6945317873451976"/>
        </c:manualLayout>
      </c:layout>
      <c:scatterChart>
        <c:scatterStyle val="lineMarker"/>
        <c:varyColors val="0"/>
        <c:ser>
          <c:idx val="0"/>
          <c:order val="0"/>
          <c:tx>
            <c:v>3.а</c:v>
          </c:tx>
          <c:spPr>
            <a:ln w="28575">
              <a:noFill/>
            </a:ln>
          </c:spPr>
          <c:xVal>
            <c:numRef>
              <c:f>сводная!$H$101:$H$125</c:f>
              <c:numCache>
                <c:formatCode>General</c:formatCode>
                <c:ptCount val="25"/>
                <c:pt idx="0">
                  <c:v>0.52</c:v>
                </c:pt>
                <c:pt idx="1">
                  <c:v>0.48</c:v>
                </c:pt>
                <c:pt idx="2">
                  <c:v>0.34</c:v>
                </c:pt>
                <c:pt idx="3">
                  <c:v>4.72</c:v>
                </c:pt>
                <c:pt idx="4">
                  <c:v>3.16</c:v>
                </c:pt>
                <c:pt idx="5">
                  <c:v>4.0000000000000001E-3</c:v>
                </c:pt>
                <c:pt idx="6">
                  <c:v>3.49</c:v>
                </c:pt>
                <c:pt idx="7">
                  <c:v>0.8</c:v>
                </c:pt>
                <c:pt idx="8">
                  <c:v>0.3</c:v>
                </c:pt>
                <c:pt idx="9">
                  <c:v>0.8</c:v>
                </c:pt>
                <c:pt idx="10">
                  <c:v>26.1</c:v>
                </c:pt>
                <c:pt idx="11">
                  <c:v>26.9</c:v>
                </c:pt>
                <c:pt idx="12">
                  <c:v>7.63</c:v>
                </c:pt>
                <c:pt idx="13">
                  <c:v>2.16</c:v>
                </c:pt>
                <c:pt idx="14">
                  <c:v>6.94</c:v>
                </c:pt>
                <c:pt idx="15">
                  <c:v>3.53</c:v>
                </c:pt>
                <c:pt idx="16">
                  <c:v>2.12</c:v>
                </c:pt>
                <c:pt idx="17">
                  <c:v>2.61</c:v>
                </c:pt>
                <c:pt idx="18">
                  <c:v>1.5</c:v>
                </c:pt>
                <c:pt idx="19">
                  <c:v>7.26</c:v>
                </c:pt>
                <c:pt idx="20">
                  <c:v>2.35</c:v>
                </c:pt>
                <c:pt idx="21">
                  <c:v>5.51</c:v>
                </c:pt>
                <c:pt idx="22">
                  <c:v>2.11</c:v>
                </c:pt>
                <c:pt idx="23">
                  <c:v>4.29</c:v>
                </c:pt>
                <c:pt idx="24">
                  <c:v>1.41</c:v>
                </c:pt>
              </c:numCache>
            </c:numRef>
          </c:xVal>
          <c:yVal>
            <c:numRef>
              <c:f>(сводная!$P$101:$P$103,сводная!$M$104:$M$125)</c:f>
              <c:numCache>
                <c:formatCode>0.0</c:formatCode>
                <c:ptCount val="25"/>
                <c:pt idx="0">
                  <c:v>264.96481</c:v>
                </c:pt>
                <c:pt idx="1">
                  <c:v>300.87180000000001</c:v>
                </c:pt>
                <c:pt idx="2">
                  <c:v>478.37594999999999</c:v>
                </c:pt>
                <c:pt idx="3">
                  <c:v>144.30153000000001</c:v>
                </c:pt>
                <c:pt idx="4">
                  <c:v>424.62540000000001</c:v>
                </c:pt>
                <c:pt idx="5">
                  <c:v>163.23137</c:v>
                </c:pt>
                <c:pt idx="6">
                  <c:v>484.51812999999999</c:v>
                </c:pt>
                <c:pt idx="7">
                  <c:v>65.214805999999996</c:v>
                </c:pt>
                <c:pt idx="8">
                  <c:v>415.99957000000001</c:v>
                </c:pt>
                <c:pt idx="9">
                  <c:v>436.78552000000002</c:v>
                </c:pt>
                <c:pt idx="10">
                  <c:v>583.23401000000001</c:v>
                </c:pt>
                <c:pt idx="11">
                  <c:v>386.18018000000001</c:v>
                </c:pt>
                <c:pt idx="12">
                  <c:v>353.07672000000002</c:v>
                </c:pt>
                <c:pt idx="13">
                  <c:v>512.42034999999998</c:v>
                </c:pt>
                <c:pt idx="14">
                  <c:v>547.03778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752-BA9F-89654F00A06F}"/>
            </c:ext>
          </c:extLst>
        </c:ser>
        <c:ser>
          <c:idx val="1"/>
          <c:order val="1"/>
          <c:tx>
            <c:v>3.б</c:v>
          </c:tx>
          <c:spPr>
            <a:ln w="28575">
              <a:noFill/>
            </a:ln>
          </c:spPr>
          <c:xVal>
            <c:numRef>
              <c:f>сводная!$H$126:$H$170</c:f>
              <c:numCache>
                <c:formatCode>General</c:formatCode>
                <c:ptCount val="45"/>
                <c:pt idx="0">
                  <c:v>0.48</c:v>
                </c:pt>
                <c:pt idx="1">
                  <c:v>0.8</c:v>
                </c:pt>
                <c:pt idx="2">
                  <c:v>0.36</c:v>
                </c:pt>
                <c:pt idx="3">
                  <c:v>1.1200000000000001</c:v>
                </c:pt>
                <c:pt idx="4">
                  <c:v>5.35</c:v>
                </c:pt>
                <c:pt idx="5">
                  <c:v>0.15</c:v>
                </c:pt>
                <c:pt idx="6">
                  <c:v>0.15</c:v>
                </c:pt>
                <c:pt idx="7">
                  <c:v>0.11</c:v>
                </c:pt>
                <c:pt idx="8">
                  <c:v>0.52</c:v>
                </c:pt>
                <c:pt idx="9" formatCode="0.00">
                  <c:v>4.96</c:v>
                </c:pt>
                <c:pt idx="10">
                  <c:v>1.68</c:v>
                </c:pt>
                <c:pt idx="11">
                  <c:v>0.57999999999999996</c:v>
                </c:pt>
                <c:pt idx="12">
                  <c:v>0.12</c:v>
                </c:pt>
                <c:pt idx="13">
                  <c:v>0.51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0.12</c:v>
                </c:pt>
                <c:pt idx="17">
                  <c:v>3.16</c:v>
                </c:pt>
                <c:pt idx="18">
                  <c:v>0.04</c:v>
                </c:pt>
                <c:pt idx="19">
                  <c:v>0.08</c:v>
                </c:pt>
                <c:pt idx="20">
                  <c:v>0.96</c:v>
                </c:pt>
                <c:pt idx="21">
                  <c:v>1.34</c:v>
                </c:pt>
                <c:pt idx="22">
                  <c:v>12.82</c:v>
                </c:pt>
                <c:pt idx="23">
                  <c:v>0.02</c:v>
                </c:pt>
                <c:pt idx="24">
                  <c:v>0.04</c:v>
                </c:pt>
                <c:pt idx="25">
                  <c:v>1.45</c:v>
                </c:pt>
                <c:pt idx="26">
                  <c:v>0.08</c:v>
                </c:pt>
                <c:pt idx="27">
                  <c:v>0.5</c:v>
                </c:pt>
                <c:pt idx="28">
                  <c:v>0.7</c:v>
                </c:pt>
                <c:pt idx="29">
                  <c:v>0.09</c:v>
                </c:pt>
                <c:pt idx="30">
                  <c:v>6.32</c:v>
                </c:pt>
                <c:pt idx="31">
                  <c:v>2.2400000000000002</c:v>
                </c:pt>
                <c:pt idx="32">
                  <c:v>0.8</c:v>
                </c:pt>
                <c:pt idx="33">
                  <c:v>0.12</c:v>
                </c:pt>
                <c:pt idx="34">
                  <c:v>0.4</c:v>
                </c:pt>
                <c:pt idx="35">
                  <c:v>0.3</c:v>
                </c:pt>
                <c:pt idx="36">
                  <c:v>0.08</c:v>
                </c:pt>
                <c:pt idx="37">
                  <c:v>0.08</c:v>
                </c:pt>
                <c:pt idx="38">
                  <c:v>1.19</c:v>
                </c:pt>
                <c:pt idx="39">
                  <c:v>0.09</c:v>
                </c:pt>
                <c:pt idx="40">
                  <c:v>0.09</c:v>
                </c:pt>
                <c:pt idx="41">
                  <c:v>2.65</c:v>
                </c:pt>
                <c:pt idx="42">
                  <c:v>7.0000000000000007E-2</c:v>
                </c:pt>
                <c:pt idx="43">
                  <c:v>1.83</c:v>
                </c:pt>
                <c:pt idx="44">
                  <c:v>22.3</c:v>
                </c:pt>
              </c:numCache>
            </c:numRef>
          </c:xVal>
          <c:yVal>
            <c:numRef>
              <c:f>(сводная!$P$126:$P$142,сводная!$M$143:$M$151,сводная!$P$152:$P$170)</c:f>
              <c:numCache>
                <c:formatCode>0.0</c:formatCode>
                <c:ptCount val="45"/>
                <c:pt idx="0">
                  <c:v>94.444603000000001</c:v>
                </c:pt>
                <c:pt idx="1">
                  <c:v>64.917465000000007</c:v>
                </c:pt>
                <c:pt idx="2">
                  <c:v>226.48626999999999</c:v>
                </c:pt>
                <c:pt idx="3">
                  <c:v>270.99074999999999</c:v>
                </c:pt>
                <c:pt idx="4">
                  <c:v>502.83514000000002</c:v>
                </c:pt>
                <c:pt idx="5">
                  <c:v>44.648215999999998</c:v>
                </c:pt>
                <c:pt idx="6">
                  <c:v>36.702179000000001</c:v>
                </c:pt>
                <c:pt idx="7">
                  <c:v>160.79427999999999</c:v>
                </c:pt>
                <c:pt idx="8">
                  <c:v>348.06598000000002</c:v>
                </c:pt>
                <c:pt idx="9">
                  <c:v>25.586041999999999</c:v>
                </c:pt>
                <c:pt idx="10">
                  <c:v>268.09467000000001</c:v>
                </c:pt>
                <c:pt idx="11">
                  <c:v>43.958683000000001</c:v>
                </c:pt>
                <c:pt idx="12">
                  <c:v>108.38057999999999</c:v>
                </c:pt>
                <c:pt idx="13">
                  <c:v>104.45041999999999</c:v>
                </c:pt>
                <c:pt idx="14">
                  <c:v>286.09500000000003</c:v>
                </c:pt>
                <c:pt idx="15">
                  <c:v>389.17606000000001</c:v>
                </c:pt>
                <c:pt idx="16">
                  <c:v>342.52258</c:v>
                </c:pt>
                <c:pt idx="17" formatCode="General">
                  <c:v>18.607669999999999</c:v>
                </c:pt>
                <c:pt idx="18">
                  <c:v>253.00603000000001</c:v>
                </c:pt>
                <c:pt idx="19">
                  <c:v>310.06195000000002</c:v>
                </c:pt>
                <c:pt idx="20">
                  <c:v>287.29381999999998</c:v>
                </c:pt>
                <c:pt idx="21">
                  <c:v>195.58072999999999</c:v>
                </c:pt>
                <c:pt idx="22">
                  <c:v>358.77981999999997</c:v>
                </c:pt>
                <c:pt idx="23">
                  <c:v>61.344166000000001</c:v>
                </c:pt>
                <c:pt idx="24">
                  <c:v>160.33739</c:v>
                </c:pt>
                <c:pt idx="25">
                  <c:v>183.84282999999999</c:v>
                </c:pt>
                <c:pt idx="26">
                  <c:v>193.30526499999999</c:v>
                </c:pt>
                <c:pt idx="27">
                  <c:v>274.77186799999998</c:v>
                </c:pt>
                <c:pt idx="28">
                  <c:v>264.78734100000003</c:v>
                </c:pt>
                <c:pt idx="29">
                  <c:v>39.285352000000003</c:v>
                </c:pt>
                <c:pt idx="30">
                  <c:v>222.48879299999999</c:v>
                </c:pt>
                <c:pt idx="31">
                  <c:v>179.24102500000001</c:v>
                </c:pt>
                <c:pt idx="32">
                  <c:v>155.62742399999999</c:v>
                </c:pt>
                <c:pt idx="33">
                  <c:v>71.921025999999998</c:v>
                </c:pt>
                <c:pt idx="34">
                  <c:v>88.584515999999994</c:v>
                </c:pt>
                <c:pt idx="35">
                  <c:v>110.73337600000001</c:v>
                </c:pt>
                <c:pt idx="36">
                  <c:v>81.089218000000002</c:v>
                </c:pt>
                <c:pt idx="37">
                  <c:v>30.496582</c:v>
                </c:pt>
                <c:pt idx="38">
                  <c:v>95.443675999999996</c:v>
                </c:pt>
                <c:pt idx="39">
                  <c:v>76.380883999999995</c:v>
                </c:pt>
                <c:pt idx="40">
                  <c:v>45.281148999999999</c:v>
                </c:pt>
                <c:pt idx="41">
                  <c:v>246.75898599999999</c:v>
                </c:pt>
                <c:pt idx="42">
                  <c:v>108.543091</c:v>
                </c:pt>
                <c:pt idx="43">
                  <c:v>238.86350300000001</c:v>
                </c:pt>
                <c:pt idx="44">
                  <c:v>301.03063500000002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752-BA9F-89654F00A06F}"/>
            </c:ext>
          </c:extLst>
        </c:ser>
        <c:ser>
          <c:idx val="2"/>
          <c:order val="2"/>
          <c:tx>
            <c:v>4</c:v>
          </c:tx>
          <c:spPr>
            <a:ln w="28575">
              <a:noFill/>
            </a:ln>
          </c:spPr>
          <c:xVal>
            <c:numRef>
              <c:f>сводная!$H$171:$H$248</c:f>
              <c:numCache>
                <c:formatCode>General</c:formatCode>
                <c:ptCount val="78"/>
                <c:pt idx="0">
                  <c:v>1.6</c:v>
                </c:pt>
                <c:pt idx="1">
                  <c:v>0.14000000000000001</c:v>
                </c:pt>
                <c:pt idx="2">
                  <c:v>0.84</c:v>
                </c:pt>
                <c:pt idx="3">
                  <c:v>0.19</c:v>
                </c:pt>
                <c:pt idx="4">
                  <c:v>0.04</c:v>
                </c:pt>
                <c:pt idx="5">
                  <c:v>0.34</c:v>
                </c:pt>
                <c:pt idx="6">
                  <c:v>0.1</c:v>
                </c:pt>
                <c:pt idx="7">
                  <c:v>0.08</c:v>
                </c:pt>
                <c:pt idx="8">
                  <c:v>0.15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0.2</c:v>
                </c:pt>
                <c:pt idx="13">
                  <c:v>0.96</c:v>
                </c:pt>
                <c:pt idx="14">
                  <c:v>0.2</c:v>
                </c:pt>
                <c:pt idx="15">
                  <c:v>0.06</c:v>
                </c:pt>
                <c:pt idx="16">
                  <c:v>0.25</c:v>
                </c:pt>
                <c:pt idx="17">
                  <c:v>0.41</c:v>
                </c:pt>
                <c:pt idx="18">
                  <c:v>0.45</c:v>
                </c:pt>
                <c:pt idx="19">
                  <c:v>0.78</c:v>
                </c:pt>
                <c:pt idx="20">
                  <c:v>0.39</c:v>
                </c:pt>
                <c:pt idx="21">
                  <c:v>0.14000000000000001</c:v>
                </c:pt>
                <c:pt idx="22">
                  <c:v>0.8</c:v>
                </c:pt>
                <c:pt idx="23">
                  <c:v>0.09</c:v>
                </c:pt>
                <c:pt idx="24">
                  <c:v>0.27</c:v>
                </c:pt>
                <c:pt idx="25">
                  <c:v>0.09</c:v>
                </c:pt>
                <c:pt idx="26">
                  <c:v>0.31</c:v>
                </c:pt>
                <c:pt idx="27">
                  <c:v>0.22</c:v>
                </c:pt>
                <c:pt idx="28">
                  <c:v>0.26</c:v>
                </c:pt>
                <c:pt idx="29">
                  <c:v>0.37</c:v>
                </c:pt>
                <c:pt idx="30">
                  <c:v>0.35</c:v>
                </c:pt>
                <c:pt idx="31">
                  <c:v>0.18</c:v>
                </c:pt>
                <c:pt idx="32">
                  <c:v>0.36</c:v>
                </c:pt>
                <c:pt idx="33">
                  <c:v>0.99</c:v>
                </c:pt>
                <c:pt idx="34">
                  <c:v>0.16</c:v>
                </c:pt>
                <c:pt idx="35">
                  <c:v>0.1</c:v>
                </c:pt>
                <c:pt idx="36">
                  <c:v>15.3</c:v>
                </c:pt>
                <c:pt idx="37">
                  <c:v>0.7</c:v>
                </c:pt>
                <c:pt idx="38">
                  <c:v>0.11</c:v>
                </c:pt>
                <c:pt idx="39">
                  <c:v>0.2</c:v>
                </c:pt>
                <c:pt idx="40">
                  <c:v>10</c:v>
                </c:pt>
                <c:pt idx="41">
                  <c:v>1.65</c:v>
                </c:pt>
                <c:pt idx="42">
                  <c:v>0.15</c:v>
                </c:pt>
                <c:pt idx="43">
                  <c:v>1.35</c:v>
                </c:pt>
                <c:pt idx="44">
                  <c:v>0.31</c:v>
                </c:pt>
                <c:pt idx="45">
                  <c:v>0.36</c:v>
                </c:pt>
                <c:pt idx="46">
                  <c:v>0.4</c:v>
                </c:pt>
                <c:pt idx="47">
                  <c:v>21.3</c:v>
                </c:pt>
                <c:pt idx="48">
                  <c:v>2.84</c:v>
                </c:pt>
                <c:pt idx="49">
                  <c:v>0.12</c:v>
                </c:pt>
                <c:pt idx="50">
                  <c:v>1.08</c:v>
                </c:pt>
                <c:pt idx="51">
                  <c:v>0.78</c:v>
                </c:pt>
                <c:pt idx="52">
                  <c:v>3.29</c:v>
                </c:pt>
                <c:pt idx="53">
                  <c:v>1E-3</c:v>
                </c:pt>
                <c:pt idx="54">
                  <c:v>0.1</c:v>
                </c:pt>
                <c:pt idx="55">
                  <c:v>1.26</c:v>
                </c:pt>
                <c:pt idx="56">
                  <c:v>0.03</c:v>
                </c:pt>
                <c:pt idx="57">
                  <c:v>0.4</c:v>
                </c:pt>
                <c:pt idx="58">
                  <c:v>0.08</c:v>
                </c:pt>
                <c:pt idx="59">
                  <c:v>0.2</c:v>
                </c:pt>
                <c:pt idx="60">
                  <c:v>0.05</c:v>
                </c:pt>
                <c:pt idx="61">
                  <c:v>0.3</c:v>
                </c:pt>
                <c:pt idx="62">
                  <c:v>0.2</c:v>
                </c:pt>
                <c:pt idx="63">
                  <c:v>0.47</c:v>
                </c:pt>
                <c:pt idx="64">
                  <c:v>0.24</c:v>
                </c:pt>
                <c:pt idx="65">
                  <c:v>0.04</c:v>
                </c:pt>
                <c:pt idx="66">
                  <c:v>0.09</c:v>
                </c:pt>
                <c:pt idx="67">
                  <c:v>0.15</c:v>
                </c:pt>
                <c:pt idx="68">
                  <c:v>0.8</c:v>
                </c:pt>
                <c:pt idx="69">
                  <c:v>0.36</c:v>
                </c:pt>
                <c:pt idx="70">
                  <c:v>0.96</c:v>
                </c:pt>
                <c:pt idx="71">
                  <c:v>0.02</c:v>
                </c:pt>
                <c:pt idx="72">
                  <c:v>0.6</c:v>
                </c:pt>
                <c:pt idx="73">
                  <c:v>0.27</c:v>
                </c:pt>
                <c:pt idx="74">
                  <c:v>0.17</c:v>
                </c:pt>
                <c:pt idx="75">
                  <c:v>0.38</c:v>
                </c:pt>
                <c:pt idx="76">
                  <c:v>1.34</c:v>
                </c:pt>
                <c:pt idx="77">
                  <c:v>1.46</c:v>
                </c:pt>
              </c:numCache>
            </c:numRef>
          </c:xVal>
          <c:yVal>
            <c:numRef>
              <c:f>(сводная!$P$171:$P$218,сводная!$M$219:$M$226,сводная!$P$227:$P$248)</c:f>
              <c:numCache>
                <c:formatCode>0.0</c:formatCode>
                <c:ptCount val="78"/>
                <c:pt idx="0">
                  <c:v>43.258324000000002</c:v>
                </c:pt>
                <c:pt idx="1">
                  <c:v>123.67586</c:v>
                </c:pt>
                <c:pt idx="2">
                  <c:v>124.39761</c:v>
                </c:pt>
                <c:pt idx="3">
                  <c:v>138.66721999999999</c:v>
                </c:pt>
                <c:pt idx="4">
                  <c:v>34.693053999999997</c:v>
                </c:pt>
                <c:pt idx="5">
                  <c:v>139.75513000000001</c:v>
                </c:pt>
                <c:pt idx="6">
                  <c:v>47.363384000000003</c:v>
                </c:pt>
                <c:pt idx="7">
                  <c:v>73.297721999999993</c:v>
                </c:pt>
                <c:pt idx="8">
                  <c:v>220.89398</c:v>
                </c:pt>
                <c:pt idx="9">
                  <c:v>129.32964999999999</c:v>
                </c:pt>
                <c:pt idx="10">
                  <c:v>200.24701999999999</c:v>
                </c:pt>
                <c:pt idx="11">
                  <c:v>161.78917999999999</c:v>
                </c:pt>
                <c:pt idx="12">
                  <c:v>127.07743000000001</c:v>
                </c:pt>
                <c:pt idx="13">
                  <c:v>208.25101000000001</c:v>
                </c:pt>
                <c:pt idx="14">
                  <c:v>43.246268999999998</c:v>
                </c:pt>
                <c:pt idx="15">
                  <c:v>58.538986000000001</c:v>
                </c:pt>
                <c:pt idx="16">
                  <c:v>127.25613</c:v>
                </c:pt>
                <c:pt idx="17">
                  <c:v>148.41295</c:v>
                </c:pt>
                <c:pt idx="18">
                  <c:v>129.07491999999999</c:v>
                </c:pt>
                <c:pt idx="19">
                  <c:v>134.70197999999999</c:v>
                </c:pt>
                <c:pt idx="20">
                  <c:v>79.252540999999994</c:v>
                </c:pt>
                <c:pt idx="21">
                  <c:v>21.199954999999999</c:v>
                </c:pt>
                <c:pt idx="22">
                  <c:v>25.741747</c:v>
                </c:pt>
                <c:pt idx="23">
                  <c:v>16.330750999999999</c:v>
                </c:pt>
                <c:pt idx="24">
                  <c:v>15.894334000000001</c:v>
                </c:pt>
                <c:pt idx="25">
                  <c:v>11.745145000000001</c:v>
                </c:pt>
                <c:pt idx="26">
                  <c:v>80.496764999999996</c:v>
                </c:pt>
                <c:pt idx="27">
                  <c:v>66.833977000000004</c:v>
                </c:pt>
                <c:pt idx="28">
                  <c:v>115.35550000000001</c:v>
                </c:pt>
                <c:pt idx="29">
                  <c:v>87.992241000000007</c:v>
                </c:pt>
                <c:pt idx="30">
                  <c:v>135.14265</c:v>
                </c:pt>
                <c:pt idx="31">
                  <c:v>293.66000000000003</c:v>
                </c:pt>
                <c:pt idx="32">
                  <c:v>376.22185999999999</c:v>
                </c:pt>
                <c:pt idx="33" formatCode="General">
                  <c:v>80.997230999999999</c:v>
                </c:pt>
                <c:pt idx="34" formatCode="General">
                  <c:v>82.166770999999997</c:v>
                </c:pt>
                <c:pt idx="35" formatCode="General">
                  <c:v>63.036762000000003</c:v>
                </c:pt>
                <c:pt idx="36" formatCode="General">
                  <c:v>34.478855000000003</c:v>
                </c:pt>
                <c:pt idx="37" formatCode="General">
                  <c:v>59.569515000000003</c:v>
                </c:pt>
                <c:pt idx="38" formatCode="General">
                  <c:v>80.412621000000001</c:v>
                </c:pt>
                <c:pt idx="39" formatCode="General">
                  <c:v>74.069205999999994</c:v>
                </c:pt>
                <c:pt idx="40" formatCode="General">
                  <c:v>53.479922999999999</c:v>
                </c:pt>
                <c:pt idx="41" formatCode="General">
                  <c:v>79.984024000000005</c:v>
                </c:pt>
                <c:pt idx="42" formatCode="General">
                  <c:v>52.216121999999999</c:v>
                </c:pt>
                <c:pt idx="43" formatCode="General">
                  <c:v>87.012092999999993</c:v>
                </c:pt>
                <c:pt idx="44" formatCode="General">
                  <c:v>75.017066999999997</c:v>
                </c:pt>
                <c:pt idx="45" formatCode="General">
                  <c:v>16.847584000000001</c:v>
                </c:pt>
                <c:pt idx="46" formatCode="General">
                  <c:v>12.252231999999999</c:v>
                </c:pt>
                <c:pt idx="47" formatCode="General">
                  <c:v>18.316212</c:v>
                </c:pt>
                <c:pt idx="48" formatCode="General">
                  <c:v>22.643899999999999</c:v>
                </c:pt>
                <c:pt idx="49" formatCode="General">
                  <c:v>17.778780000000001</c:v>
                </c:pt>
                <c:pt idx="50" formatCode="General">
                  <c:v>20.646225000000001</c:v>
                </c:pt>
                <c:pt idx="51" formatCode="General">
                  <c:v>20.269680000000001</c:v>
                </c:pt>
                <c:pt idx="52">
                  <c:v>334.05939000000001</c:v>
                </c:pt>
                <c:pt idx="53">
                  <c:v>45.338146000000002</c:v>
                </c:pt>
                <c:pt idx="54">
                  <c:v>324.14861999999999</c:v>
                </c:pt>
                <c:pt idx="55">
                  <c:v>129.74805000000001</c:v>
                </c:pt>
                <c:pt idx="56">
                  <c:v>78.202296000000004</c:v>
                </c:pt>
                <c:pt idx="57">
                  <c:v>32.749234000000001</c:v>
                </c:pt>
                <c:pt idx="58">
                  <c:v>28.499879</c:v>
                </c:pt>
                <c:pt idx="59">
                  <c:v>38.188183000000002</c:v>
                </c:pt>
                <c:pt idx="60">
                  <c:v>102.36349</c:v>
                </c:pt>
                <c:pt idx="61">
                  <c:v>61.178730999999999</c:v>
                </c:pt>
                <c:pt idx="62">
                  <c:v>67.541664999999995</c:v>
                </c:pt>
                <c:pt idx="63">
                  <c:v>67.741039000000001</c:v>
                </c:pt>
                <c:pt idx="64">
                  <c:v>43.895879999999998</c:v>
                </c:pt>
                <c:pt idx="65">
                  <c:v>42.295904999999998</c:v>
                </c:pt>
                <c:pt idx="66">
                  <c:v>46.831904999999999</c:v>
                </c:pt>
                <c:pt idx="67">
                  <c:v>74.162807000000001</c:v>
                </c:pt>
                <c:pt idx="68">
                  <c:v>34.730908999999997</c:v>
                </c:pt>
                <c:pt idx="69">
                  <c:v>35.630220999999999</c:v>
                </c:pt>
                <c:pt idx="70">
                  <c:v>23.339506</c:v>
                </c:pt>
                <c:pt idx="71">
                  <c:v>84.116960000000006</c:v>
                </c:pt>
                <c:pt idx="72">
                  <c:v>40.296591999999997</c:v>
                </c:pt>
                <c:pt idx="73">
                  <c:v>65.702352000000005</c:v>
                </c:pt>
                <c:pt idx="74">
                  <c:v>93.097547000000006</c:v>
                </c:pt>
                <c:pt idx="75">
                  <c:v>231.637573</c:v>
                </c:pt>
                <c:pt idx="76">
                  <c:v>271.13024899999999</c:v>
                </c:pt>
                <c:pt idx="77">
                  <c:v>218.96164899999999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752-BA9F-89654F00A06F}"/>
            </c:ext>
          </c:extLst>
        </c:ser>
        <c:ser>
          <c:idx val="3"/>
          <c:order val="3"/>
          <c:tx>
            <c:v>5.а</c:v>
          </c:tx>
          <c:spPr>
            <a:ln w="28575">
              <a:noFill/>
            </a:ln>
          </c:spPr>
          <c:xVal>
            <c:numRef>
              <c:f>сводная!$H$249:$H$300</c:f>
              <c:numCache>
                <c:formatCode>General</c:formatCode>
                <c:ptCount val="52"/>
                <c:pt idx="0">
                  <c:v>1.0900000000000001</c:v>
                </c:pt>
                <c:pt idx="1">
                  <c:v>2.44</c:v>
                </c:pt>
                <c:pt idx="2">
                  <c:v>0.37</c:v>
                </c:pt>
                <c:pt idx="3">
                  <c:v>0.2</c:v>
                </c:pt>
                <c:pt idx="4">
                  <c:v>1.21</c:v>
                </c:pt>
                <c:pt idx="5">
                  <c:v>4.49</c:v>
                </c:pt>
                <c:pt idx="6">
                  <c:v>1.1399999999999999</c:v>
                </c:pt>
                <c:pt idx="7">
                  <c:v>1.25</c:v>
                </c:pt>
                <c:pt idx="8">
                  <c:v>0.36</c:v>
                </c:pt>
                <c:pt idx="9">
                  <c:v>5.0599999999999996</c:v>
                </c:pt>
                <c:pt idx="10">
                  <c:v>2.29</c:v>
                </c:pt>
                <c:pt idx="11">
                  <c:v>0.91</c:v>
                </c:pt>
                <c:pt idx="12">
                  <c:v>0.4</c:v>
                </c:pt>
                <c:pt idx="13">
                  <c:v>0.25</c:v>
                </c:pt>
                <c:pt idx="14">
                  <c:v>6.9</c:v>
                </c:pt>
                <c:pt idx="15">
                  <c:v>7.72</c:v>
                </c:pt>
                <c:pt idx="16">
                  <c:v>10.6</c:v>
                </c:pt>
                <c:pt idx="17">
                  <c:v>6.86</c:v>
                </c:pt>
                <c:pt idx="18">
                  <c:v>0.98</c:v>
                </c:pt>
                <c:pt idx="19">
                  <c:v>0.05</c:v>
                </c:pt>
                <c:pt idx="20">
                  <c:v>0.26</c:v>
                </c:pt>
                <c:pt idx="21">
                  <c:v>1.98</c:v>
                </c:pt>
                <c:pt idx="22">
                  <c:v>0.6</c:v>
                </c:pt>
                <c:pt idx="23">
                  <c:v>0.28999999999999998</c:v>
                </c:pt>
                <c:pt idx="24">
                  <c:v>0.83</c:v>
                </c:pt>
                <c:pt idx="25">
                  <c:v>0.56999999999999995</c:v>
                </c:pt>
                <c:pt idx="26">
                  <c:v>3.54</c:v>
                </c:pt>
                <c:pt idx="27">
                  <c:v>6.63</c:v>
                </c:pt>
                <c:pt idx="28">
                  <c:v>1.31</c:v>
                </c:pt>
                <c:pt idx="29">
                  <c:v>13.01</c:v>
                </c:pt>
                <c:pt idx="30">
                  <c:v>1.43</c:v>
                </c:pt>
                <c:pt idx="31">
                  <c:v>0.4</c:v>
                </c:pt>
                <c:pt idx="32">
                  <c:v>0.14000000000000001</c:v>
                </c:pt>
                <c:pt idx="33">
                  <c:v>0.61</c:v>
                </c:pt>
                <c:pt idx="34">
                  <c:v>0.78</c:v>
                </c:pt>
                <c:pt idx="35">
                  <c:v>0.15</c:v>
                </c:pt>
                <c:pt idx="36">
                  <c:v>0.51</c:v>
                </c:pt>
                <c:pt idx="37">
                  <c:v>7.0000000000000007E-2</c:v>
                </c:pt>
                <c:pt idx="38">
                  <c:v>0.4</c:v>
                </c:pt>
                <c:pt idx="39">
                  <c:v>2.11</c:v>
                </c:pt>
                <c:pt idx="40">
                  <c:v>8.15</c:v>
                </c:pt>
                <c:pt idx="41">
                  <c:v>2.83</c:v>
                </c:pt>
                <c:pt idx="42">
                  <c:v>2.16</c:v>
                </c:pt>
                <c:pt idx="43">
                  <c:v>2.34</c:v>
                </c:pt>
                <c:pt idx="44">
                  <c:v>0.72</c:v>
                </c:pt>
                <c:pt idx="45">
                  <c:v>0.47</c:v>
                </c:pt>
                <c:pt idx="46">
                  <c:v>0.28999999999999998</c:v>
                </c:pt>
                <c:pt idx="47">
                  <c:v>2.33</c:v>
                </c:pt>
                <c:pt idx="48">
                  <c:v>3.21</c:v>
                </c:pt>
                <c:pt idx="49">
                  <c:v>2.97</c:v>
                </c:pt>
                <c:pt idx="50">
                  <c:v>0.37</c:v>
                </c:pt>
                <c:pt idx="51">
                  <c:v>0.08</c:v>
                </c:pt>
              </c:numCache>
            </c:numRef>
          </c:xVal>
          <c:yVal>
            <c:numRef>
              <c:f>(сводная!$M$249:$M$296,сводная!$P$297:$P$300)</c:f>
              <c:numCache>
                <c:formatCode>0.0</c:formatCode>
                <c:ptCount val="52"/>
                <c:pt idx="0">
                  <c:v>72.367767000000001</c:v>
                </c:pt>
                <c:pt idx="1">
                  <c:v>108.31609</c:v>
                </c:pt>
                <c:pt idx="2">
                  <c:v>42.535248000000003</c:v>
                </c:pt>
                <c:pt idx="3">
                  <c:v>30.567046999999999</c:v>
                </c:pt>
                <c:pt idx="4">
                  <c:v>98.340362999999996</c:v>
                </c:pt>
                <c:pt idx="5">
                  <c:v>64.314186000000007</c:v>
                </c:pt>
                <c:pt idx="6">
                  <c:v>235.05208999999999</c:v>
                </c:pt>
                <c:pt idx="7">
                  <c:v>424.53424000000001</c:v>
                </c:pt>
                <c:pt idx="8">
                  <c:v>367.52352999999999</c:v>
                </c:pt>
                <c:pt idx="9">
                  <c:v>466.70102000000003</c:v>
                </c:pt>
                <c:pt idx="10">
                  <c:v>382.09942999999998</c:v>
                </c:pt>
                <c:pt idx="11">
                  <c:v>281.14269999999999</c:v>
                </c:pt>
                <c:pt idx="12">
                  <c:v>258.59859999999998</c:v>
                </c:pt>
                <c:pt idx="13">
                  <c:v>248.05275</c:v>
                </c:pt>
                <c:pt idx="14">
                  <c:v>224.47441000000001</c:v>
                </c:pt>
                <c:pt idx="15">
                  <c:v>174.07714999999999</c:v>
                </c:pt>
                <c:pt idx="16">
                  <c:v>411.73482999999999</c:v>
                </c:pt>
                <c:pt idx="17">
                  <c:v>310.49380000000002</c:v>
                </c:pt>
                <c:pt idx="18">
                  <c:v>392.69033999999999</c:v>
                </c:pt>
                <c:pt idx="19">
                  <c:v>76.388717999999997</c:v>
                </c:pt>
                <c:pt idx="20">
                  <c:v>446.70546999999999</c:v>
                </c:pt>
                <c:pt idx="21" formatCode="General">
                  <c:v>24.461714000000001</c:v>
                </c:pt>
                <c:pt idx="22" formatCode="General">
                  <c:v>24.920131999999999</c:v>
                </c:pt>
                <c:pt idx="23" formatCode="General">
                  <c:v>24.209755000000001</c:v>
                </c:pt>
                <c:pt idx="24" formatCode="General">
                  <c:v>24.166508</c:v>
                </c:pt>
                <c:pt idx="25" formatCode="General">
                  <c:v>24.266504000000001</c:v>
                </c:pt>
                <c:pt idx="26" formatCode="General">
                  <c:v>21.977195999999999</c:v>
                </c:pt>
                <c:pt idx="27" formatCode="General">
                  <c:v>14.833228999999999</c:v>
                </c:pt>
                <c:pt idx="28" formatCode="General">
                  <c:v>32.480365999999997</c:v>
                </c:pt>
                <c:pt idx="29" formatCode="General">
                  <c:v>23.698629</c:v>
                </c:pt>
                <c:pt idx="30" formatCode="General">
                  <c:v>21.371382000000001</c:v>
                </c:pt>
                <c:pt idx="31">
                  <c:v>269.08710000000002</c:v>
                </c:pt>
                <c:pt idx="32">
                  <c:v>552.93597</c:v>
                </c:pt>
                <c:pt idx="33">
                  <c:v>383.03516000000002</c:v>
                </c:pt>
                <c:pt idx="34">
                  <c:v>371.44225999999998</c:v>
                </c:pt>
                <c:pt idx="35">
                  <c:v>334.13126</c:v>
                </c:pt>
                <c:pt idx="36">
                  <c:v>384.45177999999999</c:v>
                </c:pt>
                <c:pt idx="37">
                  <c:v>360.56198000000001</c:v>
                </c:pt>
                <c:pt idx="38">
                  <c:v>463.83118000000002</c:v>
                </c:pt>
                <c:pt idx="39">
                  <c:v>522.72277999999994</c:v>
                </c:pt>
                <c:pt idx="40">
                  <c:v>50.545493999999998</c:v>
                </c:pt>
                <c:pt idx="41">
                  <c:v>402.57272</c:v>
                </c:pt>
                <c:pt idx="42">
                  <c:v>105.98251</c:v>
                </c:pt>
                <c:pt idx="43">
                  <c:v>403.34460000000001</c:v>
                </c:pt>
                <c:pt idx="44">
                  <c:v>458.26013</c:v>
                </c:pt>
                <c:pt idx="45">
                  <c:v>345.60663</c:v>
                </c:pt>
                <c:pt idx="46">
                  <c:v>248.0712</c:v>
                </c:pt>
                <c:pt idx="47">
                  <c:v>396.21001999999999</c:v>
                </c:pt>
                <c:pt idx="48">
                  <c:v>420.39972999999998</c:v>
                </c:pt>
                <c:pt idx="49">
                  <c:v>363.68708900000001</c:v>
                </c:pt>
                <c:pt idx="50">
                  <c:v>452.61878899999999</c:v>
                </c:pt>
                <c:pt idx="51">
                  <c:v>147.66294400000001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752-BA9F-89654F00A06F}"/>
            </c:ext>
          </c:extLst>
        </c:ser>
        <c:ser>
          <c:idx val="4"/>
          <c:order val="4"/>
          <c:tx>
            <c:v>5.б</c:v>
          </c:tx>
          <c:spPr>
            <a:ln w="28575">
              <a:noFill/>
            </a:ln>
          </c:spPr>
          <c:xVal>
            <c:numRef>
              <c:f>сводная!$H$301:$H$323</c:f>
              <c:numCache>
                <c:formatCode>General</c:formatCode>
                <c:ptCount val="23"/>
                <c:pt idx="0">
                  <c:v>0.61</c:v>
                </c:pt>
                <c:pt idx="1">
                  <c:v>0.85</c:v>
                </c:pt>
                <c:pt idx="2">
                  <c:v>1.1399999999999999</c:v>
                </c:pt>
                <c:pt idx="3">
                  <c:v>1.52</c:v>
                </c:pt>
                <c:pt idx="4">
                  <c:v>4.45</c:v>
                </c:pt>
                <c:pt idx="5">
                  <c:v>7.2</c:v>
                </c:pt>
                <c:pt idx="6">
                  <c:v>10.8</c:v>
                </c:pt>
                <c:pt idx="7">
                  <c:v>8</c:v>
                </c:pt>
                <c:pt idx="8">
                  <c:v>9</c:v>
                </c:pt>
                <c:pt idx="9">
                  <c:v>6.14</c:v>
                </c:pt>
                <c:pt idx="10">
                  <c:v>0.9</c:v>
                </c:pt>
                <c:pt idx="11">
                  <c:v>0.62</c:v>
                </c:pt>
                <c:pt idx="12">
                  <c:v>2.76</c:v>
                </c:pt>
                <c:pt idx="13">
                  <c:v>0.42</c:v>
                </c:pt>
                <c:pt idx="14">
                  <c:v>0.6</c:v>
                </c:pt>
                <c:pt idx="15">
                  <c:v>0.51</c:v>
                </c:pt>
                <c:pt idx="16">
                  <c:v>0.35</c:v>
                </c:pt>
                <c:pt idx="17">
                  <c:v>0.04</c:v>
                </c:pt>
                <c:pt idx="18">
                  <c:v>1.27</c:v>
                </c:pt>
                <c:pt idx="19">
                  <c:v>4.18</c:v>
                </c:pt>
                <c:pt idx="20">
                  <c:v>0.6</c:v>
                </c:pt>
                <c:pt idx="21">
                  <c:v>0.5</c:v>
                </c:pt>
                <c:pt idx="22">
                  <c:v>1.86</c:v>
                </c:pt>
              </c:numCache>
            </c:numRef>
          </c:xVal>
          <c:yVal>
            <c:numRef>
              <c:f>(сводная!$P$301:$P$314,сводная!$M$314:$M$322,сводная!$P$323)</c:f>
              <c:numCache>
                <c:formatCode>0.0</c:formatCode>
                <c:ptCount val="24"/>
                <c:pt idx="0">
                  <c:v>279.34014999999999</c:v>
                </c:pt>
                <c:pt idx="1">
                  <c:v>199.61165</c:v>
                </c:pt>
                <c:pt idx="2">
                  <c:v>56.420608999999999</c:v>
                </c:pt>
                <c:pt idx="3">
                  <c:v>195.00695999999999</c:v>
                </c:pt>
                <c:pt idx="4">
                  <c:v>259.63979999999998</c:v>
                </c:pt>
                <c:pt idx="5">
                  <c:v>14.506384000000001</c:v>
                </c:pt>
                <c:pt idx="6">
                  <c:v>160.44461000000001</c:v>
                </c:pt>
                <c:pt idx="7">
                  <c:v>26.771529999999998</c:v>
                </c:pt>
                <c:pt idx="8">
                  <c:v>343.38900999999998</c:v>
                </c:pt>
                <c:pt idx="9">
                  <c:v>120.02699</c:v>
                </c:pt>
                <c:pt idx="10">
                  <c:v>172.10812000000001</c:v>
                </c:pt>
                <c:pt idx="11" formatCode="General">
                  <c:v>12.610567</c:v>
                </c:pt>
                <c:pt idx="12" formatCode="General">
                  <c:v>13.547857</c:v>
                </c:pt>
                <c:pt idx="13" formatCode="General">
                  <c:v>21.408170999999999</c:v>
                </c:pt>
                <c:pt idx="14" formatCode="General">
                  <c:v>28.055468000000001</c:v>
                </c:pt>
                <c:pt idx="15">
                  <c:v>276.70190000000002</c:v>
                </c:pt>
                <c:pt idx="16">
                  <c:v>272.33206000000001</c:v>
                </c:pt>
                <c:pt idx="17">
                  <c:v>348.29825</c:v>
                </c:pt>
                <c:pt idx="18">
                  <c:v>308.58377000000002</c:v>
                </c:pt>
                <c:pt idx="19">
                  <c:v>285.50229000000002</c:v>
                </c:pt>
                <c:pt idx="20">
                  <c:v>476.86353000000003</c:v>
                </c:pt>
                <c:pt idx="21">
                  <c:v>351.73232999999999</c:v>
                </c:pt>
                <c:pt idx="22">
                  <c:v>207.27019000000001</c:v>
                </c:pt>
                <c:pt idx="23">
                  <c:v>429.28711099999998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752-BA9F-89654F00A06F}"/>
            </c:ext>
          </c:extLst>
        </c:ser>
        <c:ser>
          <c:idx val="5"/>
          <c:order val="5"/>
          <c:tx>
            <c:v>5.в</c:v>
          </c:tx>
          <c:spPr>
            <a:ln w="28575">
              <a:noFill/>
            </a:ln>
          </c:spPr>
          <c:xVal>
            <c:numRef>
              <c:f>сводная!$H$324:$H$362</c:f>
              <c:numCache>
                <c:formatCode>General</c:formatCode>
                <c:ptCount val="39"/>
                <c:pt idx="0">
                  <c:v>0.98</c:v>
                </c:pt>
                <c:pt idx="1">
                  <c:v>0.23</c:v>
                </c:pt>
                <c:pt idx="2">
                  <c:v>0.12</c:v>
                </c:pt>
                <c:pt idx="3">
                  <c:v>0.64</c:v>
                </c:pt>
                <c:pt idx="4">
                  <c:v>0.13</c:v>
                </c:pt>
                <c:pt idx="5">
                  <c:v>8.48</c:v>
                </c:pt>
                <c:pt idx="6">
                  <c:v>0.35</c:v>
                </c:pt>
                <c:pt idx="7">
                  <c:v>0.85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1.36</c:v>
                </c:pt>
                <c:pt idx="13">
                  <c:v>4.87</c:v>
                </c:pt>
                <c:pt idx="14">
                  <c:v>0.4</c:v>
                </c:pt>
                <c:pt idx="15">
                  <c:v>0.25</c:v>
                </c:pt>
                <c:pt idx="16">
                  <c:v>0.6</c:v>
                </c:pt>
                <c:pt idx="17">
                  <c:v>8.0000000000000002E-3</c:v>
                </c:pt>
                <c:pt idx="18">
                  <c:v>7.0000000000000007E-2</c:v>
                </c:pt>
                <c:pt idx="19">
                  <c:v>0.87</c:v>
                </c:pt>
                <c:pt idx="20">
                  <c:v>8.2899999999999991</c:v>
                </c:pt>
                <c:pt idx="21">
                  <c:v>2.92</c:v>
                </c:pt>
                <c:pt idx="22">
                  <c:v>0.5</c:v>
                </c:pt>
                <c:pt idx="23">
                  <c:v>2.65</c:v>
                </c:pt>
                <c:pt idx="24">
                  <c:v>0.1</c:v>
                </c:pt>
                <c:pt idx="25">
                  <c:v>18.489999999999998</c:v>
                </c:pt>
                <c:pt idx="26">
                  <c:v>3.36</c:v>
                </c:pt>
                <c:pt idx="27">
                  <c:v>0.4</c:v>
                </c:pt>
                <c:pt idx="28">
                  <c:v>0.21</c:v>
                </c:pt>
                <c:pt idx="29">
                  <c:v>0.12</c:v>
                </c:pt>
                <c:pt idx="30">
                  <c:v>7.07</c:v>
                </c:pt>
                <c:pt idx="31">
                  <c:v>0.32</c:v>
                </c:pt>
                <c:pt idx="32">
                  <c:v>0.35</c:v>
                </c:pt>
                <c:pt idx="33">
                  <c:v>0.28000000000000003</c:v>
                </c:pt>
                <c:pt idx="34">
                  <c:v>0.03</c:v>
                </c:pt>
                <c:pt idx="35">
                  <c:v>0.09</c:v>
                </c:pt>
                <c:pt idx="36">
                  <c:v>0.23</c:v>
                </c:pt>
                <c:pt idx="37">
                  <c:v>0.11</c:v>
                </c:pt>
                <c:pt idx="38">
                  <c:v>1.58</c:v>
                </c:pt>
              </c:numCache>
            </c:numRef>
          </c:xVal>
          <c:yVal>
            <c:numRef>
              <c:f>(сводная!$P$324:$P$339,сводная!$M$340:$M$354,сводная!$P$355:$P$362)</c:f>
              <c:numCache>
                <c:formatCode>0.0</c:formatCode>
                <c:ptCount val="39"/>
                <c:pt idx="0">
                  <c:v>56.872256999999998</c:v>
                </c:pt>
                <c:pt idx="1">
                  <c:v>37.430720999999998</c:v>
                </c:pt>
                <c:pt idx="2">
                  <c:v>87.074005</c:v>
                </c:pt>
                <c:pt idx="3">
                  <c:v>396.96355999999997</c:v>
                </c:pt>
                <c:pt idx="4">
                  <c:v>209.89343</c:v>
                </c:pt>
                <c:pt idx="5">
                  <c:v>427.92214999999999</c:v>
                </c:pt>
                <c:pt idx="6">
                  <c:v>128.80452</c:v>
                </c:pt>
                <c:pt idx="7">
                  <c:v>54.124682999999997</c:v>
                </c:pt>
                <c:pt idx="8">
                  <c:v>13.392823</c:v>
                </c:pt>
                <c:pt idx="9">
                  <c:v>44.118637</c:v>
                </c:pt>
                <c:pt idx="10">
                  <c:v>108.97960999999999</c:v>
                </c:pt>
                <c:pt idx="11">
                  <c:v>396.78314</c:v>
                </c:pt>
                <c:pt idx="12">
                  <c:v>145.40758</c:v>
                </c:pt>
                <c:pt idx="13">
                  <c:v>206.48652999999999</c:v>
                </c:pt>
                <c:pt idx="14" formatCode="General">
                  <c:v>22.652536000000001</c:v>
                </c:pt>
                <c:pt idx="15" formatCode="General">
                  <c:v>11.76085</c:v>
                </c:pt>
                <c:pt idx="16" formatCode="General">
                  <c:v>16.115203999999999</c:v>
                </c:pt>
                <c:pt idx="17">
                  <c:v>189.68485999999999</c:v>
                </c:pt>
                <c:pt idx="18">
                  <c:v>354.23145</c:v>
                </c:pt>
                <c:pt idx="19">
                  <c:v>242.47497999999999</c:v>
                </c:pt>
                <c:pt idx="20">
                  <c:v>487.67621000000003</c:v>
                </c:pt>
                <c:pt idx="21">
                  <c:v>251.75993</c:v>
                </c:pt>
                <c:pt idx="22">
                  <c:v>99.257103000000001</c:v>
                </c:pt>
                <c:pt idx="23">
                  <c:v>247.37137000000001</c:v>
                </c:pt>
                <c:pt idx="24">
                  <c:v>34.913333999999999</c:v>
                </c:pt>
                <c:pt idx="25">
                  <c:v>507.64458999999999</c:v>
                </c:pt>
                <c:pt idx="26">
                  <c:v>305.38632000000001</c:v>
                </c:pt>
                <c:pt idx="27">
                  <c:v>228.00197</c:v>
                </c:pt>
                <c:pt idx="28">
                  <c:v>180.69456</c:v>
                </c:pt>
                <c:pt idx="29">
                  <c:v>119.13014</c:v>
                </c:pt>
                <c:pt idx="30">
                  <c:v>301.34206999999998</c:v>
                </c:pt>
                <c:pt idx="31">
                  <c:v>185.25347400000001</c:v>
                </c:pt>
                <c:pt idx="32">
                  <c:v>275.71651800000001</c:v>
                </c:pt>
                <c:pt idx="33">
                  <c:v>230.99331100000001</c:v>
                </c:pt>
                <c:pt idx="34">
                  <c:v>203.542236</c:v>
                </c:pt>
                <c:pt idx="35">
                  <c:v>183.94003699999999</c:v>
                </c:pt>
                <c:pt idx="36">
                  <c:v>215.19459599999999</c:v>
                </c:pt>
                <c:pt idx="37">
                  <c:v>235.96125900000001</c:v>
                </c:pt>
                <c:pt idx="38">
                  <c:v>258.70097399999997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752-BA9F-89654F00A06F}"/>
            </c:ext>
          </c:extLst>
        </c:ser>
        <c:ser>
          <c:idx val="6"/>
          <c:order val="6"/>
          <c:tx>
            <c:v>6</c:v>
          </c:tx>
          <c:spPr>
            <a:ln w="28575">
              <a:noFill/>
            </a:ln>
          </c:spPr>
          <c:xVal>
            <c:numRef>
              <c:f>сводная!$H$363:$H$371</c:f>
              <c:numCache>
                <c:formatCode>General</c:formatCode>
                <c:ptCount val="9"/>
                <c:pt idx="0">
                  <c:v>13.25</c:v>
                </c:pt>
                <c:pt idx="1">
                  <c:v>1.59</c:v>
                </c:pt>
                <c:pt idx="2">
                  <c:v>0.4</c:v>
                </c:pt>
                <c:pt idx="3">
                  <c:v>0.2</c:v>
                </c:pt>
                <c:pt idx="4">
                  <c:v>1.86</c:v>
                </c:pt>
                <c:pt idx="5">
                  <c:v>0.7</c:v>
                </c:pt>
                <c:pt idx="6">
                  <c:v>0.13</c:v>
                </c:pt>
                <c:pt idx="7">
                  <c:v>4.3899999999999997</c:v>
                </c:pt>
                <c:pt idx="8">
                  <c:v>0.2</c:v>
                </c:pt>
              </c:numCache>
            </c:numRef>
          </c:xVal>
          <c:yVal>
            <c:numRef>
              <c:f>(сводная!$P$363,сводная!$O$363:$O$365,сводная!$P$366:$P$371)</c:f>
              <c:numCache>
                <c:formatCode>0.00</c:formatCode>
                <c:ptCount val="10"/>
                <c:pt idx="0" formatCode="0.0">
                  <c:v>233.41238000000001</c:v>
                </c:pt>
                <c:pt idx="1">
                  <c:v>0.32711282409248765</c:v>
                </c:pt>
                <c:pt idx="2" formatCode="0.000">
                  <c:v>0.1593656137389127</c:v>
                </c:pt>
                <c:pt idx="3" formatCode="0.000">
                  <c:v>0.11143260013012621</c:v>
                </c:pt>
                <c:pt idx="4" formatCode="0.0">
                  <c:v>60.29374</c:v>
                </c:pt>
                <c:pt idx="5" formatCode="0.0">
                  <c:v>140.21834699999999</c:v>
                </c:pt>
                <c:pt idx="6" formatCode="0.0">
                  <c:v>122.03979699999999</c:v>
                </c:pt>
                <c:pt idx="7" formatCode="0.0">
                  <c:v>114.110102</c:v>
                </c:pt>
                <c:pt idx="8" formatCode="0.0">
                  <c:v>101.318725</c:v>
                </c:pt>
                <c:pt idx="9" formatCode="0.0">
                  <c:v>80.011747999999997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B1-4752-BA9F-89654F00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1808"/>
        <c:axId val="1"/>
      </c:scatterChart>
      <c:valAx>
        <c:axId val="3762618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 дельты, км2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средняя высота водосбора, м</a:t>
                </a:r>
              </a:p>
            </c:rich>
          </c:tx>
          <c:layout>
            <c:manualLayout>
              <c:xMode val="edge"/>
              <c:yMode val="edge"/>
              <c:x val="1.0729418626593245E-2"/>
              <c:y val="0.25046421061612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76261808"/>
        <c:crosses val="autoZero"/>
        <c:crossBetween val="midCat"/>
        <c:majorUnit val="100"/>
        <c:minorUnit val="100"/>
      </c:valAx>
    </c:plotArea>
    <c:legend>
      <c:legendPos val="r"/>
      <c:layout>
        <c:manualLayout>
          <c:xMode val="edge"/>
          <c:yMode val="edge"/>
          <c:x val="0.92320408752694727"/>
          <c:y val="0.28878281622911695"/>
          <c:w val="6.3725591882391047E-2"/>
          <c:h val="0.400954653937947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/>
              <a:t>Зависимость площади дельты от уклона водосбора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9424581496690894E-2"/>
          <c:y val="0.14988868634857397"/>
          <c:w val="0.8333062912590472"/>
          <c:h val="0.6945317873451976"/>
        </c:manualLayout>
      </c:layout>
      <c:scatterChart>
        <c:scatterStyle val="lineMarker"/>
        <c:varyColors val="0"/>
        <c:ser>
          <c:idx val="0"/>
          <c:order val="0"/>
          <c:tx>
            <c:v>3.а</c:v>
          </c:tx>
          <c:spPr>
            <a:ln w="28575">
              <a:noFill/>
            </a:ln>
          </c:spPr>
          <c:xVal>
            <c:numRef>
              <c:f>сводная!$H$101:$H$125</c:f>
              <c:numCache>
                <c:formatCode>General</c:formatCode>
                <c:ptCount val="25"/>
                <c:pt idx="0">
                  <c:v>0.52</c:v>
                </c:pt>
                <c:pt idx="1">
                  <c:v>0.48</c:v>
                </c:pt>
                <c:pt idx="2">
                  <c:v>0.34</c:v>
                </c:pt>
                <c:pt idx="3">
                  <c:v>4.72</c:v>
                </c:pt>
                <c:pt idx="4">
                  <c:v>3.16</c:v>
                </c:pt>
                <c:pt idx="5">
                  <c:v>4.0000000000000001E-3</c:v>
                </c:pt>
                <c:pt idx="6">
                  <c:v>3.49</c:v>
                </c:pt>
                <c:pt idx="7">
                  <c:v>0.8</c:v>
                </c:pt>
                <c:pt idx="8">
                  <c:v>0.3</c:v>
                </c:pt>
                <c:pt idx="9">
                  <c:v>0.8</c:v>
                </c:pt>
                <c:pt idx="10">
                  <c:v>26.1</c:v>
                </c:pt>
                <c:pt idx="11">
                  <c:v>26.9</c:v>
                </c:pt>
                <c:pt idx="12">
                  <c:v>7.63</c:v>
                </c:pt>
                <c:pt idx="13">
                  <c:v>2.16</c:v>
                </c:pt>
                <c:pt idx="14">
                  <c:v>6.94</c:v>
                </c:pt>
                <c:pt idx="15">
                  <c:v>3.53</c:v>
                </c:pt>
                <c:pt idx="16">
                  <c:v>2.12</c:v>
                </c:pt>
                <c:pt idx="17">
                  <c:v>2.61</c:v>
                </c:pt>
                <c:pt idx="18">
                  <c:v>1.5</c:v>
                </c:pt>
                <c:pt idx="19">
                  <c:v>7.26</c:v>
                </c:pt>
                <c:pt idx="20">
                  <c:v>2.35</c:v>
                </c:pt>
                <c:pt idx="21">
                  <c:v>5.51</c:v>
                </c:pt>
                <c:pt idx="22">
                  <c:v>2.11</c:v>
                </c:pt>
                <c:pt idx="23">
                  <c:v>4.29</c:v>
                </c:pt>
                <c:pt idx="24">
                  <c:v>1.41</c:v>
                </c:pt>
              </c:numCache>
            </c:numRef>
          </c:xVal>
          <c:yVal>
            <c:numRef>
              <c:f>(сводная!$R$101:$R$103,сводная!$O$104:$O$115,сводная!$R$116:$R$125)</c:f>
              <c:numCache>
                <c:formatCode>0.00</c:formatCode>
                <c:ptCount val="25"/>
                <c:pt idx="0">
                  <c:v>0.28370878341261779</c:v>
                </c:pt>
                <c:pt idx="1">
                  <c:v>0.36171711630491954</c:v>
                </c:pt>
                <c:pt idx="2">
                  <c:v>0.36861850877001678</c:v>
                </c:pt>
                <c:pt idx="3" formatCode="0.000">
                  <c:v>2.2631370975052913E-3</c:v>
                </c:pt>
                <c:pt idx="4" formatCode="0.000">
                  <c:v>0.23261694586261875</c:v>
                </c:pt>
                <c:pt idx="5" formatCode="0.000">
                  <c:v>7.2344948415099669E-2</c:v>
                </c:pt>
                <c:pt idx="6" formatCode="0.000">
                  <c:v>0.11571415196564959</c:v>
                </c:pt>
                <c:pt idx="7" formatCode="0.000">
                  <c:v>3.5050293324838003E-3</c:v>
                </c:pt>
                <c:pt idx="8" formatCode="0.000">
                  <c:v>5.0091783910681878E-2</c:v>
                </c:pt>
                <c:pt idx="9" formatCode="0.000">
                  <c:v>0.20406011751257613</c:v>
                </c:pt>
                <c:pt idx="10" formatCode="0.000">
                  <c:v>5.9168699157191402E-3</c:v>
                </c:pt>
                <c:pt idx="11" formatCode="0.000">
                  <c:v>0.20098431339039571</c:v>
                </c:pt>
                <c:pt idx="12" formatCode="0.000">
                  <c:v>0.16315513997163608</c:v>
                </c:pt>
                <c:pt idx="13" formatCode="0.000">
                  <c:v>6.339779695510972E-2</c:v>
                </c:pt>
                <c:pt idx="14" formatCode="0.000">
                  <c:v>4.4660399604274155E-2</c:v>
                </c:pt>
                <c:pt idx="15" formatCode="0.000">
                  <c:v>0.30688729395739556</c:v>
                </c:pt>
                <c:pt idx="16" formatCode="0.000">
                  <c:v>0.26065016585609208</c:v>
                </c:pt>
                <c:pt idx="17" formatCode="0.000">
                  <c:v>0.25407423877952651</c:v>
                </c:pt>
                <c:pt idx="18" formatCode="0.000">
                  <c:v>0.23077900775766746</c:v>
                </c:pt>
                <c:pt idx="19" formatCode="0.000">
                  <c:v>0.27585567360930185</c:v>
                </c:pt>
                <c:pt idx="20" formatCode="0.000">
                  <c:v>0.29301476835143853</c:v>
                </c:pt>
                <c:pt idx="21" formatCode="0.000">
                  <c:v>0.31139830738098756</c:v>
                </c:pt>
                <c:pt idx="22" formatCode="0.000">
                  <c:v>0.30632157700029528</c:v>
                </c:pt>
                <c:pt idx="23" formatCode="0.000">
                  <c:v>0.27731542869974257</c:v>
                </c:pt>
                <c:pt idx="24" formatCode="0.000">
                  <c:v>0.30200337233974806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5-4E81-988E-F435B18902A9}"/>
            </c:ext>
          </c:extLst>
        </c:ser>
        <c:ser>
          <c:idx val="1"/>
          <c:order val="1"/>
          <c:tx>
            <c:v>3.б</c:v>
          </c:tx>
          <c:spPr>
            <a:ln w="28575">
              <a:noFill/>
            </a:ln>
          </c:spPr>
          <c:xVal>
            <c:numRef>
              <c:f>сводная!$H$126:$H$170</c:f>
              <c:numCache>
                <c:formatCode>General</c:formatCode>
                <c:ptCount val="45"/>
                <c:pt idx="0">
                  <c:v>0.48</c:v>
                </c:pt>
                <c:pt idx="1">
                  <c:v>0.8</c:v>
                </c:pt>
                <c:pt idx="2">
                  <c:v>0.36</c:v>
                </c:pt>
                <c:pt idx="3">
                  <c:v>1.1200000000000001</c:v>
                </c:pt>
                <c:pt idx="4">
                  <c:v>5.35</c:v>
                </c:pt>
                <c:pt idx="5">
                  <c:v>0.15</c:v>
                </c:pt>
                <c:pt idx="6">
                  <c:v>0.15</c:v>
                </c:pt>
                <c:pt idx="7">
                  <c:v>0.11</c:v>
                </c:pt>
                <c:pt idx="8">
                  <c:v>0.52</c:v>
                </c:pt>
                <c:pt idx="9" formatCode="0.00">
                  <c:v>4.96</c:v>
                </c:pt>
                <c:pt idx="10">
                  <c:v>1.68</c:v>
                </c:pt>
                <c:pt idx="11">
                  <c:v>0.57999999999999996</c:v>
                </c:pt>
                <c:pt idx="12">
                  <c:v>0.12</c:v>
                </c:pt>
                <c:pt idx="13">
                  <c:v>0.51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0.12</c:v>
                </c:pt>
                <c:pt idx="17">
                  <c:v>3.16</c:v>
                </c:pt>
                <c:pt idx="18">
                  <c:v>0.04</c:v>
                </c:pt>
                <c:pt idx="19">
                  <c:v>0.08</c:v>
                </c:pt>
                <c:pt idx="20">
                  <c:v>0.96</c:v>
                </c:pt>
                <c:pt idx="21">
                  <c:v>1.34</c:v>
                </c:pt>
                <c:pt idx="22">
                  <c:v>12.82</c:v>
                </c:pt>
                <c:pt idx="23">
                  <c:v>0.02</c:v>
                </c:pt>
                <c:pt idx="24">
                  <c:v>0.04</c:v>
                </c:pt>
                <c:pt idx="25">
                  <c:v>1.45</c:v>
                </c:pt>
                <c:pt idx="26">
                  <c:v>0.08</c:v>
                </c:pt>
                <c:pt idx="27">
                  <c:v>0.5</c:v>
                </c:pt>
                <c:pt idx="28">
                  <c:v>0.7</c:v>
                </c:pt>
                <c:pt idx="29">
                  <c:v>0.09</c:v>
                </c:pt>
                <c:pt idx="30">
                  <c:v>6.32</c:v>
                </c:pt>
                <c:pt idx="31">
                  <c:v>2.2400000000000002</c:v>
                </c:pt>
                <c:pt idx="32">
                  <c:v>0.8</c:v>
                </c:pt>
                <c:pt idx="33">
                  <c:v>0.12</c:v>
                </c:pt>
                <c:pt idx="34">
                  <c:v>0.4</c:v>
                </c:pt>
                <c:pt idx="35">
                  <c:v>0.3</c:v>
                </c:pt>
                <c:pt idx="36">
                  <c:v>0.08</c:v>
                </c:pt>
                <c:pt idx="37">
                  <c:v>0.08</c:v>
                </c:pt>
                <c:pt idx="38">
                  <c:v>1.19</c:v>
                </c:pt>
                <c:pt idx="39">
                  <c:v>0.09</c:v>
                </c:pt>
                <c:pt idx="40">
                  <c:v>0.09</c:v>
                </c:pt>
                <c:pt idx="41">
                  <c:v>2.65</c:v>
                </c:pt>
                <c:pt idx="42">
                  <c:v>7.0000000000000007E-2</c:v>
                </c:pt>
                <c:pt idx="43">
                  <c:v>1.83</c:v>
                </c:pt>
                <c:pt idx="44">
                  <c:v>22.3</c:v>
                </c:pt>
              </c:numCache>
            </c:numRef>
          </c:xVal>
          <c:yVal>
            <c:numRef>
              <c:f>(сводная!$R$126:$R$142,сводная!$O$143:$O$151,сводная!$R$152:$R$170)</c:f>
              <c:numCache>
                <c:formatCode>0.00</c:formatCode>
                <c:ptCount val="45"/>
                <c:pt idx="0">
                  <c:v>0.348996420082829</c:v>
                </c:pt>
                <c:pt idx="1">
                  <c:v>0.19813455940431729</c:v>
                </c:pt>
                <c:pt idx="2">
                  <c:v>0.32326175212272462</c:v>
                </c:pt>
                <c:pt idx="3">
                  <c:v>0.38215122406028368</c:v>
                </c:pt>
                <c:pt idx="4">
                  <c:v>0.42761504855239291</c:v>
                </c:pt>
                <c:pt idx="5">
                  <c:v>0.33845141716072019</c:v>
                </c:pt>
                <c:pt idx="6">
                  <c:v>0.1291711684966653</c:v>
                </c:pt>
                <c:pt idx="7">
                  <c:v>0.20212365277406219</c:v>
                </c:pt>
                <c:pt idx="8">
                  <c:v>0.37459712642514303</c:v>
                </c:pt>
                <c:pt idx="9">
                  <c:v>0.16249057160347391</c:v>
                </c:pt>
                <c:pt idx="10">
                  <c:v>0.27079358794686498</c:v>
                </c:pt>
                <c:pt idx="11">
                  <c:v>0.20494535831627869</c:v>
                </c:pt>
                <c:pt idx="12">
                  <c:v>0.20341343624698197</c:v>
                </c:pt>
                <c:pt idx="13">
                  <c:v>0.20130802353801297</c:v>
                </c:pt>
                <c:pt idx="14">
                  <c:v>0.31454654706114177</c:v>
                </c:pt>
                <c:pt idx="15">
                  <c:v>0.28235599454291921</c:v>
                </c:pt>
                <c:pt idx="16">
                  <c:v>0.31219851846776675</c:v>
                </c:pt>
                <c:pt idx="17" formatCode="General">
                  <c:v>4.7867244227238849E-2</c:v>
                </c:pt>
                <c:pt idx="18" formatCode="0.000">
                  <c:v>0.10831963395749557</c:v>
                </c:pt>
                <c:pt idx="19" formatCode="0.000">
                  <c:v>6.5074613579083354E-2</c:v>
                </c:pt>
                <c:pt idx="20" formatCode="0.000">
                  <c:v>0.10103258582436693</c:v>
                </c:pt>
                <c:pt idx="21" formatCode="0.000">
                  <c:v>7.6369273584642572E-2</c:v>
                </c:pt>
                <c:pt idx="22" formatCode="0.000">
                  <c:v>0.12540132702145096</c:v>
                </c:pt>
                <c:pt idx="23" formatCode="0.000">
                  <c:v>9.6892692018322735E-3</c:v>
                </c:pt>
                <c:pt idx="24" formatCode="0.000">
                  <c:v>3.322869792455916E-2</c:v>
                </c:pt>
                <c:pt idx="25" formatCode="0.000">
                  <c:v>5.1383557171405456E-2</c:v>
                </c:pt>
                <c:pt idx="26" formatCode="0.000">
                  <c:v>0.20021843730303573</c:v>
                </c:pt>
                <c:pt idx="27" formatCode="0.000">
                  <c:v>0.22047245499570103</c:v>
                </c:pt>
                <c:pt idx="28" formatCode="0.000">
                  <c:v>0.24052559509797547</c:v>
                </c:pt>
                <c:pt idx="29" formatCode="0.000">
                  <c:v>0.11975850117900158</c:v>
                </c:pt>
                <c:pt idx="30" formatCode="0.000">
                  <c:v>0.22427605425197725</c:v>
                </c:pt>
                <c:pt idx="31" formatCode="0.000">
                  <c:v>0.22308748294030004</c:v>
                </c:pt>
                <c:pt idx="32" formatCode="0.000">
                  <c:v>0.15584226104781382</c:v>
                </c:pt>
                <c:pt idx="33" formatCode="0.000">
                  <c:v>0.12809070872243569</c:v>
                </c:pt>
                <c:pt idx="34" formatCode="0.000">
                  <c:v>0.12986702062945729</c:v>
                </c:pt>
                <c:pt idx="35" formatCode="0.000">
                  <c:v>0.12545553093386477</c:v>
                </c:pt>
                <c:pt idx="36" formatCode="0.000">
                  <c:v>0.1110115545989767</c:v>
                </c:pt>
                <c:pt idx="37" formatCode="0.000">
                  <c:v>9.748980966988767E-2</c:v>
                </c:pt>
                <c:pt idx="38" formatCode="0.000">
                  <c:v>0.13961634157503733</c:v>
                </c:pt>
                <c:pt idx="39" formatCode="0.000">
                  <c:v>0.14941450164305919</c:v>
                </c:pt>
                <c:pt idx="40" formatCode="0.000">
                  <c:v>0.17508510284812959</c:v>
                </c:pt>
                <c:pt idx="41" formatCode="0.000">
                  <c:v>0.20197022151279154</c:v>
                </c:pt>
                <c:pt idx="42" formatCode="0.000">
                  <c:v>0.1374454131937449</c:v>
                </c:pt>
                <c:pt idx="43" formatCode="0.000">
                  <c:v>0.20244884888905332</c:v>
                </c:pt>
                <c:pt idx="44" formatCode="0.000">
                  <c:v>0.30627030997467503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5-4E81-988E-F435B18902A9}"/>
            </c:ext>
          </c:extLst>
        </c:ser>
        <c:ser>
          <c:idx val="2"/>
          <c:order val="2"/>
          <c:tx>
            <c:v>4</c:v>
          </c:tx>
          <c:spPr>
            <a:ln w="28575">
              <a:noFill/>
            </a:ln>
          </c:spPr>
          <c:xVal>
            <c:numRef>
              <c:f>сводная!$H$171:$H$248</c:f>
              <c:numCache>
                <c:formatCode>General</c:formatCode>
                <c:ptCount val="78"/>
                <c:pt idx="0">
                  <c:v>1.6</c:v>
                </c:pt>
                <c:pt idx="1">
                  <c:v>0.14000000000000001</c:v>
                </c:pt>
                <c:pt idx="2">
                  <c:v>0.84</c:v>
                </c:pt>
                <c:pt idx="3">
                  <c:v>0.19</c:v>
                </c:pt>
                <c:pt idx="4">
                  <c:v>0.04</c:v>
                </c:pt>
                <c:pt idx="5">
                  <c:v>0.34</c:v>
                </c:pt>
                <c:pt idx="6">
                  <c:v>0.1</c:v>
                </c:pt>
                <c:pt idx="7">
                  <c:v>0.08</c:v>
                </c:pt>
                <c:pt idx="8">
                  <c:v>0.15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0.2</c:v>
                </c:pt>
                <c:pt idx="13">
                  <c:v>0.96</c:v>
                </c:pt>
                <c:pt idx="14">
                  <c:v>0.2</c:v>
                </c:pt>
                <c:pt idx="15">
                  <c:v>0.06</c:v>
                </c:pt>
                <c:pt idx="16">
                  <c:v>0.25</c:v>
                </c:pt>
                <c:pt idx="17">
                  <c:v>0.41</c:v>
                </c:pt>
                <c:pt idx="18">
                  <c:v>0.45</c:v>
                </c:pt>
                <c:pt idx="19">
                  <c:v>0.78</c:v>
                </c:pt>
                <c:pt idx="20">
                  <c:v>0.39</c:v>
                </c:pt>
                <c:pt idx="21">
                  <c:v>0.14000000000000001</c:v>
                </c:pt>
                <c:pt idx="22">
                  <c:v>0.8</c:v>
                </c:pt>
                <c:pt idx="23">
                  <c:v>0.09</c:v>
                </c:pt>
                <c:pt idx="24">
                  <c:v>0.27</c:v>
                </c:pt>
                <c:pt idx="25">
                  <c:v>0.09</c:v>
                </c:pt>
                <c:pt idx="26">
                  <c:v>0.31</c:v>
                </c:pt>
                <c:pt idx="27">
                  <c:v>0.22</c:v>
                </c:pt>
                <c:pt idx="28">
                  <c:v>0.26</c:v>
                </c:pt>
                <c:pt idx="29">
                  <c:v>0.37</c:v>
                </c:pt>
                <c:pt idx="30">
                  <c:v>0.35</c:v>
                </c:pt>
                <c:pt idx="31">
                  <c:v>0.18</c:v>
                </c:pt>
                <c:pt idx="32">
                  <c:v>0.36</c:v>
                </c:pt>
                <c:pt idx="33">
                  <c:v>0.99</c:v>
                </c:pt>
                <c:pt idx="34">
                  <c:v>0.16</c:v>
                </c:pt>
                <c:pt idx="35">
                  <c:v>0.1</c:v>
                </c:pt>
                <c:pt idx="36">
                  <c:v>15.3</c:v>
                </c:pt>
                <c:pt idx="37">
                  <c:v>0.7</c:v>
                </c:pt>
                <c:pt idx="38">
                  <c:v>0.11</c:v>
                </c:pt>
                <c:pt idx="39">
                  <c:v>0.2</c:v>
                </c:pt>
                <c:pt idx="40">
                  <c:v>10</c:v>
                </c:pt>
                <c:pt idx="41">
                  <c:v>1.65</c:v>
                </c:pt>
                <c:pt idx="42">
                  <c:v>0.15</c:v>
                </c:pt>
                <c:pt idx="43">
                  <c:v>1.35</c:v>
                </c:pt>
                <c:pt idx="44">
                  <c:v>0.31</c:v>
                </c:pt>
                <c:pt idx="45">
                  <c:v>0.36</c:v>
                </c:pt>
                <c:pt idx="46">
                  <c:v>0.4</c:v>
                </c:pt>
                <c:pt idx="47">
                  <c:v>21.3</c:v>
                </c:pt>
                <c:pt idx="48">
                  <c:v>2.84</c:v>
                </c:pt>
                <c:pt idx="49">
                  <c:v>0.12</c:v>
                </c:pt>
                <c:pt idx="50">
                  <c:v>1.08</c:v>
                </c:pt>
                <c:pt idx="51">
                  <c:v>0.78</c:v>
                </c:pt>
                <c:pt idx="52">
                  <c:v>3.29</c:v>
                </c:pt>
                <c:pt idx="53">
                  <c:v>1E-3</c:v>
                </c:pt>
                <c:pt idx="54">
                  <c:v>0.1</c:v>
                </c:pt>
                <c:pt idx="55">
                  <c:v>1.26</c:v>
                </c:pt>
                <c:pt idx="56">
                  <c:v>0.03</c:v>
                </c:pt>
                <c:pt idx="57">
                  <c:v>0.4</c:v>
                </c:pt>
                <c:pt idx="58">
                  <c:v>0.08</c:v>
                </c:pt>
                <c:pt idx="59">
                  <c:v>0.2</c:v>
                </c:pt>
                <c:pt idx="60">
                  <c:v>0.05</c:v>
                </c:pt>
                <c:pt idx="61">
                  <c:v>0.3</c:v>
                </c:pt>
                <c:pt idx="62">
                  <c:v>0.2</c:v>
                </c:pt>
                <c:pt idx="63">
                  <c:v>0.47</c:v>
                </c:pt>
                <c:pt idx="64">
                  <c:v>0.24</c:v>
                </c:pt>
                <c:pt idx="65">
                  <c:v>0.04</c:v>
                </c:pt>
                <c:pt idx="66">
                  <c:v>0.09</c:v>
                </c:pt>
                <c:pt idx="67">
                  <c:v>0.15</c:v>
                </c:pt>
                <c:pt idx="68">
                  <c:v>0.8</c:v>
                </c:pt>
                <c:pt idx="69">
                  <c:v>0.36</c:v>
                </c:pt>
                <c:pt idx="70">
                  <c:v>0.96</c:v>
                </c:pt>
                <c:pt idx="71">
                  <c:v>0.02</c:v>
                </c:pt>
                <c:pt idx="72">
                  <c:v>0.6</c:v>
                </c:pt>
                <c:pt idx="73">
                  <c:v>0.27</c:v>
                </c:pt>
                <c:pt idx="74">
                  <c:v>0.17</c:v>
                </c:pt>
                <c:pt idx="75">
                  <c:v>0.38</c:v>
                </c:pt>
                <c:pt idx="76">
                  <c:v>1.34</c:v>
                </c:pt>
                <c:pt idx="77">
                  <c:v>1.46</c:v>
                </c:pt>
              </c:numCache>
            </c:numRef>
          </c:xVal>
          <c:yVal>
            <c:numRef>
              <c:f>(сводная!$R$171:$R$218,сводная!$O$219:$O$226,сводная!$R$227:$R$248)</c:f>
              <c:numCache>
                <c:formatCode>0.00</c:formatCode>
                <c:ptCount val="78"/>
                <c:pt idx="0">
                  <c:v>0.20963602553382385</c:v>
                </c:pt>
                <c:pt idx="1">
                  <c:v>0.34200718078182035</c:v>
                </c:pt>
                <c:pt idx="2">
                  <c:v>0.26135843834359829</c:v>
                </c:pt>
                <c:pt idx="3">
                  <c:v>0.22269642742247411</c:v>
                </c:pt>
                <c:pt idx="4">
                  <c:v>0.19796398440638793</c:v>
                </c:pt>
                <c:pt idx="5">
                  <c:v>0.22735327800432717</c:v>
                </c:pt>
                <c:pt idx="6">
                  <c:v>0.1549676754555937</c:v>
                </c:pt>
                <c:pt idx="7">
                  <c:v>0.16124977893848316</c:v>
                </c:pt>
                <c:pt idx="8">
                  <c:v>0.28708288152557976</c:v>
                </c:pt>
                <c:pt idx="9">
                  <c:v>0.20471213007106392</c:v>
                </c:pt>
                <c:pt idx="10">
                  <c:v>0.2602036288155129</c:v>
                </c:pt>
                <c:pt idx="11">
                  <c:v>0.20885031049116828</c:v>
                </c:pt>
                <c:pt idx="12">
                  <c:v>0.1951129303768428</c:v>
                </c:pt>
                <c:pt idx="13">
                  <c:v>0.31756933977718294</c:v>
                </c:pt>
                <c:pt idx="14">
                  <c:v>0.13184717093632028</c:v>
                </c:pt>
                <c:pt idx="15">
                  <c:v>0.17981932736723907</c:v>
                </c:pt>
                <c:pt idx="16">
                  <c:v>0.20889456128021403</c:v>
                </c:pt>
                <c:pt idx="17">
                  <c:v>0.21071810760332424</c:v>
                </c:pt>
                <c:pt idx="18">
                  <c:v>0.18177730936719683</c:v>
                </c:pt>
                <c:pt idx="19">
                  <c:v>0.2037944358496297</c:v>
                </c:pt>
                <c:pt idx="20">
                  <c:v>0.21168425590954196</c:v>
                </c:pt>
                <c:pt idx="21">
                  <c:v>0.20286187976907627</c:v>
                </c:pt>
                <c:pt idx="22">
                  <c:v>0.15647560569335989</c:v>
                </c:pt>
                <c:pt idx="23">
                  <c:v>8.764973128942781E-2</c:v>
                </c:pt>
                <c:pt idx="24">
                  <c:v>9.7369285276747194E-2</c:v>
                </c:pt>
                <c:pt idx="25">
                  <c:v>3.6646579788223756E-2</c:v>
                </c:pt>
                <c:pt idx="26">
                  <c:v>0.19750700653609377</c:v>
                </c:pt>
                <c:pt idx="27">
                  <c:v>0.18191764249918571</c:v>
                </c:pt>
                <c:pt idx="28">
                  <c:v>0.18339601357566634</c:v>
                </c:pt>
                <c:pt idx="29">
                  <c:v>0.20381173957096546</c:v>
                </c:pt>
                <c:pt idx="30">
                  <c:v>0.19409177344443326</c:v>
                </c:pt>
                <c:pt idx="31">
                  <c:v>0.37945258665340353</c:v>
                </c:pt>
                <c:pt idx="32">
                  <c:v>0.46955571002515956</c:v>
                </c:pt>
                <c:pt idx="33" formatCode="General">
                  <c:v>0.35813657774877639</c:v>
                </c:pt>
                <c:pt idx="34" formatCode="General">
                  <c:v>0.27531721248113472</c:v>
                </c:pt>
                <c:pt idx="35" formatCode="General">
                  <c:v>0.20687710501556839</c:v>
                </c:pt>
                <c:pt idx="36" formatCode="General">
                  <c:v>0.19542735757296303</c:v>
                </c:pt>
                <c:pt idx="37" formatCode="General">
                  <c:v>0.1656498814099962</c:v>
                </c:pt>
                <c:pt idx="38" formatCode="General">
                  <c:v>0.18207842670109051</c:v>
                </c:pt>
                <c:pt idx="39" formatCode="General">
                  <c:v>0.1906321359653157</c:v>
                </c:pt>
                <c:pt idx="40" formatCode="General">
                  <c:v>0.18965211343689695</c:v>
                </c:pt>
                <c:pt idx="41" formatCode="General">
                  <c:v>0.1943039425873927</c:v>
                </c:pt>
                <c:pt idx="42" formatCode="General">
                  <c:v>0.18124654932017825</c:v>
                </c:pt>
                <c:pt idx="43" formatCode="General">
                  <c:v>0.1822461990460045</c:v>
                </c:pt>
                <c:pt idx="44" formatCode="General">
                  <c:v>0.17290826615233834</c:v>
                </c:pt>
                <c:pt idx="45" formatCode="General">
                  <c:v>0.12297665041155859</c:v>
                </c:pt>
                <c:pt idx="46" formatCode="General">
                  <c:v>2.8564608330103769E-2</c:v>
                </c:pt>
                <c:pt idx="47" formatCode="General">
                  <c:v>0.20665413641046657</c:v>
                </c:pt>
                <c:pt idx="48" formatCode="General">
                  <c:v>0.19554415168404277</c:v>
                </c:pt>
                <c:pt idx="49" formatCode="General">
                  <c:v>5.4766977197157472E-2</c:v>
                </c:pt>
                <c:pt idx="50" formatCode="General">
                  <c:v>0.18015075198425839</c:v>
                </c:pt>
                <c:pt idx="51" formatCode="General">
                  <c:v>0.14511364890935713</c:v>
                </c:pt>
                <c:pt idx="52" formatCode="0.000">
                  <c:v>0.10134371711291144</c:v>
                </c:pt>
                <c:pt idx="53" formatCode="0.000">
                  <c:v>6.2393691142648242E-2</c:v>
                </c:pt>
                <c:pt idx="54" formatCode="0.000">
                  <c:v>5.3354926285889288E-2</c:v>
                </c:pt>
                <c:pt idx="55" formatCode="0.000">
                  <c:v>5.0202416796592993E-2</c:v>
                </c:pt>
                <c:pt idx="56" formatCode="0.000">
                  <c:v>0.14166018388549068</c:v>
                </c:pt>
                <c:pt idx="57" formatCode="0.000">
                  <c:v>0.13459078756914689</c:v>
                </c:pt>
                <c:pt idx="58" formatCode="0.000">
                  <c:v>0.10592786704725302</c:v>
                </c:pt>
                <c:pt idx="59" formatCode="0.000">
                  <c:v>8.2608230544150854E-2</c:v>
                </c:pt>
                <c:pt idx="60" formatCode="0.000">
                  <c:v>0.19692704344509498</c:v>
                </c:pt>
                <c:pt idx="61" formatCode="0.000">
                  <c:v>0.13047964349513469</c:v>
                </c:pt>
                <c:pt idx="62" formatCode="0.000">
                  <c:v>0.13779290491650303</c:v>
                </c:pt>
                <c:pt idx="63" formatCode="0.000">
                  <c:v>0.10344846313440517</c:v>
                </c:pt>
                <c:pt idx="64" formatCode="0.000">
                  <c:v>0.10482172412721022</c:v>
                </c:pt>
                <c:pt idx="65" formatCode="0.000">
                  <c:v>0.12597910501313273</c:v>
                </c:pt>
                <c:pt idx="66" formatCode="0.000">
                  <c:v>0.12707182183756363</c:v>
                </c:pt>
                <c:pt idx="67" formatCode="0.000">
                  <c:v>0.13137248879966534</c:v>
                </c:pt>
                <c:pt idx="68" formatCode="0.000">
                  <c:v>0.11935697465151253</c:v>
                </c:pt>
                <c:pt idx="69" formatCode="0.000">
                  <c:v>0.1849783392811255</c:v>
                </c:pt>
                <c:pt idx="70" formatCode="0.000">
                  <c:v>0.17173894377903556</c:v>
                </c:pt>
                <c:pt idx="71" formatCode="0.000">
                  <c:v>0.12326011452562183</c:v>
                </c:pt>
                <c:pt idx="72" formatCode="0.000">
                  <c:v>0.1274394173733738</c:v>
                </c:pt>
                <c:pt idx="73" formatCode="0.000">
                  <c:v>0.12635565590343154</c:v>
                </c:pt>
                <c:pt idx="74" formatCode="0.000">
                  <c:v>0.14549890570707594</c:v>
                </c:pt>
                <c:pt idx="75" formatCode="0.000">
                  <c:v>0.19136616518876248</c:v>
                </c:pt>
                <c:pt idx="76" formatCode="0.000">
                  <c:v>0.23762897640750805</c:v>
                </c:pt>
                <c:pt idx="77" formatCode="0.000">
                  <c:v>0.25594468705435919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5-4E81-988E-F435B18902A9}"/>
            </c:ext>
          </c:extLst>
        </c:ser>
        <c:ser>
          <c:idx val="3"/>
          <c:order val="3"/>
          <c:tx>
            <c:v>5.а</c:v>
          </c:tx>
          <c:spPr>
            <a:ln w="28575">
              <a:noFill/>
            </a:ln>
          </c:spPr>
          <c:xVal>
            <c:numRef>
              <c:f>сводная!$H$249:$H$300</c:f>
              <c:numCache>
                <c:formatCode>General</c:formatCode>
                <c:ptCount val="52"/>
                <c:pt idx="0">
                  <c:v>1.0900000000000001</c:v>
                </c:pt>
                <c:pt idx="1">
                  <c:v>2.44</c:v>
                </c:pt>
                <c:pt idx="2">
                  <c:v>0.37</c:v>
                </c:pt>
                <c:pt idx="3">
                  <c:v>0.2</c:v>
                </c:pt>
                <c:pt idx="4">
                  <c:v>1.21</c:v>
                </c:pt>
                <c:pt idx="5">
                  <c:v>4.49</c:v>
                </c:pt>
                <c:pt idx="6">
                  <c:v>1.1399999999999999</c:v>
                </c:pt>
                <c:pt idx="7">
                  <c:v>1.25</c:v>
                </c:pt>
                <c:pt idx="8">
                  <c:v>0.36</c:v>
                </c:pt>
                <c:pt idx="9">
                  <c:v>5.0599999999999996</c:v>
                </c:pt>
                <c:pt idx="10">
                  <c:v>2.29</c:v>
                </c:pt>
                <c:pt idx="11">
                  <c:v>0.91</c:v>
                </c:pt>
                <c:pt idx="12">
                  <c:v>0.4</c:v>
                </c:pt>
                <c:pt idx="13">
                  <c:v>0.25</c:v>
                </c:pt>
                <c:pt idx="14">
                  <c:v>6.9</c:v>
                </c:pt>
                <c:pt idx="15">
                  <c:v>7.72</c:v>
                </c:pt>
                <c:pt idx="16">
                  <c:v>10.6</c:v>
                </c:pt>
                <c:pt idx="17">
                  <c:v>6.86</c:v>
                </c:pt>
                <c:pt idx="18">
                  <c:v>0.98</c:v>
                </c:pt>
                <c:pt idx="19">
                  <c:v>0.05</c:v>
                </c:pt>
                <c:pt idx="20">
                  <c:v>0.26</c:v>
                </c:pt>
                <c:pt idx="21">
                  <c:v>1.98</c:v>
                </c:pt>
                <c:pt idx="22">
                  <c:v>0.6</c:v>
                </c:pt>
                <c:pt idx="23">
                  <c:v>0.28999999999999998</c:v>
                </c:pt>
                <c:pt idx="24">
                  <c:v>0.83</c:v>
                </c:pt>
                <c:pt idx="25">
                  <c:v>0.56999999999999995</c:v>
                </c:pt>
                <c:pt idx="26">
                  <c:v>3.54</c:v>
                </c:pt>
                <c:pt idx="27">
                  <c:v>6.63</c:v>
                </c:pt>
                <c:pt idx="28">
                  <c:v>1.31</c:v>
                </c:pt>
                <c:pt idx="29">
                  <c:v>13.01</c:v>
                </c:pt>
                <c:pt idx="30">
                  <c:v>1.43</c:v>
                </c:pt>
                <c:pt idx="31">
                  <c:v>0.4</c:v>
                </c:pt>
                <c:pt idx="32">
                  <c:v>0.14000000000000001</c:v>
                </c:pt>
                <c:pt idx="33">
                  <c:v>0.61</c:v>
                </c:pt>
                <c:pt idx="34">
                  <c:v>0.78</c:v>
                </c:pt>
                <c:pt idx="35">
                  <c:v>0.15</c:v>
                </c:pt>
                <c:pt idx="36">
                  <c:v>0.51</c:v>
                </c:pt>
                <c:pt idx="37">
                  <c:v>7.0000000000000007E-2</c:v>
                </c:pt>
                <c:pt idx="38">
                  <c:v>0.4</c:v>
                </c:pt>
                <c:pt idx="39">
                  <c:v>2.11</c:v>
                </c:pt>
                <c:pt idx="40">
                  <c:v>8.15</c:v>
                </c:pt>
                <c:pt idx="41">
                  <c:v>2.83</c:v>
                </c:pt>
                <c:pt idx="42">
                  <c:v>2.16</c:v>
                </c:pt>
                <c:pt idx="43">
                  <c:v>2.34</c:v>
                </c:pt>
                <c:pt idx="44">
                  <c:v>0.72</c:v>
                </c:pt>
                <c:pt idx="45">
                  <c:v>0.47</c:v>
                </c:pt>
                <c:pt idx="46">
                  <c:v>0.28999999999999998</c:v>
                </c:pt>
                <c:pt idx="47">
                  <c:v>2.33</c:v>
                </c:pt>
                <c:pt idx="48">
                  <c:v>3.21</c:v>
                </c:pt>
                <c:pt idx="49">
                  <c:v>2.97</c:v>
                </c:pt>
                <c:pt idx="50">
                  <c:v>0.37</c:v>
                </c:pt>
                <c:pt idx="51">
                  <c:v>0.08</c:v>
                </c:pt>
              </c:numCache>
            </c:numRef>
          </c:xVal>
          <c:yVal>
            <c:numRef>
              <c:f>(сводная!$R$249:$R$276,сводная!$O$277:$O$296,сводная!$R$297:$R$300)</c:f>
              <c:numCache>
                <c:formatCode>0.00</c:formatCode>
                <c:ptCount val="52"/>
                <c:pt idx="0">
                  <c:v>0.34836452868739726</c:v>
                </c:pt>
                <c:pt idx="1">
                  <c:v>0.40898432594898182</c:v>
                </c:pt>
                <c:pt idx="2">
                  <c:v>0.16957682298910509</c:v>
                </c:pt>
                <c:pt idx="3">
                  <c:v>0.18853894415558145</c:v>
                </c:pt>
                <c:pt idx="4">
                  <c:v>0.27862254039816986</c:v>
                </c:pt>
                <c:pt idx="5">
                  <c:v>0.19878149469190076</c:v>
                </c:pt>
                <c:pt idx="6">
                  <c:v>0.22190467415187706</c:v>
                </c:pt>
                <c:pt idx="7">
                  <c:v>0.23412740062752604</c:v>
                </c:pt>
                <c:pt idx="8">
                  <c:v>0.23495826764751102</c:v>
                </c:pt>
                <c:pt idx="9">
                  <c:v>0.41242218142329878</c:v>
                </c:pt>
                <c:pt idx="10">
                  <c:v>0.30011938464665883</c:v>
                </c:pt>
                <c:pt idx="11">
                  <c:v>0.3018681227154667</c:v>
                </c:pt>
                <c:pt idx="12">
                  <c:v>0.30481330104437532</c:v>
                </c:pt>
                <c:pt idx="13">
                  <c:v>0.17938534836196496</c:v>
                </c:pt>
                <c:pt idx="14">
                  <c:v>0.25661038828302424</c:v>
                </c:pt>
                <c:pt idx="15">
                  <c:v>0.22687925977446893</c:v>
                </c:pt>
                <c:pt idx="16">
                  <c:v>0.60620939525355177</c:v>
                </c:pt>
                <c:pt idx="17">
                  <c:v>0.28454278530467875</c:v>
                </c:pt>
                <c:pt idx="18">
                  <c:v>0.54020385084378897</c:v>
                </c:pt>
                <c:pt idx="19">
                  <c:v>0.20199547467886891</c:v>
                </c:pt>
                <c:pt idx="20">
                  <c:v>0.29121866147013703</c:v>
                </c:pt>
                <c:pt idx="21" formatCode="General">
                  <c:v>0.13855095108374882</c:v>
                </c:pt>
                <c:pt idx="22" formatCode="General">
                  <c:v>3.7508659655307482E-2</c:v>
                </c:pt>
                <c:pt idx="23" formatCode="General">
                  <c:v>3.7000864190608287E-2</c:v>
                </c:pt>
                <c:pt idx="24" formatCode="General">
                  <c:v>3.5160869570641323E-2</c:v>
                </c:pt>
                <c:pt idx="25" formatCode="General">
                  <c:v>3.756802516540287E-2</c:v>
                </c:pt>
                <c:pt idx="26" formatCode="General">
                  <c:v>7.5156191028139779E-2</c:v>
                </c:pt>
                <c:pt idx="27" formatCode="General">
                  <c:v>7.5301788799623307E-2</c:v>
                </c:pt>
                <c:pt idx="28" formatCode="General">
                  <c:v>0.21230079508980579</c:v>
                </c:pt>
                <c:pt idx="29" formatCode="General">
                  <c:v>0.14568647182724115</c:v>
                </c:pt>
                <c:pt idx="30" formatCode="General">
                  <c:v>4.0277486080268418E-2</c:v>
                </c:pt>
                <c:pt idx="31" formatCode="0.000">
                  <c:v>9.9223592182867193E-2</c:v>
                </c:pt>
                <c:pt idx="32" formatCode="0.000">
                  <c:v>0.19614881403843093</c:v>
                </c:pt>
                <c:pt idx="33" formatCode="0.000">
                  <c:v>0.1053804568305374</c:v>
                </c:pt>
                <c:pt idx="34" formatCode="0.000">
                  <c:v>0.11185665798883077</c:v>
                </c:pt>
                <c:pt idx="35" formatCode="0.000">
                  <c:v>8.2978643675235872E-2</c:v>
                </c:pt>
                <c:pt idx="36" formatCode="0.000">
                  <c:v>0.16871430528966933</c:v>
                </c:pt>
                <c:pt idx="37" formatCode="0.000">
                  <c:v>0.12447453505032663</c:v>
                </c:pt>
                <c:pt idx="38" formatCode="0.000">
                  <c:v>3.1528062094066438E-2</c:v>
                </c:pt>
                <c:pt idx="39" formatCode="0.000">
                  <c:v>2.5987791871687795E-2</c:v>
                </c:pt>
                <c:pt idx="40" formatCode="0.000">
                  <c:v>2.6802754464277939E-4</c:v>
                </c:pt>
                <c:pt idx="41" formatCode="0.000">
                  <c:v>0.61558324575358347</c:v>
                </c:pt>
                <c:pt idx="42" formatCode="0.000">
                  <c:v>2.0232275236660813E-3</c:v>
                </c:pt>
                <c:pt idx="43" formatCode="0.000">
                  <c:v>0.24154666349034401</c:v>
                </c:pt>
                <c:pt idx="44" formatCode="0.000">
                  <c:v>0.22299612990605311</c:v>
                </c:pt>
                <c:pt idx="45" formatCode="0.000">
                  <c:v>0.197983047623702</c:v>
                </c:pt>
                <c:pt idx="46" formatCode="0.000">
                  <c:v>0.10572323994380163</c:v>
                </c:pt>
                <c:pt idx="47" formatCode="0.000">
                  <c:v>0.14387523088763926</c:v>
                </c:pt>
                <c:pt idx="48" formatCode="0.000">
                  <c:v>0.38342318760109972</c:v>
                </c:pt>
                <c:pt idx="49" formatCode="0.000">
                  <c:v>0.37176725165839419</c:v>
                </c:pt>
                <c:pt idx="50" formatCode="0.000">
                  <c:v>0.41516949952527321</c:v>
                </c:pt>
                <c:pt idx="51" formatCode="0.000">
                  <c:v>0.20031639776699234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5-4E81-988E-F435B18902A9}"/>
            </c:ext>
          </c:extLst>
        </c:ser>
        <c:ser>
          <c:idx val="4"/>
          <c:order val="4"/>
          <c:tx>
            <c:v>5.б</c:v>
          </c:tx>
          <c:spPr>
            <a:ln w="28575">
              <a:noFill/>
            </a:ln>
          </c:spPr>
          <c:xVal>
            <c:numRef>
              <c:f>сводная!$H$301:$H$323</c:f>
              <c:numCache>
                <c:formatCode>General</c:formatCode>
                <c:ptCount val="23"/>
                <c:pt idx="0">
                  <c:v>0.61</c:v>
                </c:pt>
                <c:pt idx="1">
                  <c:v>0.85</c:v>
                </c:pt>
                <c:pt idx="2">
                  <c:v>1.1399999999999999</c:v>
                </c:pt>
                <c:pt idx="3">
                  <c:v>1.52</c:v>
                </c:pt>
                <c:pt idx="4">
                  <c:v>4.45</c:v>
                </c:pt>
                <c:pt idx="5">
                  <c:v>7.2</c:v>
                </c:pt>
                <c:pt idx="6">
                  <c:v>10.8</c:v>
                </c:pt>
                <c:pt idx="7">
                  <c:v>8</c:v>
                </c:pt>
                <c:pt idx="8">
                  <c:v>9</c:v>
                </c:pt>
                <c:pt idx="9">
                  <c:v>6.14</c:v>
                </c:pt>
                <c:pt idx="10">
                  <c:v>0.9</c:v>
                </c:pt>
                <c:pt idx="11">
                  <c:v>0.62</c:v>
                </c:pt>
                <c:pt idx="12">
                  <c:v>2.76</c:v>
                </c:pt>
                <c:pt idx="13">
                  <c:v>0.42</c:v>
                </c:pt>
                <c:pt idx="14">
                  <c:v>0.6</c:v>
                </c:pt>
                <c:pt idx="15">
                  <c:v>0.51</c:v>
                </c:pt>
                <c:pt idx="16">
                  <c:v>0.35</c:v>
                </c:pt>
                <c:pt idx="17">
                  <c:v>0.04</c:v>
                </c:pt>
                <c:pt idx="18">
                  <c:v>1.27</c:v>
                </c:pt>
                <c:pt idx="19">
                  <c:v>4.18</c:v>
                </c:pt>
                <c:pt idx="20">
                  <c:v>0.6</c:v>
                </c:pt>
                <c:pt idx="21">
                  <c:v>0.5</c:v>
                </c:pt>
                <c:pt idx="22">
                  <c:v>1.86</c:v>
                </c:pt>
              </c:numCache>
            </c:numRef>
          </c:xVal>
          <c:yVal>
            <c:numRef>
              <c:f>(сводная!$R$301:$R$313,сводная!$O$314:$O$322)</c:f>
              <c:numCache>
                <c:formatCode>0.00</c:formatCode>
                <c:ptCount val="22"/>
                <c:pt idx="0">
                  <c:v>0.28177859102969932</c:v>
                </c:pt>
                <c:pt idx="1">
                  <c:v>0.32759537627975338</c:v>
                </c:pt>
                <c:pt idx="2">
                  <c:v>0.31146772874848982</c:v>
                </c:pt>
                <c:pt idx="3">
                  <c:v>0.37181263270327364</c:v>
                </c:pt>
                <c:pt idx="4">
                  <c:v>0.2230478823608642</c:v>
                </c:pt>
                <c:pt idx="5">
                  <c:v>3.5322606936312152E-2</c:v>
                </c:pt>
                <c:pt idx="6">
                  <c:v>0.3182115587118784</c:v>
                </c:pt>
                <c:pt idx="7">
                  <c:v>9.8501472786636013E-2</c:v>
                </c:pt>
                <c:pt idx="8">
                  <c:v>0.45409169421537871</c:v>
                </c:pt>
                <c:pt idx="9">
                  <c:v>0.20054600088484872</c:v>
                </c:pt>
                <c:pt idx="10">
                  <c:v>0.30840084851129185</c:v>
                </c:pt>
                <c:pt idx="11" formatCode="General">
                  <c:v>2.932184305396774E-2</c:v>
                </c:pt>
                <c:pt idx="12" formatCode="General">
                  <c:v>9.4304438194186685E-2</c:v>
                </c:pt>
                <c:pt idx="13" formatCode="General">
                  <c:v>6.9616944711080875E-2</c:v>
                </c:pt>
                <c:pt idx="14" formatCode="0.000">
                  <c:v>0.1093333200025436</c:v>
                </c:pt>
                <c:pt idx="15" formatCode="0.000">
                  <c:v>0.15094114104473424</c:v>
                </c:pt>
                <c:pt idx="16" formatCode="0.000">
                  <c:v>0.11658949560782476</c:v>
                </c:pt>
                <c:pt idx="17" formatCode="0.000">
                  <c:v>0.26722433067889934</c:v>
                </c:pt>
                <c:pt idx="18" formatCode="0.000">
                  <c:v>0.15070566356215986</c:v>
                </c:pt>
                <c:pt idx="19" formatCode="0.000">
                  <c:v>2.6786910206727927E-2</c:v>
                </c:pt>
                <c:pt idx="20" formatCode="0.000">
                  <c:v>0.22699322030327226</c:v>
                </c:pt>
                <c:pt idx="21" formatCode="0.000">
                  <c:v>0.18005570000989118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5-4E81-988E-F435B18902A9}"/>
            </c:ext>
          </c:extLst>
        </c:ser>
        <c:ser>
          <c:idx val="5"/>
          <c:order val="5"/>
          <c:tx>
            <c:v>5.в</c:v>
          </c:tx>
          <c:spPr>
            <a:ln w="28575">
              <a:noFill/>
            </a:ln>
          </c:spPr>
          <c:xVal>
            <c:numRef>
              <c:f>сводная!$H$324:$H$362</c:f>
              <c:numCache>
                <c:formatCode>General</c:formatCode>
                <c:ptCount val="39"/>
                <c:pt idx="0">
                  <c:v>0.98</c:v>
                </c:pt>
                <c:pt idx="1">
                  <c:v>0.23</c:v>
                </c:pt>
                <c:pt idx="2">
                  <c:v>0.12</c:v>
                </c:pt>
                <c:pt idx="3">
                  <c:v>0.64</c:v>
                </c:pt>
                <c:pt idx="4">
                  <c:v>0.13</c:v>
                </c:pt>
                <c:pt idx="5">
                  <c:v>8.48</c:v>
                </c:pt>
                <c:pt idx="6">
                  <c:v>0.35</c:v>
                </c:pt>
                <c:pt idx="7">
                  <c:v>0.85</c:v>
                </c:pt>
                <c:pt idx="8">
                  <c:v>0.13</c:v>
                </c:pt>
                <c:pt idx="9">
                  <c:v>0.24</c:v>
                </c:pt>
                <c:pt idx="10">
                  <c:v>0.45</c:v>
                </c:pt>
                <c:pt idx="11">
                  <c:v>0.55000000000000004</c:v>
                </c:pt>
                <c:pt idx="12">
                  <c:v>1.36</c:v>
                </c:pt>
                <c:pt idx="13">
                  <c:v>4.87</c:v>
                </c:pt>
                <c:pt idx="14">
                  <c:v>0.4</c:v>
                </c:pt>
                <c:pt idx="15">
                  <c:v>0.25</c:v>
                </c:pt>
                <c:pt idx="16">
                  <c:v>0.6</c:v>
                </c:pt>
                <c:pt idx="17">
                  <c:v>8.0000000000000002E-3</c:v>
                </c:pt>
                <c:pt idx="18">
                  <c:v>7.0000000000000007E-2</c:v>
                </c:pt>
                <c:pt idx="19">
                  <c:v>0.87</c:v>
                </c:pt>
                <c:pt idx="20">
                  <c:v>8.2899999999999991</c:v>
                </c:pt>
                <c:pt idx="21">
                  <c:v>2.92</c:v>
                </c:pt>
                <c:pt idx="22">
                  <c:v>0.5</c:v>
                </c:pt>
                <c:pt idx="23">
                  <c:v>2.65</c:v>
                </c:pt>
                <c:pt idx="24">
                  <c:v>0.1</c:v>
                </c:pt>
                <c:pt idx="25">
                  <c:v>18.489999999999998</c:v>
                </c:pt>
                <c:pt idx="26">
                  <c:v>3.36</c:v>
                </c:pt>
                <c:pt idx="27">
                  <c:v>0.4</c:v>
                </c:pt>
                <c:pt idx="28">
                  <c:v>0.21</c:v>
                </c:pt>
                <c:pt idx="29">
                  <c:v>0.12</c:v>
                </c:pt>
                <c:pt idx="30">
                  <c:v>7.07</c:v>
                </c:pt>
                <c:pt idx="31">
                  <c:v>0.32</c:v>
                </c:pt>
                <c:pt idx="32">
                  <c:v>0.35</c:v>
                </c:pt>
                <c:pt idx="33">
                  <c:v>0.28000000000000003</c:v>
                </c:pt>
                <c:pt idx="34">
                  <c:v>0.03</c:v>
                </c:pt>
                <c:pt idx="35">
                  <c:v>0.09</c:v>
                </c:pt>
                <c:pt idx="36">
                  <c:v>0.23</c:v>
                </c:pt>
                <c:pt idx="37">
                  <c:v>0.11</c:v>
                </c:pt>
                <c:pt idx="38">
                  <c:v>1.58</c:v>
                </c:pt>
              </c:numCache>
            </c:numRef>
          </c:xVal>
          <c:yVal>
            <c:numRef>
              <c:f>(сводная!$R$324:$R$339,сводная!$O$340:$O$354,сводная!$R$355:$R$362)</c:f>
              <c:numCache>
                <c:formatCode>0.00</c:formatCode>
                <c:ptCount val="39"/>
                <c:pt idx="0">
                  <c:v>0.2029742610124011</c:v>
                </c:pt>
                <c:pt idx="1">
                  <c:v>0.17828585269911648</c:v>
                </c:pt>
                <c:pt idx="2">
                  <c:v>0.25959212861056247</c:v>
                </c:pt>
                <c:pt idx="3">
                  <c:v>0.32732553969965023</c:v>
                </c:pt>
                <c:pt idx="4">
                  <c:v>0.20959649388659793</c:v>
                </c:pt>
                <c:pt idx="5">
                  <c:v>0.34438886189611051</c:v>
                </c:pt>
                <c:pt idx="6">
                  <c:v>0.19665645310273655</c:v>
                </c:pt>
                <c:pt idx="7">
                  <c:v>0.158432340055321</c:v>
                </c:pt>
                <c:pt idx="8">
                  <c:v>4.8778122530375959E-2</c:v>
                </c:pt>
                <c:pt idx="9">
                  <c:v>0.17802633706698759</c:v>
                </c:pt>
                <c:pt idx="10">
                  <c:v>0.18986678196886192</c:v>
                </c:pt>
                <c:pt idx="11">
                  <c:v>0.41835268392034863</c:v>
                </c:pt>
                <c:pt idx="12">
                  <c:v>0.273636633792258</c:v>
                </c:pt>
                <c:pt idx="13">
                  <c:v>0.3564010676595642</c:v>
                </c:pt>
                <c:pt idx="14" formatCode="General">
                  <c:v>1.6395928940599772E-2</c:v>
                </c:pt>
                <c:pt idx="15" formatCode="General">
                  <c:v>5.7284680254825306E-3</c:v>
                </c:pt>
                <c:pt idx="16" formatCode="General">
                  <c:v>5.5272326488709021E-2</c:v>
                </c:pt>
                <c:pt idx="17" formatCode="0.000">
                  <c:v>6.5872024451696182E-2</c:v>
                </c:pt>
                <c:pt idx="18" formatCode="0.000">
                  <c:v>9.1925427476081026E-2</c:v>
                </c:pt>
                <c:pt idx="19" formatCode="0.000">
                  <c:v>0.12894032936263058</c:v>
                </c:pt>
                <c:pt idx="20" formatCode="0.000">
                  <c:v>8.684561058447117E-2</c:v>
                </c:pt>
                <c:pt idx="21" formatCode="0.000">
                  <c:v>0.15110742683635967</c:v>
                </c:pt>
                <c:pt idx="22" formatCode="0.000">
                  <c:v>2.2117276884905911E-3</c:v>
                </c:pt>
                <c:pt idx="23" formatCode="0.000">
                  <c:v>6.6024142413932063E-2</c:v>
                </c:pt>
                <c:pt idx="24" formatCode="0.000">
                  <c:v>3.3020198242686247E-2</c:v>
                </c:pt>
                <c:pt idx="25" formatCode="0.000">
                  <c:v>0.10825829837479325</c:v>
                </c:pt>
                <c:pt idx="26" formatCode="0.000">
                  <c:v>0.10180425150527775</c:v>
                </c:pt>
                <c:pt idx="27" formatCode="0.000">
                  <c:v>6.2011224644623483E-2</c:v>
                </c:pt>
                <c:pt idx="28" formatCode="0.000">
                  <c:v>6.7132435915013139E-2</c:v>
                </c:pt>
                <c:pt idx="29" formatCode="0.000">
                  <c:v>5.8851930142775899E-2</c:v>
                </c:pt>
                <c:pt idx="30" formatCode="0.000">
                  <c:v>0.15367298793166079</c:v>
                </c:pt>
                <c:pt idx="31" formatCode="0.000">
                  <c:v>0.28091427353316251</c:v>
                </c:pt>
                <c:pt idx="32" formatCode="0.000">
                  <c:v>0.29422317085327426</c:v>
                </c:pt>
                <c:pt idx="33" formatCode="0.000">
                  <c:v>0.27647092902939796</c:v>
                </c:pt>
                <c:pt idx="34" formatCode="0.000">
                  <c:v>0.20110305668067144</c:v>
                </c:pt>
                <c:pt idx="35" formatCode="0.000">
                  <c:v>0.16347657970743859</c:v>
                </c:pt>
                <c:pt idx="36" formatCode="0.000">
                  <c:v>0.16162824548824617</c:v>
                </c:pt>
                <c:pt idx="37" formatCode="0.000">
                  <c:v>0.18364500784447671</c:v>
                </c:pt>
                <c:pt idx="38" formatCode="0.000">
                  <c:v>0.26629398972256102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5-4E81-988E-F435B18902A9}"/>
            </c:ext>
          </c:extLst>
        </c:ser>
        <c:ser>
          <c:idx val="6"/>
          <c:order val="6"/>
          <c:tx>
            <c:v>6</c:v>
          </c:tx>
          <c:spPr>
            <a:ln w="28575">
              <a:noFill/>
            </a:ln>
          </c:spPr>
          <c:xVal>
            <c:numRef>
              <c:f>сводная!$H$363:$H$371</c:f>
              <c:numCache>
                <c:formatCode>General</c:formatCode>
                <c:ptCount val="9"/>
                <c:pt idx="0">
                  <c:v>13.25</c:v>
                </c:pt>
                <c:pt idx="1">
                  <c:v>1.59</c:v>
                </c:pt>
                <c:pt idx="2">
                  <c:v>0.4</c:v>
                </c:pt>
                <c:pt idx="3">
                  <c:v>0.2</c:v>
                </c:pt>
                <c:pt idx="4">
                  <c:v>1.86</c:v>
                </c:pt>
                <c:pt idx="5">
                  <c:v>0.7</c:v>
                </c:pt>
                <c:pt idx="6">
                  <c:v>0.13</c:v>
                </c:pt>
                <c:pt idx="7">
                  <c:v>4.3899999999999997</c:v>
                </c:pt>
                <c:pt idx="8">
                  <c:v>0.2</c:v>
                </c:pt>
              </c:numCache>
            </c:numRef>
          </c:xVal>
          <c:yVal>
            <c:numRef>
              <c:f>(сводная!$R$363,сводная!$O$364:$O$365,сводная!$R$366:$R$371)</c:f>
              <c:numCache>
                <c:formatCode>0.000</c:formatCode>
                <c:ptCount val="9"/>
                <c:pt idx="0" formatCode="0.00">
                  <c:v>0.24743908787513907</c:v>
                </c:pt>
                <c:pt idx="1">
                  <c:v>0.1593656137389127</c:v>
                </c:pt>
                <c:pt idx="2">
                  <c:v>0.11143260013012621</c:v>
                </c:pt>
                <c:pt idx="3">
                  <c:v>0.13519455904093292</c:v>
                </c:pt>
                <c:pt idx="4">
                  <c:v>0.18073752527739687</c:v>
                </c:pt>
                <c:pt idx="5">
                  <c:v>0.14929603301938885</c:v>
                </c:pt>
                <c:pt idx="6">
                  <c:v>0.1365521375808891</c:v>
                </c:pt>
                <c:pt idx="7">
                  <c:v>0.13956293358209987</c:v>
                </c:pt>
                <c:pt idx="8">
                  <c:v>0.14587442074025658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5-4E81-988E-F435B189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38784"/>
        <c:axId val="1"/>
      </c:scatterChart>
      <c:valAx>
        <c:axId val="3759387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 дельты, км2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уклон водосбора</a:t>
                </a:r>
              </a:p>
            </c:rich>
          </c:tx>
          <c:layout>
            <c:manualLayout>
              <c:xMode val="edge"/>
              <c:yMode val="edge"/>
              <c:x val="8.5363594256600284E-3"/>
              <c:y val="0.3841157259922662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75938784"/>
        <c:crosses val="autoZero"/>
        <c:crossBetween val="midCat"/>
        <c:majorUnit val="100"/>
        <c:minorUnit val="100"/>
      </c:valAx>
    </c:plotArea>
    <c:legend>
      <c:legendPos val="r"/>
      <c:layout>
        <c:manualLayout>
          <c:xMode val="edge"/>
          <c:yMode val="edge"/>
          <c:x val="0.92350443163329099"/>
          <c:y val="0.28878281622911695"/>
          <c:w val="6.3746323599466109E-2"/>
          <c:h val="0.400954653937947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219075</xdr:colOff>
      <xdr:row>0</xdr:row>
      <xdr:rowOff>285750</xdr:rowOff>
    </xdr:from>
    <xdr:to>
      <xdr:col>33</xdr:col>
      <xdr:colOff>552450</xdr:colOff>
      <xdr:row>12</xdr:row>
      <xdr:rowOff>209550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43</xdr:col>
      <xdr:colOff>342900</xdr:colOff>
      <xdr:row>18</xdr:row>
      <xdr:rowOff>180975</xdr:rowOff>
    </xdr:to>
    <xdr:graphicFrame macro="">
      <xdr:nvGraphicFramePr>
        <xdr:cNvPr id="102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13</xdr:row>
      <xdr:rowOff>219075</xdr:rowOff>
    </xdr:from>
    <xdr:to>
      <xdr:col>33</xdr:col>
      <xdr:colOff>438150</xdr:colOff>
      <xdr:row>30</xdr:row>
      <xdr:rowOff>180975</xdr:rowOff>
    </xdr:to>
    <xdr:graphicFrame macro="">
      <xdr:nvGraphicFramePr>
        <xdr:cNvPr id="102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43</xdr:col>
      <xdr:colOff>342900</xdr:colOff>
      <xdr:row>36</xdr:row>
      <xdr:rowOff>180975</xdr:rowOff>
    </xdr:to>
    <xdr:graphicFrame macro="">
      <xdr:nvGraphicFramePr>
        <xdr:cNvPr id="1028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180975</xdr:colOff>
      <xdr:row>30</xdr:row>
      <xdr:rowOff>95250</xdr:rowOff>
    </xdr:from>
    <xdr:to>
      <xdr:col>31</xdr:col>
      <xdr:colOff>523875</xdr:colOff>
      <xdr:row>40</xdr:row>
      <xdr:rowOff>276225</xdr:rowOff>
    </xdr:to>
    <xdr:graphicFrame macro="">
      <xdr:nvGraphicFramePr>
        <xdr:cNvPr id="1029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0.43002</cdr:x>
      <cdr:y>0.17606</cdr:y>
    </cdr:from>
    <cdr:to>
      <cdr:x>0.80149</cdr:x>
      <cdr:y>0.44191</cdr:y>
    </cdr:to>
    <cdr:sp macro="" textlink="">
      <cdr:nvSpPr>
        <cdr:cNvPr id="2" name="Полилиния 1"/>
        <cdr:cNvSpPr/>
      </cdr:nvSpPr>
      <cdr:spPr>
        <a:xfrm xmlns:a="http://schemas.openxmlformats.org/drawingml/2006/main">
          <a:off x="3295937" y="847067"/>
          <a:ext cx="2829012" cy="1126971"/>
        </a:xfrm>
        <a:custGeom xmlns:a="http://schemas.openxmlformats.org/drawingml/2006/main">
          <a:avLst/>
          <a:gdLst>
            <a:gd name="connsiteX0" fmla="*/ 282015 w 2003985"/>
            <a:gd name="connsiteY0" fmla="*/ 0 h 1156073"/>
            <a:gd name="connsiteX1" fmla="*/ 113927 w 2003985"/>
            <a:gd name="connsiteY1" fmla="*/ 291353 h 1156073"/>
            <a:gd name="connsiteX2" fmla="*/ 57897 w 2003985"/>
            <a:gd name="connsiteY2" fmla="*/ 661147 h 1156073"/>
            <a:gd name="connsiteX3" fmla="*/ 102721 w 2003985"/>
            <a:gd name="connsiteY3" fmla="*/ 1042147 h 1156073"/>
            <a:gd name="connsiteX4" fmla="*/ 674221 w 2003985"/>
            <a:gd name="connsiteY4" fmla="*/ 1154206 h 1156073"/>
            <a:gd name="connsiteX5" fmla="*/ 1279338 w 2003985"/>
            <a:gd name="connsiteY5" fmla="*/ 1030942 h 1156073"/>
            <a:gd name="connsiteX6" fmla="*/ 1492250 w 2003985"/>
            <a:gd name="connsiteY6" fmla="*/ 918883 h 1156073"/>
            <a:gd name="connsiteX7" fmla="*/ 1906868 w 2003985"/>
            <a:gd name="connsiteY7" fmla="*/ 750794 h 1156073"/>
            <a:gd name="connsiteX8" fmla="*/ 1974103 w 2003985"/>
            <a:gd name="connsiteY8" fmla="*/ 313765 h 1156073"/>
            <a:gd name="connsiteX9" fmla="*/ 1727574 w 2003985"/>
            <a:gd name="connsiteY9" fmla="*/ 145677 h 1156073"/>
            <a:gd name="connsiteX10" fmla="*/ 1111250 w 2003985"/>
            <a:gd name="connsiteY10" fmla="*/ 235324 h 1156073"/>
            <a:gd name="connsiteX11" fmla="*/ 775074 w 2003985"/>
            <a:gd name="connsiteY11" fmla="*/ 145677 h 1156073"/>
            <a:gd name="connsiteX12" fmla="*/ 282015 w 2003985"/>
            <a:gd name="connsiteY12" fmla="*/ 0 h 1156073"/>
            <a:gd name="connsiteX0" fmla="*/ 1071632 w 2793602"/>
            <a:gd name="connsiteY0" fmla="*/ 0 h 1156073"/>
            <a:gd name="connsiteX1" fmla="*/ 903544 w 2793602"/>
            <a:gd name="connsiteY1" fmla="*/ 291353 h 1156073"/>
            <a:gd name="connsiteX2" fmla="*/ 1868 w 2793602"/>
            <a:gd name="connsiteY2" fmla="*/ 537307 h 1156073"/>
            <a:gd name="connsiteX3" fmla="*/ 892338 w 2793602"/>
            <a:gd name="connsiteY3" fmla="*/ 1042147 h 1156073"/>
            <a:gd name="connsiteX4" fmla="*/ 1463838 w 2793602"/>
            <a:gd name="connsiteY4" fmla="*/ 1154206 h 1156073"/>
            <a:gd name="connsiteX5" fmla="*/ 2068955 w 2793602"/>
            <a:gd name="connsiteY5" fmla="*/ 1030942 h 1156073"/>
            <a:gd name="connsiteX6" fmla="*/ 2281867 w 2793602"/>
            <a:gd name="connsiteY6" fmla="*/ 918883 h 1156073"/>
            <a:gd name="connsiteX7" fmla="*/ 2696485 w 2793602"/>
            <a:gd name="connsiteY7" fmla="*/ 750794 h 1156073"/>
            <a:gd name="connsiteX8" fmla="*/ 2763720 w 2793602"/>
            <a:gd name="connsiteY8" fmla="*/ 313765 h 1156073"/>
            <a:gd name="connsiteX9" fmla="*/ 2517191 w 2793602"/>
            <a:gd name="connsiteY9" fmla="*/ 145677 h 1156073"/>
            <a:gd name="connsiteX10" fmla="*/ 1900867 w 2793602"/>
            <a:gd name="connsiteY10" fmla="*/ 235324 h 1156073"/>
            <a:gd name="connsiteX11" fmla="*/ 1564691 w 2793602"/>
            <a:gd name="connsiteY11" fmla="*/ 145677 h 1156073"/>
            <a:gd name="connsiteX12" fmla="*/ 1071632 w 2793602"/>
            <a:gd name="connsiteY12" fmla="*/ 0 h 1156073"/>
            <a:gd name="connsiteX0" fmla="*/ 1095442 w 2817412"/>
            <a:gd name="connsiteY0" fmla="*/ 0 h 1156073"/>
            <a:gd name="connsiteX1" fmla="*/ 927354 w 2817412"/>
            <a:gd name="connsiteY1" fmla="*/ 291353 h 1156073"/>
            <a:gd name="connsiteX2" fmla="*/ 762081 w 2817412"/>
            <a:gd name="connsiteY2" fmla="*/ 151033 h 1156073"/>
            <a:gd name="connsiteX3" fmla="*/ 25678 w 2817412"/>
            <a:gd name="connsiteY3" fmla="*/ 537307 h 1156073"/>
            <a:gd name="connsiteX4" fmla="*/ 916148 w 2817412"/>
            <a:gd name="connsiteY4" fmla="*/ 1042147 h 1156073"/>
            <a:gd name="connsiteX5" fmla="*/ 1487648 w 2817412"/>
            <a:gd name="connsiteY5" fmla="*/ 1154206 h 1156073"/>
            <a:gd name="connsiteX6" fmla="*/ 2092765 w 2817412"/>
            <a:gd name="connsiteY6" fmla="*/ 1030942 h 1156073"/>
            <a:gd name="connsiteX7" fmla="*/ 2305677 w 2817412"/>
            <a:gd name="connsiteY7" fmla="*/ 918883 h 1156073"/>
            <a:gd name="connsiteX8" fmla="*/ 2720295 w 2817412"/>
            <a:gd name="connsiteY8" fmla="*/ 750794 h 1156073"/>
            <a:gd name="connsiteX9" fmla="*/ 2787530 w 2817412"/>
            <a:gd name="connsiteY9" fmla="*/ 313765 h 1156073"/>
            <a:gd name="connsiteX10" fmla="*/ 2541001 w 2817412"/>
            <a:gd name="connsiteY10" fmla="*/ 145677 h 1156073"/>
            <a:gd name="connsiteX11" fmla="*/ 1924677 w 2817412"/>
            <a:gd name="connsiteY11" fmla="*/ 235324 h 1156073"/>
            <a:gd name="connsiteX12" fmla="*/ 1588501 w 2817412"/>
            <a:gd name="connsiteY12" fmla="*/ 145677 h 1156073"/>
            <a:gd name="connsiteX13" fmla="*/ 1095442 w 2817412"/>
            <a:gd name="connsiteY13" fmla="*/ 0 h 1156073"/>
            <a:gd name="connsiteX0" fmla="*/ 1095442 w 2817412"/>
            <a:gd name="connsiteY0" fmla="*/ 10497 h 1166570"/>
            <a:gd name="connsiteX1" fmla="*/ 927355 w 2817412"/>
            <a:gd name="connsiteY1" fmla="*/ 89551 h 1166570"/>
            <a:gd name="connsiteX2" fmla="*/ 762081 w 2817412"/>
            <a:gd name="connsiteY2" fmla="*/ 161530 h 1166570"/>
            <a:gd name="connsiteX3" fmla="*/ 25678 w 2817412"/>
            <a:gd name="connsiteY3" fmla="*/ 547804 h 1166570"/>
            <a:gd name="connsiteX4" fmla="*/ 916148 w 2817412"/>
            <a:gd name="connsiteY4" fmla="*/ 1052644 h 1166570"/>
            <a:gd name="connsiteX5" fmla="*/ 1487648 w 2817412"/>
            <a:gd name="connsiteY5" fmla="*/ 1164703 h 1166570"/>
            <a:gd name="connsiteX6" fmla="*/ 2092765 w 2817412"/>
            <a:gd name="connsiteY6" fmla="*/ 1041439 h 1166570"/>
            <a:gd name="connsiteX7" fmla="*/ 2305677 w 2817412"/>
            <a:gd name="connsiteY7" fmla="*/ 929380 h 1166570"/>
            <a:gd name="connsiteX8" fmla="*/ 2720295 w 2817412"/>
            <a:gd name="connsiteY8" fmla="*/ 761291 h 1166570"/>
            <a:gd name="connsiteX9" fmla="*/ 2787530 w 2817412"/>
            <a:gd name="connsiteY9" fmla="*/ 324262 h 1166570"/>
            <a:gd name="connsiteX10" fmla="*/ 2541001 w 2817412"/>
            <a:gd name="connsiteY10" fmla="*/ 156174 h 1166570"/>
            <a:gd name="connsiteX11" fmla="*/ 1924677 w 2817412"/>
            <a:gd name="connsiteY11" fmla="*/ 245821 h 1166570"/>
            <a:gd name="connsiteX12" fmla="*/ 1588501 w 2817412"/>
            <a:gd name="connsiteY12" fmla="*/ 156174 h 1166570"/>
            <a:gd name="connsiteX13" fmla="*/ 1095442 w 2817412"/>
            <a:gd name="connsiteY13" fmla="*/ 10497 h 1166570"/>
            <a:gd name="connsiteX0" fmla="*/ 1095442 w 2817412"/>
            <a:gd name="connsiteY0" fmla="*/ 0 h 1156073"/>
            <a:gd name="connsiteX1" fmla="*/ 927355 w 2817412"/>
            <a:gd name="connsiteY1" fmla="*/ 79054 h 1156073"/>
            <a:gd name="connsiteX2" fmla="*/ 762081 w 2817412"/>
            <a:gd name="connsiteY2" fmla="*/ 151033 h 1156073"/>
            <a:gd name="connsiteX3" fmla="*/ 25678 w 2817412"/>
            <a:gd name="connsiteY3" fmla="*/ 537307 h 1156073"/>
            <a:gd name="connsiteX4" fmla="*/ 916148 w 2817412"/>
            <a:gd name="connsiteY4" fmla="*/ 1042147 h 1156073"/>
            <a:gd name="connsiteX5" fmla="*/ 1487648 w 2817412"/>
            <a:gd name="connsiteY5" fmla="*/ 1154206 h 1156073"/>
            <a:gd name="connsiteX6" fmla="*/ 2092765 w 2817412"/>
            <a:gd name="connsiteY6" fmla="*/ 1030942 h 1156073"/>
            <a:gd name="connsiteX7" fmla="*/ 2305677 w 2817412"/>
            <a:gd name="connsiteY7" fmla="*/ 918883 h 1156073"/>
            <a:gd name="connsiteX8" fmla="*/ 2720295 w 2817412"/>
            <a:gd name="connsiteY8" fmla="*/ 750794 h 1156073"/>
            <a:gd name="connsiteX9" fmla="*/ 2787530 w 2817412"/>
            <a:gd name="connsiteY9" fmla="*/ 313765 h 1156073"/>
            <a:gd name="connsiteX10" fmla="*/ 2541001 w 2817412"/>
            <a:gd name="connsiteY10" fmla="*/ 145677 h 1156073"/>
            <a:gd name="connsiteX11" fmla="*/ 1924677 w 2817412"/>
            <a:gd name="connsiteY11" fmla="*/ 235324 h 1156073"/>
            <a:gd name="connsiteX12" fmla="*/ 1588501 w 2817412"/>
            <a:gd name="connsiteY12" fmla="*/ 145677 h 1156073"/>
            <a:gd name="connsiteX13" fmla="*/ 1095442 w 2817412"/>
            <a:gd name="connsiteY13" fmla="*/ 0 h 1156073"/>
            <a:gd name="connsiteX0" fmla="*/ 1095442 w 2817412"/>
            <a:gd name="connsiteY0" fmla="*/ 0 h 1156073"/>
            <a:gd name="connsiteX1" fmla="*/ 927355 w 2817412"/>
            <a:gd name="connsiteY1" fmla="*/ 79054 h 1156073"/>
            <a:gd name="connsiteX2" fmla="*/ 762081 w 2817412"/>
            <a:gd name="connsiteY2" fmla="*/ 151033 h 1156073"/>
            <a:gd name="connsiteX3" fmla="*/ 25678 w 2817412"/>
            <a:gd name="connsiteY3" fmla="*/ 537307 h 1156073"/>
            <a:gd name="connsiteX4" fmla="*/ 916148 w 2817412"/>
            <a:gd name="connsiteY4" fmla="*/ 1042147 h 1156073"/>
            <a:gd name="connsiteX5" fmla="*/ 1487648 w 2817412"/>
            <a:gd name="connsiteY5" fmla="*/ 1154206 h 1156073"/>
            <a:gd name="connsiteX6" fmla="*/ 2092765 w 2817412"/>
            <a:gd name="connsiteY6" fmla="*/ 1030942 h 1156073"/>
            <a:gd name="connsiteX7" fmla="*/ 2305677 w 2817412"/>
            <a:gd name="connsiteY7" fmla="*/ 918883 h 1156073"/>
            <a:gd name="connsiteX8" fmla="*/ 2720295 w 2817412"/>
            <a:gd name="connsiteY8" fmla="*/ 750794 h 1156073"/>
            <a:gd name="connsiteX9" fmla="*/ 2787530 w 2817412"/>
            <a:gd name="connsiteY9" fmla="*/ 313765 h 1156073"/>
            <a:gd name="connsiteX10" fmla="*/ 2541001 w 2817412"/>
            <a:gd name="connsiteY10" fmla="*/ 145677 h 1156073"/>
            <a:gd name="connsiteX11" fmla="*/ 1924677 w 2817412"/>
            <a:gd name="connsiteY11" fmla="*/ 235324 h 1156073"/>
            <a:gd name="connsiteX12" fmla="*/ 1588501 w 2817412"/>
            <a:gd name="connsiteY12" fmla="*/ 145677 h 1156073"/>
            <a:gd name="connsiteX13" fmla="*/ 1616629 w 2817412"/>
            <a:gd name="connsiteY13" fmla="*/ 212953 h 1156073"/>
            <a:gd name="connsiteX14" fmla="*/ 1095442 w 2817412"/>
            <a:gd name="connsiteY14" fmla="*/ 0 h 1156073"/>
            <a:gd name="connsiteX0" fmla="*/ 1104344 w 2817412"/>
            <a:gd name="connsiteY0" fmla="*/ 19343 h 1104650"/>
            <a:gd name="connsiteX1" fmla="*/ 927355 w 2817412"/>
            <a:gd name="connsiteY1" fmla="*/ 27631 h 1104650"/>
            <a:gd name="connsiteX2" fmla="*/ 762081 w 2817412"/>
            <a:gd name="connsiteY2" fmla="*/ 99610 h 1104650"/>
            <a:gd name="connsiteX3" fmla="*/ 25678 w 2817412"/>
            <a:gd name="connsiteY3" fmla="*/ 485884 h 1104650"/>
            <a:gd name="connsiteX4" fmla="*/ 916148 w 2817412"/>
            <a:gd name="connsiteY4" fmla="*/ 990724 h 1104650"/>
            <a:gd name="connsiteX5" fmla="*/ 1487648 w 2817412"/>
            <a:gd name="connsiteY5" fmla="*/ 1102783 h 1104650"/>
            <a:gd name="connsiteX6" fmla="*/ 2092765 w 2817412"/>
            <a:gd name="connsiteY6" fmla="*/ 979519 h 1104650"/>
            <a:gd name="connsiteX7" fmla="*/ 2305677 w 2817412"/>
            <a:gd name="connsiteY7" fmla="*/ 867460 h 1104650"/>
            <a:gd name="connsiteX8" fmla="*/ 2720295 w 2817412"/>
            <a:gd name="connsiteY8" fmla="*/ 699371 h 1104650"/>
            <a:gd name="connsiteX9" fmla="*/ 2787530 w 2817412"/>
            <a:gd name="connsiteY9" fmla="*/ 262342 h 1104650"/>
            <a:gd name="connsiteX10" fmla="*/ 2541001 w 2817412"/>
            <a:gd name="connsiteY10" fmla="*/ 94254 h 1104650"/>
            <a:gd name="connsiteX11" fmla="*/ 1924677 w 2817412"/>
            <a:gd name="connsiteY11" fmla="*/ 183901 h 1104650"/>
            <a:gd name="connsiteX12" fmla="*/ 1588501 w 2817412"/>
            <a:gd name="connsiteY12" fmla="*/ 94254 h 1104650"/>
            <a:gd name="connsiteX13" fmla="*/ 1616629 w 2817412"/>
            <a:gd name="connsiteY13" fmla="*/ 161530 h 1104650"/>
            <a:gd name="connsiteX14" fmla="*/ 1104344 w 2817412"/>
            <a:gd name="connsiteY14" fmla="*/ 19343 h 1104650"/>
            <a:gd name="connsiteX0" fmla="*/ 1104344 w 2817412"/>
            <a:gd name="connsiteY0" fmla="*/ 19343 h 1123816"/>
            <a:gd name="connsiteX1" fmla="*/ 927355 w 2817412"/>
            <a:gd name="connsiteY1" fmla="*/ 27631 h 1123816"/>
            <a:gd name="connsiteX2" fmla="*/ 762081 w 2817412"/>
            <a:gd name="connsiteY2" fmla="*/ 99610 h 1123816"/>
            <a:gd name="connsiteX3" fmla="*/ 25678 w 2817412"/>
            <a:gd name="connsiteY3" fmla="*/ 485884 h 1123816"/>
            <a:gd name="connsiteX4" fmla="*/ 916148 w 2817412"/>
            <a:gd name="connsiteY4" fmla="*/ 990724 h 1123816"/>
            <a:gd name="connsiteX5" fmla="*/ 1487648 w 2817412"/>
            <a:gd name="connsiteY5" fmla="*/ 1102783 h 1123816"/>
            <a:gd name="connsiteX6" fmla="*/ 2030455 w 2817412"/>
            <a:gd name="connsiteY6" fmla="*/ 864524 h 1123816"/>
            <a:gd name="connsiteX7" fmla="*/ 2305677 w 2817412"/>
            <a:gd name="connsiteY7" fmla="*/ 867460 h 1123816"/>
            <a:gd name="connsiteX8" fmla="*/ 2720295 w 2817412"/>
            <a:gd name="connsiteY8" fmla="*/ 699371 h 1123816"/>
            <a:gd name="connsiteX9" fmla="*/ 2787530 w 2817412"/>
            <a:gd name="connsiteY9" fmla="*/ 262342 h 1123816"/>
            <a:gd name="connsiteX10" fmla="*/ 2541001 w 2817412"/>
            <a:gd name="connsiteY10" fmla="*/ 94254 h 1123816"/>
            <a:gd name="connsiteX11" fmla="*/ 1924677 w 2817412"/>
            <a:gd name="connsiteY11" fmla="*/ 183901 h 1123816"/>
            <a:gd name="connsiteX12" fmla="*/ 1588501 w 2817412"/>
            <a:gd name="connsiteY12" fmla="*/ 94254 h 1123816"/>
            <a:gd name="connsiteX13" fmla="*/ 1616629 w 2817412"/>
            <a:gd name="connsiteY13" fmla="*/ 161530 h 1123816"/>
            <a:gd name="connsiteX14" fmla="*/ 1104344 w 2817412"/>
            <a:gd name="connsiteY14" fmla="*/ 19343 h 1123816"/>
            <a:gd name="connsiteX0" fmla="*/ 1104344 w 2817412"/>
            <a:gd name="connsiteY0" fmla="*/ 19343 h 1123816"/>
            <a:gd name="connsiteX1" fmla="*/ 927355 w 2817412"/>
            <a:gd name="connsiteY1" fmla="*/ 27631 h 1123816"/>
            <a:gd name="connsiteX2" fmla="*/ 762081 w 2817412"/>
            <a:gd name="connsiteY2" fmla="*/ 99610 h 1123816"/>
            <a:gd name="connsiteX3" fmla="*/ 25678 w 2817412"/>
            <a:gd name="connsiteY3" fmla="*/ 485884 h 1123816"/>
            <a:gd name="connsiteX4" fmla="*/ 916148 w 2817412"/>
            <a:gd name="connsiteY4" fmla="*/ 990724 h 1123816"/>
            <a:gd name="connsiteX5" fmla="*/ 1487648 w 2817412"/>
            <a:gd name="connsiteY5" fmla="*/ 1102783 h 1123816"/>
            <a:gd name="connsiteX6" fmla="*/ 2030455 w 2817412"/>
            <a:gd name="connsiteY6" fmla="*/ 864524 h 1123816"/>
            <a:gd name="connsiteX7" fmla="*/ 2296775 w 2817412"/>
            <a:gd name="connsiteY7" fmla="*/ 752464 h 1123816"/>
            <a:gd name="connsiteX8" fmla="*/ 2720295 w 2817412"/>
            <a:gd name="connsiteY8" fmla="*/ 699371 h 1123816"/>
            <a:gd name="connsiteX9" fmla="*/ 2787530 w 2817412"/>
            <a:gd name="connsiteY9" fmla="*/ 262342 h 1123816"/>
            <a:gd name="connsiteX10" fmla="*/ 2541001 w 2817412"/>
            <a:gd name="connsiteY10" fmla="*/ 94254 h 1123816"/>
            <a:gd name="connsiteX11" fmla="*/ 1924677 w 2817412"/>
            <a:gd name="connsiteY11" fmla="*/ 183901 h 1123816"/>
            <a:gd name="connsiteX12" fmla="*/ 1588501 w 2817412"/>
            <a:gd name="connsiteY12" fmla="*/ 94254 h 1123816"/>
            <a:gd name="connsiteX13" fmla="*/ 1616629 w 2817412"/>
            <a:gd name="connsiteY13" fmla="*/ 161530 h 1123816"/>
            <a:gd name="connsiteX14" fmla="*/ 1104344 w 2817412"/>
            <a:gd name="connsiteY14" fmla="*/ 19343 h 1123816"/>
            <a:gd name="connsiteX0" fmla="*/ 1104344 w 2812962"/>
            <a:gd name="connsiteY0" fmla="*/ 19343 h 1123816"/>
            <a:gd name="connsiteX1" fmla="*/ 927355 w 2812962"/>
            <a:gd name="connsiteY1" fmla="*/ 27631 h 1123816"/>
            <a:gd name="connsiteX2" fmla="*/ 762081 w 2812962"/>
            <a:gd name="connsiteY2" fmla="*/ 99610 h 1123816"/>
            <a:gd name="connsiteX3" fmla="*/ 25678 w 2812962"/>
            <a:gd name="connsiteY3" fmla="*/ 485884 h 1123816"/>
            <a:gd name="connsiteX4" fmla="*/ 916148 w 2812962"/>
            <a:gd name="connsiteY4" fmla="*/ 990724 h 1123816"/>
            <a:gd name="connsiteX5" fmla="*/ 1487648 w 2812962"/>
            <a:gd name="connsiteY5" fmla="*/ 1102783 h 1123816"/>
            <a:gd name="connsiteX6" fmla="*/ 2030455 w 2812962"/>
            <a:gd name="connsiteY6" fmla="*/ 864524 h 1123816"/>
            <a:gd name="connsiteX7" fmla="*/ 2296775 w 2812962"/>
            <a:gd name="connsiteY7" fmla="*/ 752464 h 1123816"/>
            <a:gd name="connsiteX8" fmla="*/ 2693591 w 2812962"/>
            <a:gd name="connsiteY8" fmla="*/ 628605 h 1123816"/>
            <a:gd name="connsiteX9" fmla="*/ 2787530 w 2812962"/>
            <a:gd name="connsiteY9" fmla="*/ 262342 h 1123816"/>
            <a:gd name="connsiteX10" fmla="*/ 2541001 w 2812962"/>
            <a:gd name="connsiteY10" fmla="*/ 94254 h 1123816"/>
            <a:gd name="connsiteX11" fmla="*/ 1924677 w 2812962"/>
            <a:gd name="connsiteY11" fmla="*/ 183901 h 1123816"/>
            <a:gd name="connsiteX12" fmla="*/ 1588501 w 2812962"/>
            <a:gd name="connsiteY12" fmla="*/ 94254 h 1123816"/>
            <a:gd name="connsiteX13" fmla="*/ 1616629 w 2812962"/>
            <a:gd name="connsiteY13" fmla="*/ 161530 h 1123816"/>
            <a:gd name="connsiteX14" fmla="*/ 1104344 w 2812962"/>
            <a:gd name="connsiteY14" fmla="*/ 19343 h 1123816"/>
            <a:gd name="connsiteX0" fmla="*/ 1104344 w 2812962"/>
            <a:gd name="connsiteY0" fmla="*/ 19343 h 1123816"/>
            <a:gd name="connsiteX1" fmla="*/ 927355 w 2812962"/>
            <a:gd name="connsiteY1" fmla="*/ 27631 h 1123816"/>
            <a:gd name="connsiteX2" fmla="*/ 762081 w 2812962"/>
            <a:gd name="connsiteY2" fmla="*/ 99610 h 1123816"/>
            <a:gd name="connsiteX3" fmla="*/ 25678 w 2812962"/>
            <a:gd name="connsiteY3" fmla="*/ 485884 h 1123816"/>
            <a:gd name="connsiteX4" fmla="*/ 916148 w 2812962"/>
            <a:gd name="connsiteY4" fmla="*/ 990724 h 1123816"/>
            <a:gd name="connsiteX5" fmla="*/ 1487648 w 2812962"/>
            <a:gd name="connsiteY5" fmla="*/ 1102783 h 1123816"/>
            <a:gd name="connsiteX6" fmla="*/ 2030455 w 2812962"/>
            <a:gd name="connsiteY6" fmla="*/ 864524 h 1123816"/>
            <a:gd name="connsiteX7" fmla="*/ 2296775 w 2812962"/>
            <a:gd name="connsiteY7" fmla="*/ 752464 h 1123816"/>
            <a:gd name="connsiteX8" fmla="*/ 2693591 w 2812962"/>
            <a:gd name="connsiteY8" fmla="*/ 628605 h 1123816"/>
            <a:gd name="connsiteX9" fmla="*/ 2787530 w 2812962"/>
            <a:gd name="connsiteY9" fmla="*/ 262342 h 1123816"/>
            <a:gd name="connsiteX10" fmla="*/ 2541001 w 2812962"/>
            <a:gd name="connsiteY10" fmla="*/ 94254 h 1123816"/>
            <a:gd name="connsiteX11" fmla="*/ 1924677 w 2812962"/>
            <a:gd name="connsiteY11" fmla="*/ 183901 h 1123816"/>
            <a:gd name="connsiteX12" fmla="*/ 1757631 w 2812962"/>
            <a:gd name="connsiteY12" fmla="*/ 226940 h 1123816"/>
            <a:gd name="connsiteX13" fmla="*/ 1616629 w 2812962"/>
            <a:gd name="connsiteY13" fmla="*/ 161530 h 1123816"/>
            <a:gd name="connsiteX14" fmla="*/ 1104344 w 2812962"/>
            <a:gd name="connsiteY14" fmla="*/ 19343 h 1123816"/>
            <a:gd name="connsiteX0" fmla="*/ 1104344 w 2812962"/>
            <a:gd name="connsiteY0" fmla="*/ 19343 h 1123816"/>
            <a:gd name="connsiteX1" fmla="*/ 927355 w 2812962"/>
            <a:gd name="connsiteY1" fmla="*/ 27631 h 1123816"/>
            <a:gd name="connsiteX2" fmla="*/ 762081 w 2812962"/>
            <a:gd name="connsiteY2" fmla="*/ 99610 h 1123816"/>
            <a:gd name="connsiteX3" fmla="*/ 25678 w 2812962"/>
            <a:gd name="connsiteY3" fmla="*/ 485884 h 1123816"/>
            <a:gd name="connsiteX4" fmla="*/ 916148 w 2812962"/>
            <a:gd name="connsiteY4" fmla="*/ 990724 h 1123816"/>
            <a:gd name="connsiteX5" fmla="*/ 1487648 w 2812962"/>
            <a:gd name="connsiteY5" fmla="*/ 1102783 h 1123816"/>
            <a:gd name="connsiteX6" fmla="*/ 2030455 w 2812962"/>
            <a:gd name="connsiteY6" fmla="*/ 864524 h 1123816"/>
            <a:gd name="connsiteX7" fmla="*/ 2296775 w 2812962"/>
            <a:gd name="connsiteY7" fmla="*/ 752464 h 1123816"/>
            <a:gd name="connsiteX8" fmla="*/ 2693591 w 2812962"/>
            <a:gd name="connsiteY8" fmla="*/ 628605 h 1123816"/>
            <a:gd name="connsiteX9" fmla="*/ 2787530 w 2812962"/>
            <a:gd name="connsiteY9" fmla="*/ 262342 h 1123816"/>
            <a:gd name="connsiteX10" fmla="*/ 2541001 w 2812962"/>
            <a:gd name="connsiteY10" fmla="*/ 94254 h 1123816"/>
            <a:gd name="connsiteX11" fmla="*/ 1924677 w 2812962"/>
            <a:gd name="connsiteY11" fmla="*/ 183901 h 1123816"/>
            <a:gd name="connsiteX12" fmla="*/ 2035002 w 2812962"/>
            <a:gd name="connsiteY12" fmla="*/ 241143 h 1123816"/>
            <a:gd name="connsiteX13" fmla="*/ 1757631 w 2812962"/>
            <a:gd name="connsiteY13" fmla="*/ 226940 h 1123816"/>
            <a:gd name="connsiteX14" fmla="*/ 1616629 w 2812962"/>
            <a:gd name="connsiteY14" fmla="*/ 161530 h 1123816"/>
            <a:gd name="connsiteX15" fmla="*/ 1104344 w 2812962"/>
            <a:gd name="connsiteY15" fmla="*/ 19343 h 1123816"/>
            <a:gd name="connsiteX0" fmla="*/ 1104344 w 2812962"/>
            <a:gd name="connsiteY0" fmla="*/ 19343 h 1123816"/>
            <a:gd name="connsiteX1" fmla="*/ 927355 w 2812962"/>
            <a:gd name="connsiteY1" fmla="*/ 27631 h 1123816"/>
            <a:gd name="connsiteX2" fmla="*/ 762081 w 2812962"/>
            <a:gd name="connsiteY2" fmla="*/ 99610 h 1123816"/>
            <a:gd name="connsiteX3" fmla="*/ 25678 w 2812962"/>
            <a:gd name="connsiteY3" fmla="*/ 485884 h 1123816"/>
            <a:gd name="connsiteX4" fmla="*/ 916148 w 2812962"/>
            <a:gd name="connsiteY4" fmla="*/ 990724 h 1123816"/>
            <a:gd name="connsiteX5" fmla="*/ 1487648 w 2812962"/>
            <a:gd name="connsiteY5" fmla="*/ 1102783 h 1123816"/>
            <a:gd name="connsiteX6" fmla="*/ 2030455 w 2812962"/>
            <a:gd name="connsiteY6" fmla="*/ 864524 h 1123816"/>
            <a:gd name="connsiteX7" fmla="*/ 2296775 w 2812962"/>
            <a:gd name="connsiteY7" fmla="*/ 752464 h 1123816"/>
            <a:gd name="connsiteX8" fmla="*/ 2693591 w 2812962"/>
            <a:gd name="connsiteY8" fmla="*/ 628605 h 1123816"/>
            <a:gd name="connsiteX9" fmla="*/ 2787530 w 2812962"/>
            <a:gd name="connsiteY9" fmla="*/ 262342 h 1123816"/>
            <a:gd name="connsiteX10" fmla="*/ 2541001 w 2812962"/>
            <a:gd name="connsiteY10" fmla="*/ 94254 h 1123816"/>
            <a:gd name="connsiteX11" fmla="*/ 2200627 w 2812962"/>
            <a:gd name="connsiteY11" fmla="*/ 236975 h 1123816"/>
            <a:gd name="connsiteX12" fmla="*/ 2035002 w 2812962"/>
            <a:gd name="connsiteY12" fmla="*/ 241143 h 1123816"/>
            <a:gd name="connsiteX13" fmla="*/ 1757631 w 2812962"/>
            <a:gd name="connsiteY13" fmla="*/ 226940 h 1123816"/>
            <a:gd name="connsiteX14" fmla="*/ 1616629 w 2812962"/>
            <a:gd name="connsiteY14" fmla="*/ 161530 h 1123816"/>
            <a:gd name="connsiteX15" fmla="*/ 1104344 w 2812962"/>
            <a:gd name="connsiteY15" fmla="*/ 19343 h 1123816"/>
            <a:gd name="connsiteX0" fmla="*/ 1104344 w 2807027"/>
            <a:gd name="connsiteY0" fmla="*/ 19343 h 1123816"/>
            <a:gd name="connsiteX1" fmla="*/ 927355 w 2807027"/>
            <a:gd name="connsiteY1" fmla="*/ 27631 h 1123816"/>
            <a:gd name="connsiteX2" fmla="*/ 762081 w 2807027"/>
            <a:gd name="connsiteY2" fmla="*/ 99610 h 1123816"/>
            <a:gd name="connsiteX3" fmla="*/ 25678 w 2807027"/>
            <a:gd name="connsiteY3" fmla="*/ 485884 h 1123816"/>
            <a:gd name="connsiteX4" fmla="*/ 916148 w 2807027"/>
            <a:gd name="connsiteY4" fmla="*/ 990724 h 1123816"/>
            <a:gd name="connsiteX5" fmla="*/ 1487648 w 2807027"/>
            <a:gd name="connsiteY5" fmla="*/ 1102783 h 1123816"/>
            <a:gd name="connsiteX6" fmla="*/ 2030455 w 2807027"/>
            <a:gd name="connsiteY6" fmla="*/ 864524 h 1123816"/>
            <a:gd name="connsiteX7" fmla="*/ 2296775 w 2807027"/>
            <a:gd name="connsiteY7" fmla="*/ 752464 h 1123816"/>
            <a:gd name="connsiteX8" fmla="*/ 2693591 w 2807027"/>
            <a:gd name="connsiteY8" fmla="*/ 628605 h 1123816"/>
            <a:gd name="connsiteX9" fmla="*/ 2787530 w 2807027"/>
            <a:gd name="connsiteY9" fmla="*/ 262342 h 1123816"/>
            <a:gd name="connsiteX10" fmla="*/ 2576608 w 2807027"/>
            <a:gd name="connsiteY10" fmla="*/ 182712 h 1123816"/>
            <a:gd name="connsiteX11" fmla="*/ 2200627 w 2807027"/>
            <a:gd name="connsiteY11" fmla="*/ 236975 h 1123816"/>
            <a:gd name="connsiteX12" fmla="*/ 2035002 w 2807027"/>
            <a:gd name="connsiteY12" fmla="*/ 241143 h 1123816"/>
            <a:gd name="connsiteX13" fmla="*/ 1757631 w 2807027"/>
            <a:gd name="connsiteY13" fmla="*/ 226940 h 1123816"/>
            <a:gd name="connsiteX14" fmla="*/ 1616629 w 2807027"/>
            <a:gd name="connsiteY14" fmla="*/ 161530 h 1123816"/>
            <a:gd name="connsiteX15" fmla="*/ 1104344 w 2807027"/>
            <a:gd name="connsiteY15" fmla="*/ 19343 h 1123816"/>
            <a:gd name="connsiteX0" fmla="*/ 1106397 w 2809080"/>
            <a:gd name="connsiteY0" fmla="*/ 19343 h 1112022"/>
            <a:gd name="connsiteX1" fmla="*/ 929408 w 2809080"/>
            <a:gd name="connsiteY1" fmla="*/ 27631 h 1112022"/>
            <a:gd name="connsiteX2" fmla="*/ 764134 w 2809080"/>
            <a:gd name="connsiteY2" fmla="*/ 99610 h 1112022"/>
            <a:gd name="connsiteX3" fmla="*/ 27731 w 2809080"/>
            <a:gd name="connsiteY3" fmla="*/ 485884 h 1112022"/>
            <a:gd name="connsiteX4" fmla="*/ 597746 w 2809080"/>
            <a:gd name="connsiteY4" fmla="*/ 919958 h 1112022"/>
            <a:gd name="connsiteX5" fmla="*/ 1489701 w 2809080"/>
            <a:gd name="connsiteY5" fmla="*/ 1102783 h 1112022"/>
            <a:gd name="connsiteX6" fmla="*/ 2032508 w 2809080"/>
            <a:gd name="connsiteY6" fmla="*/ 864524 h 1112022"/>
            <a:gd name="connsiteX7" fmla="*/ 2298828 w 2809080"/>
            <a:gd name="connsiteY7" fmla="*/ 752464 h 1112022"/>
            <a:gd name="connsiteX8" fmla="*/ 2695644 w 2809080"/>
            <a:gd name="connsiteY8" fmla="*/ 628605 h 1112022"/>
            <a:gd name="connsiteX9" fmla="*/ 2789583 w 2809080"/>
            <a:gd name="connsiteY9" fmla="*/ 262342 h 1112022"/>
            <a:gd name="connsiteX10" fmla="*/ 2578661 w 2809080"/>
            <a:gd name="connsiteY10" fmla="*/ 182712 h 1112022"/>
            <a:gd name="connsiteX11" fmla="*/ 2202680 w 2809080"/>
            <a:gd name="connsiteY11" fmla="*/ 236975 h 1112022"/>
            <a:gd name="connsiteX12" fmla="*/ 2037055 w 2809080"/>
            <a:gd name="connsiteY12" fmla="*/ 241143 h 1112022"/>
            <a:gd name="connsiteX13" fmla="*/ 1759684 w 2809080"/>
            <a:gd name="connsiteY13" fmla="*/ 226940 h 1112022"/>
            <a:gd name="connsiteX14" fmla="*/ 1618682 w 2809080"/>
            <a:gd name="connsiteY14" fmla="*/ 161530 h 1112022"/>
            <a:gd name="connsiteX15" fmla="*/ 1106397 w 2809080"/>
            <a:gd name="connsiteY15" fmla="*/ 19343 h 11120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809080" h="1112022">
              <a:moveTo>
                <a:pt x="1106397" y="19343"/>
              </a:moveTo>
              <a:cubicBezTo>
                <a:pt x="1041029" y="109924"/>
                <a:pt x="1161112" y="0"/>
                <a:pt x="929408" y="27631"/>
              </a:cubicBezTo>
              <a:cubicBezTo>
                <a:pt x="900552" y="73443"/>
                <a:pt x="914413" y="23235"/>
                <a:pt x="764134" y="99610"/>
              </a:cubicBezTo>
              <a:cubicBezTo>
                <a:pt x="613855" y="175985"/>
                <a:pt x="55462" y="349159"/>
                <a:pt x="27731" y="485884"/>
              </a:cubicBezTo>
              <a:cubicBezTo>
                <a:pt x="0" y="622609"/>
                <a:pt x="354084" y="817142"/>
                <a:pt x="597746" y="919958"/>
              </a:cubicBezTo>
              <a:cubicBezTo>
                <a:pt x="841408" y="1022775"/>
                <a:pt x="1250574" y="1112022"/>
                <a:pt x="1489701" y="1102783"/>
              </a:cubicBezTo>
              <a:cubicBezTo>
                <a:pt x="1728828" y="1093544"/>
                <a:pt x="1897654" y="922910"/>
                <a:pt x="2032508" y="864524"/>
              </a:cubicBezTo>
              <a:cubicBezTo>
                <a:pt x="2167362" y="806138"/>
                <a:pt x="2188305" y="791784"/>
                <a:pt x="2298828" y="752464"/>
              </a:cubicBezTo>
              <a:cubicBezTo>
                <a:pt x="2409351" y="713144"/>
                <a:pt x="2613852" y="710292"/>
                <a:pt x="2695644" y="628605"/>
              </a:cubicBezTo>
              <a:cubicBezTo>
                <a:pt x="2777437" y="546918"/>
                <a:pt x="2809080" y="336657"/>
                <a:pt x="2789583" y="262342"/>
              </a:cubicBezTo>
              <a:cubicBezTo>
                <a:pt x="2770086" y="188027"/>
                <a:pt x="2676478" y="186940"/>
                <a:pt x="2578661" y="182712"/>
              </a:cubicBezTo>
              <a:cubicBezTo>
                <a:pt x="2480844" y="178484"/>
                <a:pt x="2292948" y="227237"/>
                <a:pt x="2202680" y="236975"/>
              </a:cubicBezTo>
              <a:cubicBezTo>
                <a:pt x="2112412" y="246713"/>
                <a:pt x="2110888" y="242815"/>
                <a:pt x="2037055" y="241143"/>
              </a:cubicBezTo>
              <a:cubicBezTo>
                <a:pt x="1963222" y="239471"/>
                <a:pt x="1810126" y="231363"/>
                <a:pt x="1759684" y="226940"/>
              </a:cubicBezTo>
              <a:lnTo>
                <a:pt x="1618682" y="161530"/>
              </a:lnTo>
              <a:lnTo>
                <a:pt x="1106397" y="19343"/>
              </a:lnTo>
              <a:close/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0.17905</cdr:x>
      <cdr:y>0.17048</cdr:y>
    </cdr:from>
    <cdr:to>
      <cdr:x>0.71109</cdr:x>
      <cdr:y>0.44075</cdr:y>
    </cdr:to>
    <cdr:sp macro="" textlink="">
      <cdr:nvSpPr>
        <cdr:cNvPr id="4" name="Прямая соединительная линия 3"/>
        <cdr:cNvSpPr/>
      </cdr:nvSpPr>
      <cdr:spPr>
        <a:xfrm xmlns:a="http://schemas.openxmlformats.org/drawingml/2006/main" flipH="1">
          <a:off x="1385046" y="822511"/>
          <a:ext cx="4052047" cy="114748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0.20717</cdr:x>
      <cdr:y>0.39874</cdr:y>
    </cdr:from>
    <cdr:to>
      <cdr:x>0.78424</cdr:x>
      <cdr:y>0.6713</cdr:y>
    </cdr:to>
    <cdr:sp macro="" textlink="">
      <cdr:nvSpPr>
        <cdr:cNvPr id="6" name="Прямая соединительная линия 5"/>
        <cdr:cNvSpPr/>
      </cdr:nvSpPr>
      <cdr:spPr>
        <a:xfrm xmlns:a="http://schemas.openxmlformats.org/drawingml/2006/main" flipV="1">
          <a:off x="1600200" y="1790698"/>
          <a:ext cx="4392705" cy="11564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0.33796</cdr:x>
      <cdr:y>0.19999</cdr:y>
    </cdr:from>
    <cdr:to>
      <cdr:x>0.64993</cdr:x>
      <cdr:y>0.74258</cdr:y>
    </cdr:to>
    <cdr:sp macro="" textlink="">
      <cdr:nvSpPr>
        <cdr:cNvPr id="7" name="Полилиния 6"/>
        <cdr:cNvSpPr/>
      </cdr:nvSpPr>
      <cdr:spPr>
        <a:xfrm xmlns:a="http://schemas.openxmlformats.org/drawingml/2006/main">
          <a:off x="2595282" y="948017"/>
          <a:ext cx="2375647" cy="2303929"/>
        </a:xfrm>
        <a:custGeom xmlns:a="http://schemas.openxmlformats.org/drawingml/2006/main">
          <a:avLst/>
          <a:gdLst>
            <a:gd name="connsiteX0" fmla="*/ 1075765 w 2375647"/>
            <a:gd name="connsiteY0" fmla="*/ 2294964 h 2303929"/>
            <a:gd name="connsiteX1" fmla="*/ 699247 w 2375647"/>
            <a:gd name="connsiteY1" fmla="*/ 2303929 h 2303929"/>
            <a:gd name="connsiteX2" fmla="*/ 304800 w 2375647"/>
            <a:gd name="connsiteY2" fmla="*/ 2250141 h 2303929"/>
            <a:gd name="connsiteX3" fmla="*/ 44824 w 2375647"/>
            <a:gd name="connsiteY3" fmla="*/ 2124635 h 2303929"/>
            <a:gd name="connsiteX4" fmla="*/ 0 w 2375647"/>
            <a:gd name="connsiteY4" fmla="*/ 1810870 h 2303929"/>
            <a:gd name="connsiteX5" fmla="*/ 618565 w 2375647"/>
            <a:gd name="connsiteY5" fmla="*/ 1416423 h 2303929"/>
            <a:gd name="connsiteX6" fmla="*/ 1111624 w 2375647"/>
            <a:gd name="connsiteY6" fmla="*/ 1219200 h 2303929"/>
            <a:gd name="connsiteX7" fmla="*/ 1541930 w 2375647"/>
            <a:gd name="connsiteY7" fmla="*/ 887506 h 2303929"/>
            <a:gd name="connsiteX8" fmla="*/ 1559859 w 2375647"/>
            <a:gd name="connsiteY8" fmla="*/ 869576 h 2303929"/>
            <a:gd name="connsiteX9" fmla="*/ 1828800 w 2375647"/>
            <a:gd name="connsiteY9" fmla="*/ 582706 h 2303929"/>
            <a:gd name="connsiteX10" fmla="*/ 1972235 w 2375647"/>
            <a:gd name="connsiteY10" fmla="*/ 313764 h 2303929"/>
            <a:gd name="connsiteX11" fmla="*/ 2151530 w 2375647"/>
            <a:gd name="connsiteY11" fmla="*/ 80682 h 2303929"/>
            <a:gd name="connsiteX12" fmla="*/ 2312894 w 2375647"/>
            <a:gd name="connsiteY12" fmla="*/ 0 h 2303929"/>
            <a:gd name="connsiteX13" fmla="*/ 2375647 w 2375647"/>
            <a:gd name="connsiteY13" fmla="*/ 71717 h 2303929"/>
            <a:gd name="connsiteX14" fmla="*/ 2321859 w 2375647"/>
            <a:gd name="connsiteY14" fmla="*/ 259976 h 2303929"/>
            <a:gd name="connsiteX15" fmla="*/ 2259106 w 2375647"/>
            <a:gd name="connsiteY15" fmla="*/ 546847 h 2303929"/>
            <a:gd name="connsiteX16" fmla="*/ 2196353 w 2375647"/>
            <a:gd name="connsiteY16" fmla="*/ 851647 h 2303929"/>
            <a:gd name="connsiteX17" fmla="*/ 2124635 w 2375647"/>
            <a:gd name="connsiteY17" fmla="*/ 1111623 h 2303929"/>
            <a:gd name="connsiteX18" fmla="*/ 1999130 w 2375647"/>
            <a:gd name="connsiteY18" fmla="*/ 1353670 h 2303929"/>
            <a:gd name="connsiteX19" fmla="*/ 1425388 w 2375647"/>
            <a:gd name="connsiteY19" fmla="*/ 1532964 h 2303929"/>
            <a:gd name="connsiteX20" fmla="*/ 1246094 w 2375647"/>
            <a:gd name="connsiteY20" fmla="*/ 1766047 h 2303929"/>
            <a:gd name="connsiteX21" fmla="*/ 1183341 w 2375647"/>
            <a:gd name="connsiteY21" fmla="*/ 1981200 h 2303929"/>
            <a:gd name="connsiteX22" fmla="*/ 1138518 w 2375647"/>
            <a:gd name="connsiteY22" fmla="*/ 2205317 h 2303929"/>
            <a:gd name="connsiteX23" fmla="*/ 1075765 w 2375647"/>
            <a:gd name="connsiteY23" fmla="*/ 2294964 h 23039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2375647" h="2303929">
              <a:moveTo>
                <a:pt x="1075765" y="2294964"/>
              </a:moveTo>
              <a:lnTo>
                <a:pt x="699247" y="2303929"/>
              </a:lnTo>
              <a:lnTo>
                <a:pt x="304800" y="2250141"/>
              </a:lnTo>
              <a:lnTo>
                <a:pt x="44824" y="2124635"/>
              </a:lnTo>
              <a:lnTo>
                <a:pt x="0" y="1810870"/>
              </a:lnTo>
              <a:lnTo>
                <a:pt x="618565" y="1416423"/>
              </a:lnTo>
              <a:lnTo>
                <a:pt x="1111624" y="1219200"/>
              </a:lnTo>
              <a:lnTo>
                <a:pt x="1541930" y="887506"/>
              </a:lnTo>
              <a:cubicBezTo>
                <a:pt x="1548594" y="882308"/>
                <a:pt x="1559859" y="869576"/>
                <a:pt x="1559859" y="869576"/>
              </a:cubicBezTo>
              <a:lnTo>
                <a:pt x="1828800" y="582706"/>
              </a:lnTo>
              <a:cubicBezTo>
                <a:pt x="1964607" y="311091"/>
                <a:pt x="1863042" y="313764"/>
                <a:pt x="1972235" y="313764"/>
              </a:cubicBezTo>
              <a:lnTo>
                <a:pt x="2151530" y="80682"/>
              </a:lnTo>
              <a:lnTo>
                <a:pt x="2312894" y="0"/>
              </a:lnTo>
              <a:lnTo>
                <a:pt x="2375647" y="71717"/>
              </a:lnTo>
              <a:lnTo>
                <a:pt x="2321859" y="259976"/>
              </a:lnTo>
              <a:lnTo>
                <a:pt x="2259106" y="546847"/>
              </a:lnTo>
              <a:lnTo>
                <a:pt x="2196353" y="851647"/>
              </a:lnTo>
              <a:cubicBezTo>
                <a:pt x="2123814" y="1105532"/>
                <a:pt x="2124635" y="1015640"/>
                <a:pt x="2124635" y="1111623"/>
              </a:cubicBezTo>
              <a:cubicBezTo>
                <a:pt x="2013402" y="1343361"/>
                <a:pt x="2075654" y="1277146"/>
                <a:pt x="1999130" y="1353670"/>
              </a:cubicBezTo>
              <a:lnTo>
                <a:pt x="1425388" y="1532964"/>
              </a:lnTo>
              <a:lnTo>
                <a:pt x="1246094" y="1766047"/>
              </a:lnTo>
              <a:cubicBezTo>
                <a:pt x="1191581" y="1984099"/>
                <a:pt x="1266231" y="1981200"/>
                <a:pt x="1183341" y="1981200"/>
              </a:cubicBezTo>
              <a:lnTo>
                <a:pt x="1138518" y="2205317"/>
              </a:lnTo>
              <a:lnTo>
                <a:pt x="1075765" y="229496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0.29607</cdr:x>
      <cdr:y>0.68641</cdr:y>
    </cdr:from>
    <cdr:to>
      <cdr:x>0.81713</cdr:x>
      <cdr:y>0.81467</cdr:y>
    </cdr:to>
    <cdr:sp macro="" textlink="">
      <cdr:nvSpPr>
        <cdr:cNvPr id="2" name="Полилиния 1"/>
        <cdr:cNvSpPr/>
      </cdr:nvSpPr>
      <cdr:spPr>
        <a:xfrm xmlns:a="http://schemas.openxmlformats.org/drawingml/2006/main">
          <a:off x="2228102" y="4443132"/>
          <a:ext cx="3888442" cy="803088"/>
        </a:xfrm>
        <a:custGeom xmlns:a="http://schemas.openxmlformats.org/drawingml/2006/main">
          <a:avLst/>
          <a:gdLst>
            <a:gd name="connsiteX0" fmla="*/ 169956 w 3888442"/>
            <a:gd name="connsiteY0" fmla="*/ 61632 h 803088"/>
            <a:gd name="connsiteX1" fmla="*/ 1189692 w 3888442"/>
            <a:gd name="connsiteY1" fmla="*/ 61632 h 803088"/>
            <a:gd name="connsiteX2" fmla="*/ 2601633 w 3888442"/>
            <a:gd name="connsiteY2" fmla="*/ 207308 h 803088"/>
            <a:gd name="connsiteX3" fmla="*/ 3722221 w 3888442"/>
            <a:gd name="connsiteY3" fmla="*/ 274544 h 803088"/>
            <a:gd name="connsiteX4" fmla="*/ 3598956 w 3888442"/>
            <a:gd name="connsiteY4" fmla="*/ 722779 h 803088"/>
            <a:gd name="connsiteX5" fmla="*/ 2523192 w 3888442"/>
            <a:gd name="connsiteY5" fmla="*/ 756397 h 803088"/>
            <a:gd name="connsiteX6" fmla="*/ 1167280 w 3888442"/>
            <a:gd name="connsiteY6" fmla="*/ 756397 h 803088"/>
            <a:gd name="connsiteX7" fmla="*/ 427692 w 3888442"/>
            <a:gd name="connsiteY7" fmla="*/ 711573 h 803088"/>
            <a:gd name="connsiteX8" fmla="*/ 169956 w 3888442"/>
            <a:gd name="connsiteY8" fmla="*/ 431426 h 803088"/>
            <a:gd name="connsiteX9" fmla="*/ 169956 w 3888442"/>
            <a:gd name="connsiteY9" fmla="*/ 61632 h 8030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888442" h="803088">
              <a:moveTo>
                <a:pt x="169956" y="61632"/>
              </a:moveTo>
              <a:cubicBezTo>
                <a:pt x="339912" y="0"/>
                <a:pt x="784413" y="37353"/>
                <a:pt x="1189692" y="61632"/>
              </a:cubicBezTo>
              <a:cubicBezTo>
                <a:pt x="1594971" y="85911"/>
                <a:pt x="2179545" y="171823"/>
                <a:pt x="2601633" y="207308"/>
              </a:cubicBezTo>
              <a:cubicBezTo>
                <a:pt x="3023721" y="242793"/>
                <a:pt x="3556001" y="188632"/>
                <a:pt x="3722221" y="274544"/>
              </a:cubicBezTo>
              <a:cubicBezTo>
                <a:pt x="3888442" y="360456"/>
                <a:pt x="3798794" y="642470"/>
                <a:pt x="3598956" y="722779"/>
              </a:cubicBezTo>
              <a:cubicBezTo>
                <a:pt x="3399118" y="803088"/>
                <a:pt x="2928471" y="750794"/>
                <a:pt x="2523192" y="756397"/>
              </a:cubicBezTo>
              <a:cubicBezTo>
                <a:pt x="2117913" y="762000"/>
                <a:pt x="1516530" y="763868"/>
                <a:pt x="1167280" y="756397"/>
              </a:cubicBezTo>
              <a:cubicBezTo>
                <a:pt x="818030" y="748926"/>
                <a:pt x="593913" y="765735"/>
                <a:pt x="427692" y="711573"/>
              </a:cubicBezTo>
              <a:cubicBezTo>
                <a:pt x="261471" y="657411"/>
                <a:pt x="205441" y="537882"/>
                <a:pt x="169956" y="431426"/>
              </a:cubicBezTo>
              <a:cubicBezTo>
                <a:pt x="134471" y="324970"/>
                <a:pt x="0" y="123264"/>
                <a:pt x="169956" y="61632"/>
              </a:cubicBez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rgbClr val="92D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0.18914</cdr:x>
      <cdr:y>0.58412</cdr:y>
    </cdr:from>
    <cdr:to>
      <cdr:x>0.78043</cdr:x>
      <cdr:y>0.78482</cdr:y>
    </cdr:to>
    <cdr:sp macro="" textlink="">
      <cdr:nvSpPr>
        <cdr:cNvPr id="4" name="Полилиния 3"/>
        <cdr:cNvSpPr/>
      </cdr:nvSpPr>
      <cdr:spPr>
        <a:xfrm xmlns:a="http://schemas.openxmlformats.org/drawingml/2006/main">
          <a:off x="1438835" y="3845858"/>
          <a:ext cx="4446494" cy="1272988"/>
        </a:xfrm>
        <a:custGeom xmlns:a="http://schemas.openxmlformats.org/drawingml/2006/main">
          <a:avLst/>
          <a:gdLst>
            <a:gd name="connsiteX0" fmla="*/ 2133600 w 4446494"/>
            <a:gd name="connsiteY0" fmla="*/ 1272988 h 1272988"/>
            <a:gd name="connsiteX1" fmla="*/ 1801906 w 4446494"/>
            <a:gd name="connsiteY1" fmla="*/ 1147482 h 1272988"/>
            <a:gd name="connsiteX2" fmla="*/ 1586753 w 4446494"/>
            <a:gd name="connsiteY2" fmla="*/ 878541 h 1272988"/>
            <a:gd name="connsiteX3" fmla="*/ 1326776 w 4446494"/>
            <a:gd name="connsiteY3" fmla="*/ 779929 h 1272988"/>
            <a:gd name="connsiteX4" fmla="*/ 914400 w 4446494"/>
            <a:gd name="connsiteY4" fmla="*/ 502024 h 1272988"/>
            <a:gd name="connsiteX5" fmla="*/ 636494 w 4446494"/>
            <a:gd name="connsiteY5" fmla="*/ 475129 h 1272988"/>
            <a:gd name="connsiteX6" fmla="*/ 188259 w 4446494"/>
            <a:gd name="connsiteY6" fmla="*/ 439271 h 1272988"/>
            <a:gd name="connsiteX7" fmla="*/ 0 w 4446494"/>
            <a:gd name="connsiteY7" fmla="*/ 304800 h 1272988"/>
            <a:gd name="connsiteX8" fmla="*/ 62753 w 4446494"/>
            <a:gd name="connsiteY8" fmla="*/ 224118 h 1272988"/>
            <a:gd name="connsiteX9" fmla="*/ 430306 w 4446494"/>
            <a:gd name="connsiteY9" fmla="*/ 179294 h 1272988"/>
            <a:gd name="connsiteX10" fmla="*/ 959223 w 4446494"/>
            <a:gd name="connsiteY10" fmla="*/ 206188 h 1272988"/>
            <a:gd name="connsiteX11" fmla="*/ 1344706 w 4446494"/>
            <a:gd name="connsiteY11" fmla="*/ 161365 h 1272988"/>
            <a:gd name="connsiteX12" fmla="*/ 1676400 w 4446494"/>
            <a:gd name="connsiteY12" fmla="*/ 116541 h 1272988"/>
            <a:gd name="connsiteX13" fmla="*/ 2151529 w 4446494"/>
            <a:gd name="connsiteY13" fmla="*/ 89647 h 1272988"/>
            <a:gd name="connsiteX14" fmla="*/ 2572870 w 4446494"/>
            <a:gd name="connsiteY14" fmla="*/ 197224 h 1272988"/>
            <a:gd name="connsiteX15" fmla="*/ 2985247 w 4446494"/>
            <a:gd name="connsiteY15" fmla="*/ 251012 h 1272988"/>
            <a:gd name="connsiteX16" fmla="*/ 3325906 w 4446494"/>
            <a:gd name="connsiteY16" fmla="*/ 161365 h 1272988"/>
            <a:gd name="connsiteX17" fmla="*/ 3738282 w 4446494"/>
            <a:gd name="connsiteY17" fmla="*/ 80682 h 1272988"/>
            <a:gd name="connsiteX18" fmla="*/ 3953435 w 4446494"/>
            <a:gd name="connsiteY18" fmla="*/ 0 h 1272988"/>
            <a:gd name="connsiteX19" fmla="*/ 4043082 w 4446494"/>
            <a:gd name="connsiteY19" fmla="*/ 17929 h 1272988"/>
            <a:gd name="connsiteX20" fmla="*/ 4150659 w 4446494"/>
            <a:gd name="connsiteY20" fmla="*/ 242047 h 1272988"/>
            <a:gd name="connsiteX21" fmla="*/ 4303059 w 4446494"/>
            <a:gd name="connsiteY21" fmla="*/ 403412 h 1272988"/>
            <a:gd name="connsiteX22" fmla="*/ 4446494 w 4446494"/>
            <a:gd name="connsiteY22" fmla="*/ 600635 h 1272988"/>
            <a:gd name="connsiteX23" fmla="*/ 4383741 w 4446494"/>
            <a:gd name="connsiteY23" fmla="*/ 788894 h 1272988"/>
            <a:gd name="connsiteX24" fmla="*/ 4061011 w 4446494"/>
            <a:gd name="connsiteY24" fmla="*/ 968188 h 1272988"/>
            <a:gd name="connsiteX25" fmla="*/ 3612776 w 4446494"/>
            <a:gd name="connsiteY25" fmla="*/ 1075765 h 1272988"/>
            <a:gd name="connsiteX26" fmla="*/ 3254188 w 4446494"/>
            <a:gd name="connsiteY26" fmla="*/ 1093694 h 1272988"/>
            <a:gd name="connsiteX27" fmla="*/ 2868706 w 4446494"/>
            <a:gd name="connsiteY27" fmla="*/ 1039906 h 1272988"/>
            <a:gd name="connsiteX28" fmla="*/ 2474259 w 4446494"/>
            <a:gd name="connsiteY28" fmla="*/ 1075765 h 1272988"/>
            <a:gd name="connsiteX29" fmla="*/ 2268070 w 4446494"/>
            <a:gd name="connsiteY29" fmla="*/ 1210235 h 1272988"/>
            <a:gd name="connsiteX30" fmla="*/ 2133600 w 4446494"/>
            <a:gd name="connsiteY30" fmla="*/ 1272988 h 1272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4446494" h="1272988">
              <a:moveTo>
                <a:pt x="2133600" y="1272988"/>
              </a:moveTo>
              <a:lnTo>
                <a:pt x="1801906" y="1147482"/>
              </a:lnTo>
              <a:lnTo>
                <a:pt x="1586753" y="878541"/>
              </a:lnTo>
              <a:lnTo>
                <a:pt x="1326776" y="779929"/>
              </a:lnTo>
              <a:lnTo>
                <a:pt x="914400" y="502024"/>
              </a:lnTo>
              <a:lnTo>
                <a:pt x="636494" y="475129"/>
              </a:lnTo>
              <a:lnTo>
                <a:pt x="188259" y="439271"/>
              </a:lnTo>
              <a:lnTo>
                <a:pt x="0" y="304800"/>
              </a:lnTo>
              <a:cubicBezTo>
                <a:pt x="39500" y="215926"/>
                <a:pt x="6428" y="224118"/>
                <a:pt x="62753" y="224118"/>
              </a:cubicBezTo>
              <a:cubicBezTo>
                <a:pt x="412299" y="178124"/>
                <a:pt x="288880" y="179294"/>
                <a:pt x="430306" y="179294"/>
              </a:cubicBezTo>
              <a:lnTo>
                <a:pt x="959223" y="206188"/>
              </a:lnTo>
              <a:lnTo>
                <a:pt x="1344706" y="161365"/>
              </a:lnTo>
              <a:cubicBezTo>
                <a:pt x="1658375" y="115237"/>
                <a:pt x="1546813" y="116541"/>
                <a:pt x="1676400" y="116541"/>
              </a:cubicBezTo>
              <a:cubicBezTo>
                <a:pt x="2133584" y="89110"/>
                <a:pt x="1974955" y="89647"/>
                <a:pt x="2151529" y="89647"/>
              </a:cubicBezTo>
              <a:cubicBezTo>
                <a:pt x="2530152" y="203235"/>
                <a:pt x="2385325" y="197224"/>
                <a:pt x="2572870" y="197224"/>
              </a:cubicBezTo>
              <a:cubicBezTo>
                <a:pt x="2943168" y="254193"/>
                <a:pt x="2804582" y="251012"/>
                <a:pt x="2985247" y="251012"/>
              </a:cubicBezTo>
              <a:cubicBezTo>
                <a:pt x="3313735" y="159765"/>
                <a:pt x="3196326" y="161365"/>
                <a:pt x="3325906" y="161365"/>
              </a:cubicBezTo>
              <a:cubicBezTo>
                <a:pt x="3726208" y="79484"/>
                <a:pt x="3586148" y="80682"/>
                <a:pt x="3738282" y="80682"/>
              </a:cubicBezTo>
              <a:lnTo>
                <a:pt x="3953435" y="0"/>
              </a:lnTo>
              <a:lnTo>
                <a:pt x="4043082" y="17929"/>
              </a:lnTo>
              <a:cubicBezTo>
                <a:pt x="4135299" y="239250"/>
                <a:pt x="4063237" y="198336"/>
                <a:pt x="4150659" y="242047"/>
              </a:cubicBezTo>
              <a:lnTo>
                <a:pt x="4303059" y="403412"/>
              </a:lnTo>
              <a:lnTo>
                <a:pt x="4446494" y="600635"/>
              </a:lnTo>
              <a:lnTo>
                <a:pt x="4383741" y="788894"/>
              </a:lnTo>
              <a:lnTo>
                <a:pt x="4061011" y="968188"/>
              </a:lnTo>
              <a:lnTo>
                <a:pt x="3612776" y="1075765"/>
              </a:lnTo>
              <a:cubicBezTo>
                <a:pt x="3258939" y="1102983"/>
                <a:pt x="3345803" y="1185309"/>
                <a:pt x="3254188" y="1093694"/>
              </a:cubicBezTo>
              <a:cubicBezTo>
                <a:pt x="2880722" y="1039041"/>
                <a:pt x="3010458" y="1039906"/>
                <a:pt x="2868706" y="1039906"/>
              </a:cubicBezTo>
              <a:lnTo>
                <a:pt x="2474259" y="1075765"/>
              </a:lnTo>
              <a:lnTo>
                <a:pt x="2268070" y="1210235"/>
              </a:lnTo>
              <a:lnTo>
                <a:pt x="2133600" y="1272988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0.34634</cdr:x>
      <cdr:y>0.53325</cdr:y>
    </cdr:from>
    <cdr:to>
      <cdr:x>0.7448</cdr:x>
      <cdr:y>0.717</cdr:y>
    </cdr:to>
    <cdr:sp macro="" textlink="">
      <cdr:nvSpPr>
        <cdr:cNvPr id="5" name="Полилиния 4"/>
        <cdr:cNvSpPr/>
      </cdr:nvSpPr>
      <cdr:spPr>
        <a:xfrm xmlns:a="http://schemas.openxmlformats.org/drawingml/2006/main">
          <a:off x="2621779" y="3522702"/>
          <a:ext cx="2994609" cy="1165838"/>
        </a:xfrm>
        <a:custGeom xmlns:a="http://schemas.openxmlformats.org/drawingml/2006/main">
          <a:avLst/>
          <a:gdLst>
            <a:gd name="connsiteX0" fmla="*/ 296232 w 2994609"/>
            <a:gd name="connsiteY0" fmla="*/ 403838 h 1165838"/>
            <a:gd name="connsiteX1" fmla="*/ 63150 w 2994609"/>
            <a:gd name="connsiteY1" fmla="*/ 269368 h 1165838"/>
            <a:gd name="connsiteX2" fmla="*/ 63150 w 2994609"/>
            <a:gd name="connsiteY2" fmla="*/ 134897 h 1165838"/>
            <a:gd name="connsiteX3" fmla="*/ 206585 w 2994609"/>
            <a:gd name="connsiteY3" fmla="*/ 45250 h 1165838"/>
            <a:gd name="connsiteX4" fmla="*/ 242444 w 2994609"/>
            <a:gd name="connsiteY4" fmla="*/ 36285 h 1165838"/>
            <a:gd name="connsiteX5" fmla="*/ 547244 w 2994609"/>
            <a:gd name="connsiteY5" fmla="*/ 9391 h 1165838"/>
            <a:gd name="connsiteX6" fmla="*/ 834115 w 2994609"/>
            <a:gd name="connsiteY6" fmla="*/ 427 h 1165838"/>
            <a:gd name="connsiteX7" fmla="*/ 1076162 w 2994609"/>
            <a:gd name="connsiteY7" fmla="*/ 427 h 1165838"/>
            <a:gd name="connsiteX8" fmla="*/ 1578185 w 2994609"/>
            <a:gd name="connsiteY8" fmla="*/ 45250 h 1165838"/>
            <a:gd name="connsiteX9" fmla="*/ 1784373 w 2994609"/>
            <a:gd name="connsiteY9" fmla="*/ 197650 h 1165838"/>
            <a:gd name="connsiteX10" fmla="*/ 1811267 w 2994609"/>
            <a:gd name="connsiteY10" fmla="*/ 206615 h 1165838"/>
            <a:gd name="connsiteX11" fmla="*/ 1829197 w 2994609"/>
            <a:gd name="connsiteY11" fmla="*/ 206615 h 1165838"/>
            <a:gd name="connsiteX12" fmla="*/ 2017456 w 2994609"/>
            <a:gd name="connsiteY12" fmla="*/ 179721 h 1165838"/>
            <a:gd name="connsiteX13" fmla="*/ 2286397 w 2994609"/>
            <a:gd name="connsiteY13" fmla="*/ 125933 h 1165838"/>
            <a:gd name="connsiteX14" fmla="*/ 2618091 w 2994609"/>
            <a:gd name="connsiteY14" fmla="*/ 179721 h 1165838"/>
            <a:gd name="connsiteX15" fmla="*/ 2788420 w 2994609"/>
            <a:gd name="connsiteY15" fmla="*/ 448662 h 1165838"/>
            <a:gd name="connsiteX16" fmla="*/ 2895997 w 2994609"/>
            <a:gd name="connsiteY16" fmla="*/ 681744 h 1165838"/>
            <a:gd name="connsiteX17" fmla="*/ 2994609 w 2994609"/>
            <a:gd name="connsiteY17" fmla="*/ 932756 h 1165838"/>
            <a:gd name="connsiteX18" fmla="*/ 2940820 w 2994609"/>
            <a:gd name="connsiteY18" fmla="*/ 1031368 h 1165838"/>
            <a:gd name="connsiteX19" fmla="*/ 2591197 w 2994609"/>
            <a:gd name="connsiteY19" fmla="*/ 1165838 h 1165838"/>
            <a:gd name="connsiteX20" fmla="*/ 2169856 w 2994609"/>
            <a:gd name="connsiteY20" fmla="*/ 1156874 h 1165838"/>
            <a:gd name="connsiteX21" fmla="*/ 1766444 w 2994609"/>
            <a:gd name="connsiteY21" fmla="*/ 1004474 h 1165838"/>
            <a:gd name="connsiteX22" fmla="*/ 1380962 w 2994609"/>
            <a:gd name="connsiteY22" fmla="*/ 753462 h 1165838"/>
            <a:gd name="connsiteX23" fmla="*/ 1103056 w 2994609"/>
            <a:gd name="connsiteY23" fmla="*/ 601062 h 1165838"/>
            <a:gd name="connsiteX24" fmla="*/ 816185 w 2994609"/>
            <a:gd name="connsiteY24" fmla="*/ 538309 h 1165838"/>
            <a:gd name="connsiteX25" fmla="*/ 529315 w 2994609"/>
            <a:gd name="connsiteY25" fmla="*/ 448662 h 1165838"/>
            <a:gd name="connsiteX26" fmla="*/ 296232 w 2994609"/>
            <a:gd name="connsiteY26" fmla="*/ 403838 h 11658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2994609" h="1165838">
              <a:moveTo>
                <a:pt x="296232" y="403838"/>
              </a:moveTo>
              <a:lnTo>
                <a:pt x="63150" y="269368"/>
              </a:lnTo>
              <a:cubicBezTo>
                <a:pt x="44430" y="128973"/>
                <a:pt x="0" y="134897"/>
                <a:pt x="63150" y="134897"/>
              </a:cubicBezTo>
              <a:cubicBezTo>
                <a:pt x="110962" y="105015"/>
                <a:pt x="157182" y="72422"/>
                <a:pt x="206585" y="45250"/>
              </a:cubicBezTo>
              <a:cubicBezTo>
                <a:pt x="217381" y="39312"/>
                <a:pt x="242444" y="36285"/>
                <a:pt x="242444" y="36285"/>
              </a:cubicBezTo>
              <a:cubicBezTo>
                <a:pt x="529273" y="8527"/>
                <a:pt x="427282" y="9391"/>
                <a:pt x="547244" y="9391"/>
              </a:cubicBezTo>
              <a:cubicBezTo>
                <a:pt x="810201" y="0"/>
                <a:pt x="714532" y="427"/>
                <a:pt x="834115" y="427"/>
              </a:cubicBezTo>
              <a:lnTo>
                <a:pt x="1076162" y="427"/>
              </a:lnTo>
              <a:lnTo>
                <a:pt x="1578185" y="45250"/>
              </a:lnTo>
              <a:cubicBezTo>
                <a:pt x="1646914" y="96050"/>
                <a:pt x="1714104" y="149002"/>
                <a:pt x="1784373" y="197650"/>
              </a:cubicBezTo>
              <a:cubicBezTo>
                <a:pt x="1792142" y="203029"/>
                <a:pt x="1802001" y="204762"/>
                <a:pt x="1811267" y="206615"/>
              </a:cubicBezTo>
              <a:cubicBezTo>
                <a:pt x="1817128" y="207787"/>
                <a:pt x="1823220" y="206615"/>
                <a:pt x="1829197" y="206615"/>
              </a:cubicBezTo>
              <a:cubicBezTo>
                <a:pt x="2005430" y="178789"/>
                <a:pt x="1942046" y="179721"/>
                <a:pt x="2017456" y="179721"/>
              </a:cubicBezTo>
              <a:cubicBezTo>
                <a:pt x="2274311" y="124681"/>
                <a:pt x="2182897" y="125933"/>
                <a:pt x="2286397" y="125933"/>
              </a:cubicBezTo>
              <a:lnTo>
                <a:pt x="2618091" y="179721"/>
              </a:lnTo>
              <a:lnTo>
                <a:pt x="2788420" y="448662"/>
              </a:lnTo>
              <a:lnTo>
                <a:pt x="2895997" y="681744"/>
              </a:lnTo>
              <a:lnTo>
                <a:pt x="2994609" y="932756"/>
              </a:lnTo>
              <a:lnTo>
                <a:pt x="2940820" y="1031368"/>
              </a:lnTo>
              <a:lnTo>
                <a:pt x="2591197" y="1165838"/>
              </a:lnTo>
              <a:lnTo>
                <a:pt x="2169856" y="1156874"/>
              </a:lnTo>
              <a:lnTo>
                <a:pt x="1766444" y="1004474"/>
              </a:lnTo>
              <a:lnTo>
                <a:pt x="1380962" y="753462"/>
              </a:lnTo>
              <a:lnTo>
                <a:pt x="1103056" y="601062"/>
              </a:lnTo>
              <a:lnTo>
                <a:pt x="816185" y="538309"/>
              </a:lnTo>
              <a:lnTo>
                <a:pt x="529315" y="448662"/>
              </a:lnTo>
              <a:lnTo>
                <a:pt x="296232" y="403838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\&#1059;&#1095;&#1077;&#1073;&#1072;\&#1050;&#1059;&#1056;&#1057;&#1040;&#1063;\&#1058;&#1077;&#1082;&#1089;&#1090;\&#1052;&#1086;&#1088;&#1092;&#1086;&#1084;&#1077;&#1090;&#1088;&#1080;&#1095;&#1077;&#1089;&#1082;&#1080;&#1077;%20&#1093;&#1072;&#1088;-&#1082;&#1080;%20&#1091;&#1089;&#1090;&#1100;&#1077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верная Земля"/>
      <sheetName val="Новосибирские о-ва "/>
      <sheetName val="Новая Земля "/>
      <sheetName val="Знач_Гис_НЗ"/>
      <sheetName val="Знач_Гис_Нов"/>
      <sheetName val="Знач_Гис_СЗ"/>
    </sheetNames>
    <sheetDataSet>
      <sheetData sheetId="0"/>
      <sheetData sheetId="1"/>
      <sheetData sheetId="2">
        <row r="35">
          <cell r="E35">
            <v>144.10300000000001</v>
          </cell>
          <cell r="H35">
            <v>4.72</v>
          </cell>
        </row>
        <row r="36">
          <cell r="E36">
            <v>213.57900000000001</v>
          </cell>
          <cell r="H36">
            <v>3.16</v>
          </cell>
        </row>
        <row r="37">
          <cell r="E37">
            <v>38.3962</v>
          </cell>
          <cell r="H37">
            <v>4.0000000000000001E-3</v>
          </cell>
        </row>
        <row r="38">
          <cell r="E38">
            <v>113.848</v>
          </cell>
          <cell r="H38">
            <v>3.49</v>
          </cell>
        </row>
        <row r="39">
          <cell r="E39">
            <v>155.09899999999999</v>
          </cell>
          <cell r="H39">
            <v>0.8</v>
          </cell>
        </row>
        <row r="40">
          <cell r="E40">
            <v>457.52499999999998</v>
          </cell>
          <cell r="H40">
            <v>0.3</v>
          </cell>
        </row>
        <row r="41">
          <cell r="E41">
            <v>840.42</v>
          </cell>
          <cell r="H41">
            <v>0.8</v>
          </cell>
        </row>
        <row r="42">
          <cell r="E42">
            <v>413.762</v>
          </cell>
          <cell r="H42">
            <v>26.1</v>
          </cell>
        </row>
        <row r="43">
          <cell r="E43">
            <v>602.88699999999994</v>
          </cell>
          <cell r="H43">
            <v>26.9</v>
          </cell>
        </row>
        <row r="44">
          <cell r="E44">
            <v>250.16800000000001</v>
          </cell>
          <cell r="H44">
            <v>7.63</v>
          </cell>
        </row>
        <row r="45">
          <cell r="E45">
            <v>598.29200000000003</v>
          </cell>
          <cell r="H45">
            <v>2.16</v>
          </cell>
        </row>
        <row r="46">
          <cell r="E46">
            <v>313.29599999999999</v>
          </cell>
          <cell r="H46">
            <v>6.94</v>
          </cell>
        </row>
        <row r="47">
          <cell r="E47">
            <v>67.113</v>
          </cell>
          <cell r="H47">
            <v>0.04</v>
          </cell>
        </row>
        <row r="48">
          <cell r="E48">
            <v>250.303</v>
          </cell>
          <cell r="H48">
            <v>0.08</v>
          </cell>
        </row>
        <row r="49">
          <cell r="E49">
            <v>313.31799999999998</v>
          </cell>
          <cell r="H49">
            <v>0.96</v>
          </cell>
        </row>
        <row r="50">
          <cell r="E50">
            <v>78.729299999999995</v>
          </cell>
          <cell r="H50">
            <v>1.34</v>
          </cell>
        </row>
        <row r="51">
          <cell r="E51">
            <v>326.48899999999998</v>
          </cell>
          <cell r="H51">
            <v>12.82</v>
          </cell>
        </row>
        <row r="52">
          <cell r="E52">
            <v>34.798299999999998</v>
          </cell>
          <cell r="H52">
            <v>0.02</v>
          </cell>
        </row>
        <row r="53">
          <cell r="E53">
            <v>54.050199999999997</v>
          </cell>
          <cell r="H53">
            <v>0.04</v>
          </cell>
        </row>
        <row r="54">
          <cell r="E54">
            <v>144.94200000000001</v>
          </cell>
          <cell r="H54">
            <v>1.45</v>
          </cell>
        </row>
        <row r="55">
          <cell r="E55">
            <v>417.62599999999998</v>
          </cell>
          <cell r="H55">
            <v>3.29</v>
          </cell>
        </row>
        <row r="56">
          <cell r="E56">
            <v>1.8737699999999999</v>
          </cell>
          <cell r="H56">
            <v>1E-3</v>
          </cell>
        </row>
        <row r="57">
          <cell r="E57">
            <v>153.364</v>
          </cell>
          <cell r="H57">
            <v>0.1</v>
          </cell>
        </row>
        <row r="58">
          <cell r="E58">
            <v>65.007099999999994</v>
          </cell>
          <cell r="H58">
            <v>1.26</v>
          </cell>
        </row>
        <row r="59">
          <cell r="E59">
            <v>4.2178699999999996</v>
          </cell>
          <cell r="H59">
            <v>0.4</v>
          </cell>
        </row>
        <row r="60">
          <cell r="E60">
            <v>14.639900000000001</v>
          </cell>
          <cell r="H60">
            <v>0.14000000000000001</v>
          </cell>
        </row>
        <row r="61">
          <cell r="E61">
            <v>24.392700000000001</v>
          </cell>
          <cell r="H61">
            <v>0.61</v>
          </cell>
        </row>
        <row r="62">
          <cell r="E62">
            <v>37.357100000000003</v>
          </cell>
          <cell r="H62">
            <v>0.78</v>
          </cell>
        </row>
        <row r="63">
          <cell r="E63">
            <v>15.422599999999999</v>
          </cell>
          <cell r="H63">
            <v>0.15</v>
          </cell>
        </row>
        <row r="64">
          <cell r="E64">
            <v>18.2849</v>
          </cell>
          <cell r="H64">
            <v>0.51</v>
          </cell>
        </row>
        <row r="65">
          <cell r="E65">
            <v>10.5861</v>
          </cell>
          <cell r="H65">
            <v>7.0000000000000007E-2</v>
          </cell>
        </row>
        <row r="66">
          <cell r="E66">
            <v>316.56799999999998</v>
          </cell>
          <cell r="H66">
            <v>0.4</v>
          </cell>
        </row>
        <row r="67">
          <cell r="E67">
            <v>243.584</v>
          </cell>
          <cell r="H67">
            <v>2.11</v>
          </cell>
        </row>
        <row r="68">
          <cell r="E68">
            <v>440.363</v>
          </cell>
          <cell r="H68">
            <v>8.15</v>
          </cell>
        </row>
        <row r="69">
          <cell r="E69">
            <v>243.345</v>
          </cell>
          <cell r="H69">
            <v>2.83</v>
          </cell>
        </row>
        <row r="70">
          <cell r="E70">
            <v>353.37799999999999</v>
          </cell>
          <cell r="H70">
            <v>2.16</v>
          </cell>
        </row>
        <row r="71">
          <cell r="E71">
            <v>109.90600000000001</v>
          </cell>
          <cell r="H71">
            <v>2.34</v>
          </cell>
        </row>
        <row r="72">
          <cell r="E72">
            <v>37.932600000000001</v>
          </cell>
          <cell r="H72">
            <v>0.72</v>
          </cell>
        </row>
        <row r="73">
          <cell r="E73">
            <v>25.2118</v>
          </cell>
          <cell r="H73">
            <v>0.47</v>
          </cell>
        </row>
        <row r="74">
          <cell r="E74">
            <v>12.0205</v>
          </cell>
          <cell r="H74">
            <v>0.28999999999999998</v>
          </cell>
        </row>
        <row r="75">
          <cell r="E75">
            <v>45.453600000000002</v>
          </cell>
          <cell r="H75">
            <v>2.33</v>
          </cell>
        </row>
        <row r="126">
          <cell r="E126">
            <v>122.216748518166</v>
          </cell>
          <cell r="H126">
            <v>3.53</v>
          </cell>
        </row>
        <row r="127">
          <cell r="E127">
            <v>1019.98283455311</v>
          </cell>
          <cell r="H127">
            <v>2.12</v>
          </cell>
        </row>
        <row r="128">
          <cell r="E128">
            <v>825.78678405134906</v>
          </cell>
          <cell r="H128">
            <v>2.61</v>
          </cell>
        </row>
        <row r="129">
          <cell r="E129">
            <v>424.550297338733</v>
          </cell>
          <cell r="H129">
            <v>1.5</v>
          </cell>
        </row>
        <row r="130">
          <cell r="E130">
            <v>429.578239139461</v>
          </cell>
          <cell r="H130">
            <v>7.26</v>
          </cell>
        </row>
        <row r="131">
          <cell r="E131">
            <v>299.657346630083</v>
          </cell>
          <cell r="H131">
            <v>2.35</v>
          </cell>
        </row>
        <row r="132">
          <cell r="E132">
            <v>551.85110730446695</v>
          </cell>
          <cell r="H132">
            <v>5.51</v>
          </cell>
        </row>
        <row r="133">
          <cell r="E133">
            <v>143.075965458691</v>
          </cell>
          <cell r="H133">
            <v>2.11</v>
          </cell>
        </row>
        <row r="134">
          <cell r="E134">
            <v>502.26373090178902</v>
          </cell>
          <cell r="H134">
            <v>4.29</v>
          </cell>
        </row>
        <row r="135">
          <cell r="E135">
            <v>292.85949466440496</v>
          </cell>
          <cell r="H135">
            <v>1.41</v>
          </cell>
        </row>
        <row r="136">
          <cell r="E136">
            <v>72.587061035565</v>
          </cell>
          <cell r="H136">
            <v>0.08</v>
          </cell>
        </row>
        <row r="137">
          <cell r="E137">
            <v>454.861076595398</v>
          </cell>
          <cell r="H137">
            <v>0.5</v>
          </cell>
        </row>
        <row r="138">
          <cell r="E138">
            <v>1045.68557583606</v>
          </cell>
          <cell r="H138">
            <v>0.7</v>
          </cell>
        </row>
        <row r="139">
          <cell r="E139">
            <v>73.430974524345999</v>
          </cell>
          <cell r="H139">
            <v>0.09</v>
          </cell>
        </row>
        <row r="140">
          <cell r="E140">
            <v>1166.0019077910299</v>
          </cell>
          <cell r="H140">
            <v>6.32</v>
          </cell>
        </row>
        <row r="141">
          <cell r="E141">
            <v>596.94906073926199</v>
          </cell>
          <cell r="H141">
            <v>2.2400000000000002</v>
          </cell>
        </row>
        <row r="142">
          <cell r="E142">
            <v>607.48436033873293</v>
          </cell>
          <cell r="H142">
            <v>0.8</v>
          </cell>
        </row>
        <row r="143">
          <cell r="E143">
            <v>55.167605024521002</v>
          </cell>
          <cell r="H143">
            <v>0.12</v>
          </cell>
        </row>
        <row r="144">
          <cell r="E144">
            <v>77.897771089553999</v>
          </cell>
          <cell r="H144">
            <v>0.4</v>
          </cell>
        </row>
        <row r="145">
          <cell r="E145">
            <v>51.784469357249996</v>
          </cell>
          <cell r="H145">
            <v>0.3</v>
          </cell>
        </row>
        <row r="146">
          <cell r="E146">
            <v>88.521623664633012</v>
          </cell>
          <cell r="H146">
            <v>0.08</v>
          </cell>
        </row>
        <row r="147">
          <cell r="E147">
            <v>70.770910685574989</v>
          </cell>
          <cell r="H147">
            <v>0.08</v>
          </cell>
        </row>
        <row r="148">
          <cell r="E148">
            <v>178.433987292105</v>
          </cell>
          <cell r="H148">
            <v>1.19</v>
          </cell>
        </row>
        <row r="149">
          <cell r="E149">
            <v>53.506101256987996</v>
          </cell>
          <cell r="H149">
            <v>0.09</v>
          </cell>
        </row>
        <row r="150">
          <cell r="E150">
            <v>50.733628315242996</v>
          </cell>
          <cell r="H150">
            <v>0.09</v>
          </cell>
        </row>
        <row r="151">
          <cell r="E151">
            <v>1230.8228448376701</v>
          </cell>
          <cell r="H151">
            <v>2.65</v>
          </cell>
        </row>
        <row r="152">
          <cell r="E152">
            <v>65.084459695416996</v>
          </cell>
          <cell r="H152">
            <v>7.0000000000000007E-2</v>
          </cell>
        </row>
        <row r="153">
          <cell r="E153">
            <v>857.43382500168207</v>
          </cell>
          <cell r="H153">
            <v>1.83</v>
          </cell>
        </row>
        <row r="154">
          <cell r="E154">
            <v>1399.86048749263</v>
          </cell>
          <cell r="H154">
            <v>22.3</v>
          </cell>
        </row>
        <row r="155">
          <cell r="E155">
            <v>288.44211510973901</v>
          </cell>
          <cell r="H155">
            <v>0.03</v>
          </cell>
        </row>
        <row r="156">
          <cell r="E156">
            <v>69.559296417835</v>
          </cell>
          <cell r="H156">
            <v>0.4</v>
          </cell>
        </row>
        <row r="157">
          <cell r="E157">
            <v>69.63369452489799</v>
          </cell>
          <cell r="H157">
            <v>0.08</v>
          </cell>
        </row>
        <row r="158">
          <cell r="E158">
            <v>51.982898324086001</v>
          </cell>
          <cell r="H158">
            <v>0.2</v>
          </cell>
        </row>
        <row r="159">
          <cell r="E159">
            <v>86.468033740964998</v>
          </cell>
          <cell r="H159">
            <v>0.05</v>
          </cell>
        </row>
        <row r="160">
          <cell r="E160">
            <v>51.588919183550999</v>
          </cell>
          <cell r="H160">
            <v>0.3</v>
          </cell>
        </row>
        <row r="161">
          <cell r="E161">
            <v>54.009011818764996</v>
          </cell>
          <cell r="H161">
            <v>0.2</v>
          </cell>
        </row>
        <row r="162">
          <cell r="E162">
            <v>106.46971776257101</v>
          </cell>
          <cell r="H162">
            <v>0.47</v>
          </cell>
        </row>
        <row r="163">
          <cell r="E163">
            <v>108.396541247161</v>
          </cell>
          <cell r="H163">
            <v>0.24</v>
          </cell>
        </row>
        <row r="164">
          <cell r="E164">
            <v>86.537273523962</v>
          </cell>
          <cell r="H164">
            <v>0.04</v>
          </cell>
        </row>
        <row r="165">
          <cell r="E165">
            <v>57.800821075172003</v>
          </cell>
          <cell r="H165">
            <v>0.09</v>
          </cell>
        </row>
        <row r="166">
          <cell r="E166">
            <v>72.839803308057995</v>
          </cell>
          <cell r="H166">
            <v>0.15</v>
          </cell>
        </row>
        <row r="167">
          <cell r="E167">
            <v>64.858528782215998</v>
          </cell>
          <cell r="H167">
            <v>0.8</v>
          </cell>
        </row>
        <row r="168">
          <cell r="E168">
            <v>183.66804033401297</v>
          </cell>
          <cell r="H168">
            <v>0.36</v>
          </cell>
        </row>
        <row r="169">
          <cell r="E169">
            <v>95.927319832178995</v>
          </cell>
          <cell r="H169">
            <v>0.96</v>
          </cell>
        </row>
        <row r="170">
          <cell r="E170">
            <v>48.871350416032001</v>
          </cell>
          <cell r="H170">
            <v>0.02</v>
          </cell>
        </row>
        <row r="171">
          <cell r="E171">
            <v>69.526229064517011</v>
          </cell>
          <cell r="H171">
            <v>0.6</v>
          </cell>
        </row>
        <row r="172">
          <cell r="E172">
            <v>110.641579719513</v>
          </cell>
          <cell r="H172">
            <v>0.27</v>
          </cell>
        </row>
        <row r="173">
          <cell r="E173">
            <v>119.12259056888699</v>
          </cell>
          <cell r="H173">
            <v>0.17</v>
          </cell>
        </row>
        <row r="174">
          <cell r="E174">
            <v>101.61705110211</v>
          </cell>
          <cell r="H174">
            <v>0.38</v>
          </cell>
        </row>
        <row r="175">
          <cell r="E175">
            <v>111.62993138386101</v>
          </cell>
          <cell r="H175">
            <v>1.34</v>
          </cell>
        </row>
        <row r="176">
          <cell r="E176">
            <v>96.497893539017014</v>
          </cell>
          <cell r="H176">
            <v>1.46</v>
          </cell>
        </row>
        <row r="177">
          <cell r="E177">
            <v>759.54970400729803</v>
          </cell>
          <cell r="H177">
            <v>3.21</v>
          </cell>
        </row>
        <row r="178">
          <cell r="E178">
            <v>289.21134123916602</v>
          </cell>
          <cell r="H178">
            <v>2.97</v>
          </cell>
        </row>
        <row r="179">
          <cell r="E179">
            <v>65.252841371180992</v>
          </cell>
          <cell r="H179">
            <v>0.37</v>
          </cell>
        </row>
        <row r="180">
          <cell r="E180">
            <v>55.467441577745994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76"/>
  <sheetViews>
    <sheetView tabSelected="1" zoomScale="85" zoomScaleNormal="85" workbookViewId="0">
      <selection activeCell="G5" sqref="G5"/>
    </sheetView>
  </sheetViews>
  <sheetFormatPr defaultRowHeight="15" x14ac:dyDescent="0.25"/>
  <cols>
    <col min="2" max="2" width="13.42578125" customWidth="1"/>
    <col min="3" max="3" width="14.7109375" customWidth="1"/>
    <col min="4" max="4" width="13.85546875" style="5" customWidth="1"/>
    <col min="5" max="7" width="11" customWidth="1"/>
    <col min="8" max="8" width="12.28515625" customWidth="1"/>
    <col min="9" max="9" width="16.85546875" customWidth="1"/>
    <col min="10" max="10" width="12.7109375" customWidth="1"/>
    <col min="11" max="11" width="14.140625" style="7" customWidth="1"/>
    <col min="12" max="12" width="9.28515625" style="37" bestFit="1" customWidth="1"/>
    <col min="13" max="13" width="9.28515625" style="40" bestFit="1" customWidth="1"/>
    <col min="14" max="14" width="11.5703125" style="41" bestFit="1" customWidth="1"/>
    <col min="15" max="16" width="9.28515625" style="7" bestFit="1" customWidth="1"/>
    <col min="17" max="17" width="9.5703125" bestFit="1" customWidth="1"/>
    <col min="18" max="18" width="9.140625" style="1"/>
    <col min="19" max="19" width="18" bestFit="1" customWidth="1"/>
  </cols>
  <sheetData>
    <row r="1" spans="1:185" s="14" customFormat="1" ht="30" customHeigh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526</v>
      </c>
      <c r="F1" s="88" t="s">
        <v>629</v>
      </c>
      <c r="G1" s="88" t="s">
        <v>633</v>
      </c>
      <c r="H1" s="88" t="s">
        <v>527</v>
      </c>
      <c r="I1" s="88" t="s">
        <v>77</v>
      </c>
      <c r="J1" s="88" t="s">
        <v>78</v>
      </c>
      <c r="K1" s="88" t="s">
        <v>79</v>
      </c>
      <c r="L1" s="90" t="s">
        <v>497</v>
      </c>
      <c r="M1" s="92" t="s">
        <v>498</v>
      </c>
      <c r="N1" s="94" t="s">
        <v>500</v>
      </c>
      <c r="O1" s="94"/>
      <c r="P1" s="48" t="s">
        <v>499</v>
      </c>
      <c r="Q1" s="87" t="s">
        <v>501</v>
      </c>
      <c r="R1" s="87"/>
      <c r="S1" s="97" t="s">
        <v>634</v>
      </c>
      <c r="T1" s="95" t="s">
        <v>635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 spans="1:185" s="20" customFormat="1" ht="18" customHeight="1" thickBot="1" x14ac:dyDescent="0.3">
      <c r="A2" s="100"/>
      <c r="B2" s="100"/>
      <c r="C2" s="100"/>
      <c r="D2" s="100"/>
      <c r="E2" s="100"/>
      <c r="F2" s="89"/>
      <c r="G2" s="89"/>
      <c r="H2" s="89"/>
      <c r="I2" s="89"/>
      <c r="J2" s="89"/>
      <c r="K2" s="89"/>
      <c r="L2" s="91"/>
      <c r="M2" s="93"/>
      <c r="N2" s="49" t="s">
        <v>502</v>
      </c>
      <c r="O2" s="12" t="s">
        <v>503</v>
      </c>
      <c r="P2" s="12"/>
      <c r="Q2" s="13" t="s">
        <v>502</v>
      </c>
      <c r="R2" s="28" t="s">
        <v>503</v>
      </c>
      <c r="S2" s="98"/>
      <c r="T2" s="96"/>
    </row>
    <row r="3" spans="1:185" ht="30" customHeight="1" x14ac:dyDescent="0.25">
      <c r="A3" s="14">
        <v>136</v>
      </c>
      <c r="B3" s="15" t="s">
        <v>600</v>
      </c>
      <c r="C3" s="14" t="s">
        <v>20</v>
      </c>
      <c r="D3" s="16" t="s">
        <v>28</v>
      </c>
      <c r="E3" s="45">
        <v>74.017798999999997</v>
      </c>
      <c r="F3" s="45"/>
      <c r="G3" s="53"/>
      <c r="H3" s="14"/>
      <c r="I3" s="14"/>
      <c r="J3" s="14"/>
      <c r="K3" s="17"/>
      <c r="L3" s="38">
        <f>10/608</f>
        <v>1.6447368421052631E-2</v>
      </c>
      <c r="M3" s="45">
        <v>65.394188</v>
      </c>
      <c r="N3" s="53">
        <v>9480847.3870449997</v>
      </c>
      <c r="O3" s="17">
        <f t="shared" ref="O3:O30" si="0">(25*N3)/(1000000*E3)</f>
        <v>3.2022187619510949</v>
      </c>
      <c r="P3" s="59">
        <v>71.315071000000003</v>
      </c>
      <c r="Q3" s="18">
        <v>715982.106737077</v>
      </c>
      <c r="R3" s="56">
        <f t="shared" ref="R3:R15" si="1">(25*Q3)/(1000000*E3)</f>
        <v>0.24182768077752384</v>
      </c>
      <c r="S3" s="64" t="s">
        <v>637</v>
      </c>
      <c r="T3" s="54" t="s">
        <v>647</v>
      </c>
      <c r="V3" s="52"/>
    </row>
    <row r="4" spans="1:185" ht="30" customHeight="1" x14ac:dyDescent="0.25">
      <c r="A4" s="1">
        <v>138</v>
      </c>
      <c r="B4" s="2" t="s">
        <v>602</v>
      </c>
      <c r="C4" s="1" t="s">
        <v>21</v>
      </c>
      <c r="D4" s="4" t="s">
        <v>28</v>
      </c>
      <c r="E4" s="43">
        <v>33.584702</v>
      </c>
      <c r="F4" s="58">
        <v>2.8231790000000001</v>
      </c>
      <c r="G4" s="55">
        <f>100*F4/E4</f>
        <v>8.4061457505265338</v>
      </c>
      <c r="H4" s="1"/>
      <c r="I4" s="1"/>
      <c r="J4" s="1"/>
      <c r="K4" s="6"/>
      <c r="L4" s="34">
        <f>10/373</f>
        <v>2.6809651474530832E-2</v>
      </c>
      <c r="M4" s="43">
        <v>100.42451</v>
      </c>
      <c r="N4" s="55">
        <v>9759806.2040950004</v>
      </c>
      <c r="O4" s="6">
        <f t="shared" si="0"/>
        <v>7.2650683368390467</v>
      </c>
      <c r="P4" s="60">
        <v>107.38694</v>
      </c>
      <c r="Q4" s="3">
        <v>365506.00133099599</v>
      </c>
      <c r="R4" s="56">
        <f t="shared" si="1"/>
        <v>0.27207774638806981</v>
      </c>
      <c r="S4" s="64" t="s">
        <v>637</v>
      </c>
      <c r="T4" s="54" t="s">
        <v>647</v>
      </c>
      <c r="V4" s="52"/>
    </row>
    <row r="5" spans="1:185" ht="30" customHeight="1" x14ac:dyDescent="0.25">
      <c r="A5" s="1">
        <v>152</v>
      </c>
      <c r="B5" s="2" t="s">
        <v>613</v>
      </c>
      <c r="C5" s="1" t="s">
        <v>573</v>
      </c>
      <c r="D5" s="4" t="s">
        <v>28</v>
      </c>
      <c r="E5" s="43">
        <v>19.633600000000001</v>
      </c>
      <c r="F5" s="43"/>
      <c r="G5" s="55"/>
      <c r="H5" s="1"/>
      <c r="I5" s="1"/>
      <c r="J5" s="1"/>
      <c r="K5" s="6"/>
      <c r="L5" s="34">
        <f>10/463</f>
        <v>2.159827213822894E-2</v>
      </c>
      <c r="M5" s="43">
        <v>58.646160000000002</v>
      </c>
      <c r="N5" s="55">
        <v>4415436.5828959998</v>
      </c>
      <c r="O5" s="6">
        <f t="shared" si="0"/>
        <v>5.6222961949107644</v>
      </c>
      <c r="P5" s="60">
        <v>54.514533999999998</v>
      </c>
      <c r="Q5" s="3">
        <v>149103.91728234</v>
      </c>
      <c r="R5" s="56">
        <f t="shared" si="1"/>
        <v>0.18985809693884464</v>
      </c>
      <c r="S5" s="64" t="s">
        <v>637</v>
      </c>
      <c r="T5" s="54" t="s">
        <v>647</v>
      </c>
      <c r="V5" s="52"/>
    </row>
    <row r="6" spans="1:185" ht="30" customHeight="1" x14ac:dyDescent="0.25">
      <c r="A6" s="1">
        <v>164</v>
      </c>
      <c r="B6" s="8" t="s">
        <v>625</v>
      </c>
      <c r="C6" s="1" t="s">
        <v>40</v>
      </c>
      <c r="D6" s="4" t="s">
        <v>28</v>
      </c>
      <c r="E6" s="43">
        <v>104.34399999999999</v>
      </c>
      <c r="F6" s="58">
        <v>39.604306000000001</v>
      </c>
      <c r="G6" s="55">
        <f>100*F6/E6</f>
        <v>37.955518285670479</v>
      </c>
      <c r="H6" s="1"/>
      <c r="I6" s="1"/>
      <c r="J6" s="1"/>
      <c r="K6" s="6"/>
      <c r="L6" s="34">
        <f>100/3515</f>
        <v>2.8449502133712661E-2</v>
      </c>
      <c r="M6" s="43">
        <v>316.16552999999999</v>
      </c>
      <c r="N6" s="55">
        <v>16448298.051031999</v>
      </c>
      <c r="O6" s="6">
        <f t="shared" si="0"/>
        <v>3.9408825737541209</v>
      </c>
      <c r="P6" s="60">
        <v>301.91385000000002</v>
      </c>
      <c r="Q6" s="3">
        <v>1558101.48415383</v>
      </c>
      <c r="R6" s="56">
        <f t="shared" si="1"/>
        <v>0.37330883523581376</v>
      </c>
      <c r="S6" s="64" t="s">
        <v>637</v>
      </c>
      <c r="T6" s="22" t="s">
        <v>649</v>
      </c>
      <c r="V6" s="52"/>
    </row>
    <row r="7" spans="1:185" ht="30" customHeight="1" x14ac:dyDescent="0.25">
      <c r="A7" s="1">
        <v>165</v>
      </c>
      <c r="B7" s="8" t="s">
        <v>626</v>
      </c>
      <c r="C7" s="1" t="s">
        <v>41</v>
      </c>
      <c r="D7" s="4" t="s">
        <v>28</v>
      </c>
      <c r="E7" s="43">
        <v>66.983299000000002</v>
      </c>
      <c r="F7" s="58">
        <v>15.652992999999999</v>
      </c>
      <c r="G7" s="55">
        <f>100*F7/E7</f>
        <v>23.368501154295188</v>
      </c>
      <c r="H7" s="1"/>
      <c r="I7" s="1"/>
      <c r="J7" s="1"/>
      <c r="K7" s="6"/>
      <c r="L7" s="34">
        <f>10/1395</f>
        <v>7.1684587813620072E-3</v>
      </c>
      <c r="M7" s="43">
        <v>332.28604000000001</v>
      </c>
      <c r="N7" s="55">
        <v>16307161.156902</v>
      </c>
      <c r="O7" s="6">
        <f t="shared" si="0"/>
        <v>6.0862787442366795</v>
      </c>
      <c r="P7" s="60">
        <v>321.08452999999997</v>
      </c>
      <c r="Q7" s="3">
        <v>1059855.2509125101</v>
      </c>
      <c r="R7" s="56">
        <f t="shared" si="1"/>
        <v>0.39556697965582066</v>
      </c>
      <c r="S7" s="64" t="s">
        <v>637</v>
      </c>
      <c r="T7" s="22" t="s">
        <v>649</v>
      </c>
      <c r="V7" s="52"/>
    </row>
    <row r="8" spans="1:185" ht="30" customHeight="1" x14ac:dyDescent="0.25">
      <c r="A8" s="1">
        <v>175</v>
      </c>
      <c r="B8" s="2" t="s">
        <v>52</v>
      </c>
      <c r="C8" s="1" t="s">
        <v>51</v>
      </c>
      <c r="D8" s="4" t="s">
        <v>28</v>
      </c>
      <c r="E8" s="43">
        <v>25.662600000000001</v>
      </c>
      <c r="F8" s="43"/>
      <c r="G8" s="55"/>
      <c r="H8" s="1"/>
      <c r="I8" s="1"/>
      <c r="J8" s="1"/>
      <c r="K8" s="6"/>
      <c r="L8" s="34">
        <f>10/324</f>
        <v>3.0864197530864196E-2</v>
      </c>
      <c r="M8" s="43">
        <v>37.956561999999998</v>
      </c>
      <c r="N8" s="55">
        <v>318274.76766100002</v>
      </c>
      <c r="O8" s="6">
        <f t="shared" si="0"/>
        <v>0.31005701649579542</v>
      </c>
      <c r="P8" s="60">
        <v>30.820148</v>
      </c>
      <c r="Q8" s="3">
        <v>174458.10690188</v>
      </c>
      <c r="R8" s="56">
        <f t="shared" si="1"/>
        <v>0.16995365522382769</v>
      </c>
      <c r="S8" s="64" t="s">
        <v>637</v>
      </c>
      <c r="T8" s="22" t="s">
        <v>649</v>
      </c>
      <c r="V8" s="52"/>
    </row>
    <row r="9" spans="1:185" ht="30" customHeight="1" x14ac:dyDescent="0.25">
      <c r="A9" s="1">
        <v>193</v>
      </c>
      <c r="B9" s="2" t="s">
        <v>75</v>
      </c>
      <c r="C9" s="1" t="s">
        <v>76</v>
      </c>
      <c r="D9" s="4" t="s">
        <v>28</v>
      </c>
      <c r="E9" s="43">
        <v>87.984802000000002</v>
      </c>
      <c r="F9" s="43"/>
      <c r="G9" s="55"/>
      <c r="H9" s="1"/>
      <c r="I9" s="1"/>
      <c r="J9" s="1"/>
      <c r="K9" s="6"/>
      <c r="L9" s="34">
        <f>10/639</f>
        <v>1.5649452269170579E-2</v>
      </c>
      <c r="M9" s="43">
        <v>49.626075999999998</v>
      </c>
      <c r="N9" s="55">
        <v>3570572.649613</v>
      </c>
      <c r="O9" s="6">
        <f t="shared" si="0"/>
        <v>1.0145424460956904</v>
      </c>
      <c r="P9" s="60">
        <v>37.990448000000001</v>
      </c>
      <c r="Q9" s="3">
        <v>718250.39337257796</v>
      </c>
      <c r="R9" s="56">
        <f t="shared" si="1"/>
        <v>0.20408365338271092</v>
      </c>
      <c r="S9" s="64" t="s">
        <v>637</v>
      </c>
      <c r="T9" t="s">
        <v>647</v>
      </c>
      <c r="V9" s="52"/>
    </row>
    <row r="10" spans="1:185" ht="30" customHeight="1" x14ac:dyDescent="0.25">
      <c r="A10" s="1">
        <v>244</v>
      </c>
      <c r="B10" s="8" t="s">
        <v>137</v>
      </c>
      <c r="C10" s="1" t="s">
        <v>573</v>
      </c>
      <c r="D10" s="4" t="s">
        <v>28</v>
      </c>
      <c r="E10" s="43">
        <v>53.382998999999998</v>
      </c>
      <c r="F10" s="58">
        <v>43.477222999999995</v>
      </c>
      <c r="G10" s="55">
        <f>100*F10/E10</f>
        <v>81.443949973661077</v>
      </c>
      <c r="H10" s="1"/>
      <c r="I10" s="1"/>
      <c r="J10" s="1"/>
      <c r="K10" s="6"/>
      <c r="L10" s="34">
        <f>10/201</f>
        <v>4.975124378109453E-2</v>
      </c>
      <c r="M10" s="43">
        <v>667.04150000000004</v>
      </c>
      <c r="N10" s="55">
        <v>12984562.254985999</v>
      </c>
      <c r="O10" s="6">
        <f t="shared" si="0"/>
        <v>6.0808508786598896</v>
      </c>
      <c r="P10" s="60">
        <v>594.46551999999997</v>
      </c>
      <c r="Q10" s="3">
        <v>743175.24285128899</v>
      </c>
      <c r="R10" s="56">
        <f t="shared" si="1"/>
        <v>0.34803929002344403</v>
      </c>
      <c r="S10" s="64" t="s">
        <v>640</v>
      </c>
      <c r="T10" s="61" t="s">
        <v>647</v>
      </c>
      <c r="V10" s="52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</row>
    <row r="11" spans="1:185" ht="30" customHeight="1" x14ac:dyDescent="0.25">
      <c r="A11" s="1">
        <v>4</v>
      </c>
      <c r="B11" s="2" t="s">
        <v>270</v>
      </c>
      <c r="C11" s="1" t="s">
        <v>321</v>
      </c>
      <c r="D11" s="30">
        <v>1</v>
      </c>
      <c r="E11" s="51">
        <v>106.83199999999999</v>
      </c>
      <c r="F11" s="1"/>
      <c r="G11" s="1"/>
      <c r="H11" s="1"/>
      <c r="I11" s="1"/>
      <c r="J11" s="1"/>
      <c r="K11" s="6"/>
      <c r="L11" s="34">
        <f>9/15282</f>
        <v>5.8892815076560655E-4</v>
      </c>
      <c r="M11" s="1">
        <v>19.234971999999999</v>
      </c>
      <c r="N11" s="42">
        <v>4843400.3708619997</v>
      </c>
      <c r="O11" s="1">
        <f t="shared" si="0"/>
        <v>1.1334151684097462</v>
      </c>
      <c r="P11" s="51">
        <v>20.322506000000001</v>
      </c>
      <c r="Q11" s="3">
        <v>414844.68872158998</v>
      </c>
      <c r="R11" s="51">
        <f t="shared" si="1"/>
        <v>9.707875185374934E-2</v>
      </c>
      <c r="S11" s="20" t="s">
        <v>641</v>
      </c>
      <c r="T11" s="65" t="s">
        <v>650</v>
      </c>
      <c r="U11" s="52"/>
      <c r="V11" s="52"/>
    </row>
    <row r="12" spans="1:185" ht="30" customHeight="1" x14ac:dyDescent="0.25">
      <c r="A12" s="9">
        <v>6</v>
      </c>
      <c r="B12" s="10" t="s">
        <v>272</v>
      </c>
      <c r="C12" s="9" t="s">
        <v>319</v>
      </c>
      <c r="D12" s="66">
        <v>1</v>
      </c>
      <c r="E12" s="68">
        <v>68.394900000000007</v>
      </c>
      <c r="F12" s="9"/>
      <c r="G12" s="9"/>
      <c r="H12" s="9"/>
      <c r="I12" s="9"/>
      <c r="J12" s="9"/>
      <c r="K12" s="12"/>
      <c r="L12" s="46">
        <f>9/15282</f>
        <v>5.8892815076560655E-4</v>
      </c>
      <c r="M12" s="9">
        <v>88.413994000000002</v>
      </c>
      <c r="N12" s="76">
        <v>3250901.864908</v>
      </c>
      <c r="O12" s="9">
        <f t="shared" si="0"/>
        <v>1.188283726165255</v>
      </c>
      <c r="P12" s="68">
        <v>73.635750000000002</v>
      </c>
      <c r="Q12" s="13">
        <v>646367.65014911501</v>
      </c>
      <c r="R12" s="51">
        <f t="shared" si="1"/>
        <v>0.23626310227411512</v>
      </c>
      <c r="S12" s="20" t="s">
        <v>641</v>
      </c>
      <c r="T12" s="65" t="s">
        <v>650</v>
      </c>
      <c r="U12" s="52"/>
      <c r="V12" s="52"/>
    </row>
    <row r="13" spans="1:185" ht="30" customHeight="1" x14ac:dyDescent="0.25">
      <c r="A13" s="14">
        <v>20</v>
      </c>
      <c r="B13" s="15" t="s">
        <v>284</v>
      </c>
      <c r="C13" s="14" t="s">
        <v>539</v>
      </c>
      <c r="D13" s="33">
        <v>1</v>
      </c>
      <c r="E13" s="67">
        <v>188.92099999999999</v>
      </c>
      <c r="F13" s="14"/>
      <c r="G13" s="14"/>
      <c r="H13" s="14"/>
      <c r="I13" s="14"/>
      <c r="J13" s="14"/>
      <c r="K13" s="17"/>
      <c r="L13" s="38">
        <v>1E-3</v>
      </c>
      <c r="M13" s="14">
        <v>87.531052000000003</v>
      </c>
      <c r="N13" s="75">
        <v>5954576.1683210004</v>
      </c>
      <c r="O13" s="14">
        <f t="shared" si="0"/>
        <v>0.78797171414519829</v>
      </c>
      <c r="P13" s="67">
        <v>77.880523999999994</v>
      </c>
      <c r="Q13" s="18">
        <v>1265051.55232672</v>
      </c>
      <c r="R13" s="51">
        <f t="shared" si="1"/>
        <v>0.16740483486837354</v>
      </c>
      <c r="S13" s="20" t="s">
        <v>641</v>
      </c>
      <c r="T13" t="s">
        <v>649</v>
      </c>
    </row>
    <row r="14" spans="1:185" ht="30" customHeight="1" x14ac:dyDescent="0.25">
      <c r="A14" s="1">
        <v>24</v>
      </c>
      <c r="B14" s="2" t="s">
        <v>288</v>
      </c>
      <c r="C14" s="1" t="s">
        <v>543</v>
      </c>
      <c r="D14" s="30">
        <v>1</v>
      </c>
      <c r="E14" s="51">
        <v>113.36199999999999</v>
      </c>
      <c r="F14" s="1"/>
      <c r="G14" s="1"/>
      <c r="H14" s="1"/>
      <c r="I14" s="1"/>
      <c r="J14" s="1"/>
      <c r="K14" s="6"/>
      <c r="L14" s="34">
        <v>1E-3</v>
      </c>
      <c r="M14" s="1">
        <v>48.656494000000002</v>
      </c>
      <c r="N14" s="42">
        <v>10942380.730835998</v>
      </c>
      <c r="O14" s="1">
        <f t="shared" si="0"/>
        <v>2.413150070313685</v>
      </c>
      <c r="P14" s="51">
        <v>39.056496000000003</v>
      </c>
      <c r="Q14" s="3">
        <v>210731.862059651</v>
      </c>
      <c r="R14" s="51">
        <f t="shared" si="1"/>
        <v>4.6473214582411E-2</v>
      </c>
      <c r="S14" s="20" t="s">
        <v>641</v>
      </c>
      <c r="T14" t="s">
        <v>650</v>
      </c>
    </row>
    <row r="15" spans="1:185" ht="30" customHeight="1" x14ac:dyDescent="0.25">
      <c r="A15" s="1">
        <v>25</v>
      </c>
      <c r="B15" s="2" t="s">
        <v>289</v>
      </c>
      <c r="C15" s="1" t="s">
        <v>330</v>
      </c>
      <c r="D15" s="30">
        <v>1</v>
      </c>
      <c r="E15" s="51">
        <v>96.160399999999996</v>
      </c>
      <c r="F15" s="1"/>
      <c r="G15" s="1"/>
      <c r="H15" s="1"/>
      <c r="I15" s="1"/>
      <c r="J15" s="1"/>
      <c r="K15" s="6"/>
      <c r="L15" s="34">
        <v>1E-3</v>
      </c>
      <c r="M15" s="1">
        <v>87.487762000000004</v>
      </c>
      <c r="N15" s="42">
        <v>7156286.4177449998</v>
      </c>
      <c r="O15" s="1">
        <f t="shared" si="0"/>
        <v>1.860507656411839</v>
      </c>
      <c r="P15" s="51">
        <v>80.456733999999997</v>
      </c>
      <c r="Q15" s="3">
        <v>204774.96259921</v>
      </c>
      <c r="R15" s="51">
        <f t="shared" si="1"/>
        <v>5.3237861583149089E-2</v>
      </c>
      <c r="S15" s="20" t="s">
        <v>641</v>
      </c>
      <c r="T15" t="s">
        <v>650</v>
      </c>
    </row>
    <row r="16" spans="1:185" ht="30" customHeight="1" x14ac:dyDescent="0.25">
      <c r="A16" s="1">
        <v>40</v>
      </c>
      <c r="B16" s="2" t="s">
        <v>303</v>
      </c>
      <c r="C16" s="1" t="s">
        <v>325</v>
      </c>
      <c r="D16" s="30">
        <v>1</v>
      </c>
      <c r="E16" s="51">
        <v>404.60899999999998</v>
      </c>
      <c r="F16" s="1"/>
      <c r="G16" s="1"/>
      <c r="H16" s="1"/>
      <c r="I16" s="1"/>
      <c r="J16" s="1"/>
      <c r="K16" s="6"/>
      <c r="L16" s="34">
        <f>10/18839</f>
        <v>5.308137374595254E-4</v>
      </c>
      <c r="M16" s="1">
        <v>24.427607999999999</v>
      </c>
      <c r="N16" s="42">
        <v>424558.99173000001</v>
      </c>
      <c r="O16" s="51">
        <f t="shared" si="0"/>
        <v>2.6232671031168362E-2</v>
      </c>
      <c r="P16" s="51">
        <v>19.882491999999999</v>
      </c>
      <c r="Q16" s="3" t="s">
        <v>554</v>
      </c>
      <c r="R16" s="1" t="s">
        <v>554</v>
      </c>
      <c r="S16" s="20" t="s">
        <v>641</v>
      </c>
      <c r="T16" t="s">
        <v>650</v>
      </c>
    </row>
    <row r="17" spans="1:185" ht="30" customHeight="1" x14ac:dyDescent="0.25">
      <c r="A17" s="1">
        <v>41</v>
      </c>
      <c r="B17" s="2" t="s">
        <v>304</v>
      </c>
      <c r="C17" s="1" t="s">
        <v>324</v>
      </c>
      <c r="D17" s="30">
        <v>1</v>
      </c>
      <c r="E17" s="51">
        <v>2213.9899999999998</v>
      </c>
      <c r="F17" s="1"/>
      <c r="G17" s="1"/>
      <c r="H17" s="1"/>
      <c r="I17" s="1"/>
      <c r="J17" s="1"/>
      <c r="K17" s="6"/>
      <c r="L17" s="34">
        <f>10/18839</f>
        <v>5.308137374595254E-4</v>
      </c>
      <c r="M17" s="1">
        <v>22.852405999999998</v>
      </c>
      <c r="N17" s="42">
        <v>29937.300211000002</v>
      </c>
      <c r="O17" s="1">
        <f t="shared" si="0"/>
        <v>3.3804692219702891E-4</v>
      </c>
      <c r="P17" s="51">
        <v>11.033329999999999</v>
      </c>
      <c r="Q17" s="3">
        <v>12337076.5379586</v>
      </c>
      <c r="R17" s="51">
        <f>(25*Q17)/(1000000*E17)</f>
        <v>0.13930817819816937</v>
      </c>
      <c r="S17" s="20" t="s">
        <v>641</v>
      </c>
      <c r="T17" t="s">
        <v>650</v>
      </c>
    </row>
    <row r="18" spans="1:185" ht="30" customHeight="1" x14ac:dyDescent="0.25">
      <c r="A18" s="28">
        <v>60</v>
      </c>
      <c r="B18" s="2" t="s">
        <v>504</v>
      </c>
      <c r="C18" s="28" t="s">
        <v>555</v>
      </c>
      <c r="D18" s="50" t="s">
        <v>28</v>
      </c>
      <c r="E18" s="1">
        <v>49.832099999999997</v>
      </c>
      <c r="F18" s="1"/>
      <c r="G18" s="1"/>
      <c r="H18" s="1"/>
      <c r="I18" s="1"/>
      <c r="J18" s="1"/>
      <c r="K18" s="6"/>
      <c r="L18" s="34">
        <v>1E-3</v>
      </c>
      <c r="M18" s="51">
        <v>41.940182</v>
      </c>
      <c r="N18" s="42">
        <v>448206.23108399997</v>
      </c>
      <c r="O18" s="51">
        <f t="shared" si="0"/>
        <v>0.22485818934180976</v>
      </c>
      <c r="P18" s="1"/>
      <c r="Q18" s="3"/>
      <c r="S18" s="64" t="s">
        <v>643</v>
      </c>
      <c r="T18" t="s">
        <v>650</v>
      </c>
    </row>
    <row r="19" spans="1:185" ht="30" customHeight="1" x14ac:dyDescent="0.25">
      <c r="A19" s="1">
        <v>62</v>
      </c>
      <c r="B19" s="2" t="s">
        <v>309</v>
      </c>
      <c r="C19" s="1" t="s">
        <v>325</v>
      </c>
      <c r="D19" s="50" t="s">
        <v>28</v>
      </c>
      <c r="E19" s="1">
        <v>458.423</v>
      </c>
      <c r="F19" s="1"/>
      <c r="G19" s="1"/>
      <c r="H19" s="1"/>
      <c r="I19" s="1"/>
      <c r="J19" s="1"/>
      <c r="K19" s="6"/>
      <c r="L19" s="34">
        <v>1E-3</v>
      </c>
      <c r="M19" s="51">
        <v>25.389122</v>
      </c>
      <c r="N19" s="42">
        <v>2333719.4885299997</v>
      </c>
      <c r="O19" s="51">
        <f t="shared" si="0"/>
        <v>0.12726889186024698</v>
      </c>
      <c r="P19" s="1"/>
      <c r="Q19" s="3"/>
      <c r="S19" s="64" t="s">
        <v>643</v>
      </c>
      <c r="T19" t="s">
        <v>650</v>
      </c>
    </row>
    <row r="20" spans="1:185" ht="30" customHeight="1" x14ac:dyDescent="0.25">
      <c r="A20" s="1">
        <v>63</v>
      </c>
      <c r="B20" s="2" t="s">
        <v>505</v>
      </c>
      <c r="C20" s="1" t="s">
        <v>558</v>
      </c>
      <c r="D20" s="50" t="s">
        <v>28</v>
      </c>
      <c r="E20" s="1">
        <v>135.67699999999999</v>
      </c>
      <c r="F20" s="1"/>
      <c r="G20" s="1"/>
      <c r="H20" s="1"/>
      <c r="I20" s="1"/>
      <c r="J20" s="1"/>
      <c r="K20" s="6"/>
      <c r="L20" s="34">
        <v>1E-3</v>
      </c>
      <c r="M20" s="51">
        <v>37.535355000000003</v>
      </c>
      <c r="N20" s="42">
        <v>1504207.0425129998</v>
      </c>
      <c r="O20" s="51">
        <f t="shared" si="0"/>
        <v>0.27716691895328605</v>
      </c>
      <c r="P20" s="1"/>
      <c r="Q20" s="3"/>
      <c r="S20" s="64" t="s">
        <v>643</v>
      </c>
      <c r="T20" t="s">
        <v>650</v>
      </c>
    </row>
    <row r="21" spans="1:185" ht="30" customHeight="1" x14ac:dyDescent="0.25">
      <c r="A21" s="1">
        <v>65</v>
      </c>
      <c r="B21" s="2" t="s">
        <v>507</v>
      </c>
      <c r="C21" s="1" t="s">
        <v>506</v>
      </c>
      <c r="D21" s="50" t="s">
        <v>28</v>
      </c>
      <c r="E21" s="1">
        <v>86.995102000000003</v>
      </c>
      <c r="F21" s="1"/>
      <c r="G21" s="1"/>
      <c r="H21" s="1"/>
      <c r="I21" s="1"/>
      <c r="J21" s="1"/>
      <c r="K21" s="6"/>
      <c r="L21" s="34">
        <v>1E-3</v>
      </c>
      <c r="M21" s="51">
        <v>48.104542000000002</v>
      </c>
      <c r="N21" s="42">
        <v>2049889.2033570001</v>
      </c>
      <c r="O21" s="51">
        <f t="shared" si="0"/>
        <v>0.58908178628177255</v>
      </c>
      <c r="P21" s="1"/>
      <c r="Q21" s="3"/>
      <c r="S21" s="64" t="s">
        <v>643</v>
      </c>
      <c r="T21" t="s">
        <v>650</v>
      </c>
    </row>
    <row r="22" spans="1:185" ht="30" customHeight="1" x14ac:dyDescent="0.25">
      <c r="A22" s="28">
        <v>66</v>
      </c>
      <c r="B22" s="2" t="s">
        <v>311</v>
      </c>
      <c r="C22" s="1" t="s">
        <v>560</v>
      </c>
      <c r="D22" s="50" t="s">
        <v>28</v>
      </c>
      <c r="E22" s="1">
        <v>246.172</v>
      </c>
      <c r="F22" s="1"/>
      <c r="G22" s="1"/>
      <c r="H22" s="1"/>
      <c r="I22" s="1"/>
      <c r="J22" s="1"/>
      <c r="K22" s="6"/>
      <c r="L22" s="34">
        <v>1E-3</v>
      </c>
      <c r="M22" s="51">
        <v>40.642090000000003</v>
      </c>
      <c r="N22" s="42">
        <v>1820456.2625170001</v>
      </c>
      <c r="O22" s="51">
        <f t="shared" si="0"/>
        <v>0.18487645452336174</v>
      </c>
      <c r="P22" s="1"/>
      <c r="Q22" s="3"/>
      <c r="S22" s="64" t="s">
        <v>643</v>
      </c>
      <c r="T22" t="s">
        <v>650</v>
      </c>
    </row>
    <row r="23" spans="1:185" ht="30" customHeight="1" x14ac:dyDescent="0.25">
      <c r="A23" s="1">
        <v>69</v>
      </c>
      <c r="B23" s="2" t="s">
        <v>510</v>
      </c>
      <c r="C23" s="1" t="s">
        <v>511</v>
      </c>
      <c r="D23" s="50" t="s">
        <v>28</v>
      </c>
      <c r="E23" s="1">
        <v>190.87601000000001</v>
      </c>
      <c r="F23" s="1"/>
      <c r="G23" s="1"/>
      <c r="H23" s="1"/>
      <c r="I23" s="1"/>
      <c r="J23" s="1"/>
      <c r="K23" s="6"/>
      <c r="L23" s="34">
        <v>1E-3</v>
      </c>
      <c r="M23" s="51">
        <v>24.853859</v>
      </c>
      <c r="N23" s="42">
        <v>448281.714033</v>
      </c>
      <c r="O23" s="51">
        <f t="shared" si="0"/>
        <v>5.8713731761393169E-2</v>
      </c>
      <c r="P23" s="1"/>
      <c r="Q23" s="3"/>
      <c r="S23" s="64" t="s">
        <v>642</v>
      </c>
      <c r="T23" t="s">
        <v>650</v>
      </c>
    </row>
    <row r="24" spans="1:185" ht="30" customHeight="1" x14ac:dyDescent="0.25">
      <c r="A24" s="1">
        <v>70</v>
      </c>
      <c r="B24" s="2" t="s">
        <v>512</v>
      </c>
      <c r="C24" s="1" t="s">
        <v>513</v>
      </c>
      <c r="D24" s="50" t="s">
        <v>28</v>
      </c>
      <c r="E24" s="1">
        <v>31.1751</v>
      </c>
      <c r="F24" s="1"/>
      <c r="G24" s="1"/>
      <c r="H24" s="1"/>
      <c r="I24" s="1"/>
      <c r="J24" s="1"/>
      <c r="K24" s="6"/>
      <c r="L24" s="34">
        <v>1E-3</v>
      </c>
      <c r="M24" s="51">
        <v>22.42061</v>
      </c>
      <c r="N24" s="42">
        <v>156200.037266</v>
      </c>
      <c r="O24" s="51">
        <f t="shared" si="0"/>
        <v>0.12526025358860116</v>
      </c>
      <c r="P24" s="1"/>
      <c r="Q24" s="3"/>
      <c r="S24" s="64" t="s">
        <v>642</v>
      </c>
      <c r="T24" t="s">
        <v>650</v>
      </c>
    </row>
    <row r="25" spans="1:185" ht="30" customHeight="1" x14ac:dyDescent="0.25">
      <c r="A25" s="1">
        <v>71</v>
      </c>
      <c r="B25" s="2" t="s">
        <v>514</v>
      </c>
      <c r="C25" s="1" t="s">
        <v>326</v>
      </c>
      <c r="D25" s="50" t="s">
        <v>28</v>
      </c>
      <c r="E25" s="1">
        <v>40.323501999999998</v>
      </c>
      <c r="F25" s="1"/>
      <c r="G25" s="1"/>
      <c r="H25" s="1"/>
      <c r="I25" s="1"/>
      <c r="J25" s="1"/>
      <c r="K25" s="6"/>
      <c r="L25" s="34">
        <v>1E-3</v>
      </c>
      <c r="M25" s="51">
        <v>21.750250000000001</v>
      </c>
      <c r="N25" s="42">
        <v>96036.746018000005</v>
      </c>
      <c r="O25" s="51">
        <f t="shared" si="0"/>
        <v>5.9541422033483109E-2</v>
      </c>
      <c r="P25" s="1"/>
      <c r="Q25" s="3"/>
      <c r="S25" s="64" t="s">
        <v>642</v>
      </c>
      <c r="T25" t="s">
        <v>650</v>
      </c>
    </row>
    <row r="26" spans="1:185" ht="30" customHeight="1" x14ac:dyDescent="0.25">
      <c r="A26" s="1">
        <v>72</v>
      </c>
      <c r="B26" s="2" t="s">
        <v>515</v>
      </c>
      <c r="C26" s="1" t="s">
        <v>516</v>
      </c>
      <c r="D26" s="50" t="s">
        <v>28</v>
      </c>
      <c r="E26" s="1">
        <v>66.772498999999996</v>
      </c>
      <c r="F26" s="1"/>
      <c r="G26" s="1"/>
      <c r="H26" s="1"/>
      <c r="I26" s="1"/>
      <c r="J26" s="1"/>
      <c r="K26" s="6"/>
      <c r="L26" s="34">
        <v>1E-3</v>
      </c>
      <c r="M26" s="51">
        <v>23.473714999999999</v>
      </c>
      <c r="N26" s="42">
        <v>236755.09753599999</v>
      </c>
      <c r="O26" s="51">
        <f t="shared" si="0"/>
        <v>8.8642443027330764E-2</v>
      </c>
      <c r="P26" s="1"/>
      <c r="Q26" s="3"/>
      <c r="S26" s="64" t="s">
        <v>642</v>
      </c>
      <c r="T26" t="s">
        <v>650</v>
      </c>
    </row>
    <row r="27" spans="1:185" ht="30" customHeight="1" x14ac:dyDescent="0.25">
      <c r="A27" s="1">
        <v>73</v>
      </c>
      <c r="B27" s="2" t="s">
        <v>517</v>
      </c>
      <c r="C27" s="1" t="s">
        <v>518</v>
      </c>
      <c r="D27" s="50" t="s">
        <v>28</v>
      </c>
      <c r="E27" s="1">
        <v>41.855899999999998</v>
      </c>
      <c r="F27" s="1"/>
      <c r="G27" s="1"/>
      <c r="H27" s="1"/>
      <c r="I27" s="1"/>
      <c r="J27" s="1"/>
      <c r="K27" s="6"/>
      <c r="L27" s="34">
        <v>1E-3</v>
      </c>
      <c r="M27" s="51">
        <v>21.048393000000001</v>
      </c>
      <c r="N27" s="42">
        <v>175058.95605599997</v>
      </c>
      <c r="O27" s="51">
        <f t="shared" si="0"/>
        <v>0.10456050165926425</v>
      </c>
      <c r="P27" s="1"/>
      <c r="Q27" s="3"/>
      <c r="S27" s="64" t="s">
        <v>642</v>
      </c>
      <c r="T27" t="s">
        <v>650</v>
      </c>
    </row>
    <row r="28" spans="1:185" ht="30" customHeight="1" x14ac:dyDescent="0.25">
      <c r="A28" s="1">
        <v>74</v>
      </c>
      <c r="B28" s="2" t="s">
        <v>315</v>
      </c>
      <c r="C28" s="1" t="s">
        <v>567</v>
      </c>
      <c r="D28" s="50" t="s">
        <v>28</v>
      </c>
      <c r="E28" s="1">
        <v>208.11501000000001</v>
      </c>
      <c r="F28" s="1"/>
      <c r="G28" s="1"/>
      <c r="H28" s="1"/>
      <c r="I28" s="1"/>
      <c r="J28" s="1"/>
      <c r="K28" s="6"/>
      <c r="L28" s="34">
        <v>1E-3</v>
      </c>
      <c r="M28" s="51">
        <v>23.913557000000001</v>
      </c>
      <c r="N28" s="42">
        <v>629193.03984500014</v>
      </c>
      <c r="O28" s="51">
        <f t="shared" si="0"/>
        <v>7.5582371478755919E-2</v>
      </c>
      <c r="P28" s="1"/>
      <c r="Q28" s="3"/>
      <c r="S28" s="64" t="s">
        <v>642</v>
      </c>
      <c r="T28" t="s">
        <v>650</v>
      </c>
    </row>
    <row r="29" spans="1:185" ht="30" customHeight="1" x14ac:dyDescent="0.25">
      <c r="A29" s="1">
        <v>49</v>
      </c>
      <c r="B29" s="2" t="s">
        <v>334</v>
      </c>
      <c r="C29" s="1" t="s">
        <v>340</v>
      </c>
      <c r="D29" s="30">
        <v>1</v>
      </c>
      <c r="E29" s="1">
        <v>265.99599999999998</v>
      </c>
      <c r="F29" s="1"/>
      <c r="G29" s="1"/>
      <c r="H29" s="1"/>
      <c r="I29" s="1"/>
      <c r="J29" s="1"/>
      <c r="K29" s="6"/>
      <c r="L29" s="34">
        <f>10/7829</f>
        <v>1.2773023374632775E-3</v>
      </c>
      <c r="M29" s="51">
        <v>20.254069999999999</v>
      </c>
      <c r="N29" s="42">
        <v>457324.131536</v>
      </c>
      <c r="O29" s="51">
        <f t="shared" si="0"/>
        <v>4.2982237659212927E-2</v>
      </c>
      <c r="P29" s="1"/>
      <c r="Q29" s="3"/>
      <c r="S29" s="64" t="s">
        <v>644</v>
      </c>
      <c r="T29" t="s">
        <v>650</v>
      </c>
    </row>
    <row r="30" spans="1:185" ht="30" customHeight="1" x14ac:dyDescent="0.25">
      <c r="A30" s="1">
        <v>58</v>
      </c>
      <c r="B30" s="2" t="s">
        <v>338</v>
      </c>
      <c r="C30" s="1" t="s">
        <v>129</v>
      </c>
      <c r="D30" s="50" t="s">
        <v>28</v>
      </c>
      <c r="E30" s="1">
        <v>2215.0801000000001</v>
      </c>
      <c r="F30" s="1"/>
      <c r="G30" s="1"/>
      <c r="H30" s="1"/>
      <c r="I30" s="1"/>
      <c r="J30" s="1"/>
      <c r="K30" s="6"/>
      <c r="L30" s="34">
        <f>10/7829</f>
        <v>1.2773023374632775E-3</v>
      </c>
      <c r="M30" s="51">
        <v>17.576962999999999</v>
      </c>
      <c r="N30" s="42">
        <v>1871332.3212670006</v>
      </c>
      <c r="O30" s="51">
        <f t="shared" si="0"/>
        <v>2.1120368528287088E-2</v>
      </c>
      <c r="P30" s="1"/>
      <c r="Q30" s="3"/>
      <c r="S30" s="64" t="s">
        <v>644</v>
      </c>
      <c r="T30" t="s">
        <v>650</v>
      </c>
    </row>
    <row r="31" spans="1:185" s="22" customFormat="1" ht="30" customHeight="1" x14ac:dyDescent="0.25">
      <c r="A31" s="1">
        <v>7</v>
      </c>
      <c r="B31" s="2" t="s">
        <v>143</v>
      </c>
      <c r="C31" s="1" t="s">
        <v>144</v>
      </c>
      <c r="D31" s="4" t="s">
        <v>28</v>
      </c>
      <c r="E31" s="1">
        <v>83.817999999999998</v>
      </c>
      <c r="F31" s="1"/>
      <c r="G31" s="55"/>
      <c r="H31" s="1"/>
      <c r="I31" s="1"/>
      <c r="J31" s="1"/>
      <c r="K31" s="1"/>
      <c r="L31" s="34">
        <f>50/2105</f>
        <v>2.3752969121140142E-2</v>
      </c>
      <c r="M31" s="43">
        <v>200.28809000000001</v>
      </c>
      <c r="N31" s="43">
        <v>193308.031463986</v>
      </c>
      <c r="O31" s="34">
        <f t="shared" ref="O31:O58" si="2">(25*N31)/(E31*1000000)</f>
        <v>5.7657075885843734E-2</v>
      </c>
      <c r="P31" s="43"/>
      <c r="Q31" s="3"/>
      <c r="R31" s="1"/>
      <c r="S31" t="s">
        <v>645</v>
      </c>
      <c r="T31" t="s">
        <v>647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</row>
    <row r="32" spans="1:185" ht="30" customHeight="1" x14ac:dyDescent="0.25">
      <c r="A32" s="1">
        <v>45</v>
      </c>
      <c r="B32" s="2" t="s">
        <v>181</v>
      </c>
      <c r="C32" s="1" t="s">
        <v>573</v>
      </c>
      <c r="D32" s="4" t="s">
        <v>28</v>
      </c>
      <c r="E32" s="1">
        <v>55.212899999999998</v>
      </c>
      <c r="F32" s="1"/>
      <c r="G32" s="55"/>
      <c r="H32" s="1"/>
      <c r="I32" s="1"/>
      <c r="J32" s="1"/>
      <c r="K32" s="1"/>
      <c r="L32" s="34">
        <f>9/286</f>
        <v>3.1468531468531472E-2</v>
      </c>
      <c r="M32" s="43">
        <v>185.10668999999999</v>
      </c>
      <c r="N32" s="43">
        <v>156443.04888026399</v>
      </c>
      <c r="O32" s="34">
        <f t="shared" si="2"/>
        <v>7.0836275979102706E-2</v>
      </c>
      <c r="P32" s="43"/>
      <c r="Q32" s="3"/>
      <c r="S32" t="s">
        <v>645</v>
      </c>
      <c r="T32" t="s">
        <v>647</v>
      </c>
    </row>
    <row r="33" spans="1:185" ht="30" customHeight="1" x14ac:dyDescent="0.25">
      <c r="A33" s="1">
        <v>49</v>
      </c>
      <c r="B33" s="2" t="s">
        <v>190</v>
      </c>
      <c r="C33" s="1" t="s">
        <v>573</v>
      </c>
      <c r="D33" s="4" t="s">
        <v>28</v>
      </c>
      <c r="E33" s="1">
        <v>270.57900000000001</v>
      </c>
      <c r="F33" s="1">
        <v>19.439810000000001</v>
      </c>
      <c r="G33" s="6">
        <f>100*F33/E33</f>
        <v>7.1845228195831909</v>
      </c>
      <c r="H33" s="1"/>
      <c r="I33" s="1"/>
      <c r="J33" s="1"/>
      <c r="K33" s="1"/>
      <c r="L33" s="34">
        <f>100/11895</f>
        <v>8.4068936527952921E-3</v>
      </c>
      <c r="M33" s="43">
        <v>254.71159</v>
      </c>
      <c r="N33" s="43">
        <v>488101.95391358703</v>
      </c>
      <c r="O33" s="34">
        <f t="shared" si="2"/>
        <v>4.5097915388258795E-2</v>
      </c>
      <c r="P33" s="43"/>
      <c r="Q33" s="3"/>
      <c r="S33" t="s">
        <v>645</v>
      </c>
      <c r="T33" t="s">
        <v>647</v>
      </c>
    </row>
    <row r="34" spans="1:185" ht="30" customHeight="1" x14ac:dyDescent="0.25">
      <c r="A34" s="1">
        <v>50</v>
      </c>
      <c r="B34" s="2" t="s">
        <v>192</v>
      </c>
      <c r="C34" s="1" t="s">
        <v>191</v>
      </c>
      <c r="D34" s="4" t="s">
        <v>28</v>
      </c>
      <c r="E34" s="1">
        <v>346.35</v>
      </c>
      <c r="F34" s="1">
        <v>90.620145000000008</v>
      </c>
      <c r="G34" s="6">
        <f>100*F34/E34</f>
        <v>26.164326548289303</v>
      </c>
      <c r="H34" s="1"/>
      <c r="I34" s="1"/>
      <c r="J34" s="1"/>
      <c r="K34" s="1"/>
      <c r="L34" s="34">
        <f>50/3830</f>
        <v>1.3054830287206266E-2</v>
      </c>
      <c r="M34" s="43">
        <v>303.93322999999998</v>
      </c>
      <c r="N34" s="43">
        <v>586320.28558708704</v>
      </c>
      <c r="O34" s="34">
        <f t="shared" si="2"/>
        <v>4.2321371848353329E-2</v>
      </c>
      <c r="P34" s="43"/>
      <c r="Q34" s="3"/>
      <c r="S34" t="s">
        <v>645</v>
      </c>
      <c r="T34" t="s">
        <v>647</v>
      </c>
    </row>
    <row r="35" spans="1:185" ht="30" customHeight="1" x14ac:dyDescent="0.25">
      <c r="A35" s="1">
        <v>51</v>
      </c>
      <c r="B35" s="2" t="s">
        <v>193</v>
      </c>
      <c r="C35" s="1" t="s">
        <v>573</v>
      </c>
      <c r="D35" s="4" t="s">
        <v>28</v>
      </c>
      <c r="E35" s="1">
        <v>29.951599999999999</v>
      </c>
      <c r="F35" s="1"/>
      <c r="G35" s="55"/>
      <c r="H35" s="1"/>
      <c r="I35" s="1"/>
      <c r="J35" s="1"/>
      <c r="K35" s="1"/>
      <c r="L35" s="34">
        <f>100/6807</f>
        <v>1.4690759512266784E-2</v>
      </c>
      <c r="M35" s="43">
        <v>131.91677999999999</v>
      </c>
      <c r="N35" s="43">
        <v>49105.674041092701</v>
      </c>
      <c r="O35" s="34">
        <f t="shared" si="2"/>
        <v>4.0987521569041972E-2</v>
      </c>
      <c r="P35" s="43"/>
      <c r="Q35" s="3"/>
      <c r="S35" t="s">
        <v>645</v>
      </c>
      <c r="T35" t="s">
        <v>647</v>
      </c>
    </row>
    <row r="36" spans="1:185" ht="30" customHeight="1" x14ac:dyDescent="0.25">
      <c r="A36" s="1">
        <v>57</v>
      </c>
      <c r="B36" s="2" t="s">
        <v>198</v>
      </c>
      <c r="C36" s="1" t="s">
        <v>573</v>
      </c>
      <c r="D36" s="4" t="s">
        <v>28</v>
      </c>
      <c r="E36" s="1">
        <v>19.480799999999999</v>
      </c>
      <c r="F36" s="1"/>
      <c r="G36" s="55"/>
      <c r="H36" s="1"/>
      <c r="I36" s="1"/>
      <c r="J36" s="1"/>
      <c r="K36" s="1"/>
      <c r="L36" s="34">
        <f>50/2488</f>
        <v>2.0096463022508039E-2</v>
      </c>
      <c r="M36" s="43">
        <v>194.71476999999999</v>
      </c>
      <c r="N36" s="43">
        <v>34181.979419588097</v>
      </c>
      <c r="O36" s="34">
        <f t="shared" si="2"/>
        <v>4.3866241914587822E-2</v>
      </c>
      <c r="P36" s="43"/>
      <c r="Q36" s="3"/>
      <c r="S36" t="s">
        <v>645</v>
      </c>
      <c r="T36" t="s">
        <v>647</v>
      </c>
    </row>
    <row r="37" spans="1:185" ht="30" customHeight="1" x14ac:dyDescent="0.25">
      <c r="A37" s="1">
        <v>59</v>
      </c>
      <c r="B37" s="2" t="s">
        <v>199</v>
      </c>
      <c r="C37" s="1" t="s">
        <v>573</v>
      </c>
      <c r="D37" s="4" t="s">
        <v>28</v>
      </c>
      <c r="E37" s="1">
        <v>65.667000000000002</v>
      </c>
      <c r="F37" s="1"/>
      <c r="G37" s="55"/>
      <c r="H37" s="1"/>
      <c r="I37" s="1"/>
      <c r="J37" s="1"/>
      <c r="K37" s="1"/>
      <c r="L37" s="34">
        <f>20/3995</f>
        <v>5.0062578222778474E-3</v>
      </c>
      <c r="M37" s="43">
        <v>200.02968000000001</v>
      </c>
      <c r="N37" s="43">
        <v>98762.329861520193</v>
      </c>
      <c r="O37" s="34">
        <f t="shared" si="2"/>
        <v>3.7599680913365997E-2</v>
      </c>
      <c r="P37" s="43"/>
      <c r="Q37" s="3"/>
      <c r="S37" t="s">
        <v>645</v>
      </c>
      <c r="T37" t="s">
        <v>647</v>
      </c>
    </row>
    <row r="38" spans="1:185" s="22" customFormat="1" ht="30" customHeight="1" x14ac:dyDescent="0.25">
      <c r="A38" s="1">
        <v>60</v>
      </c>
      <c r="B38" s="2" t="s">
        <v>200</v>
      </c>
      <c r="C38" s="1" t="s">
        <v>573</v>
      </c>
      <c r="D38" s="4" t="s">
        <v>28</v>
      </c>
      <c r="E38" s="1">
        <v>23.45</v>
      </c>
      <c r="F38" s="1"/>
      <c r="G38" s="55"/>
      <c r="H38" s="1"/>
      <c r="I38" s="1"/>
      <c r="J38" s="1"/>
      <c r="K38" s="1"/>
      <c r="L38" s="34">
        <f>20/4088</f>
        <v>4.8923679060665359E-3</v>
      </c>
      <c r="M38" s="43">
        <v>86.222640999999996</v>
      </c>
      <c r="N38" s="43">
        <v>30493.989614759801</v>
      </c>
      <c r="O38" s="34">
        <f t="shared" si="2"/>
        <v>3.250958381104456E-2</v>
      </c>
      <c r="P38" s="43"/>
      <c r="Q38" s="3"/>
      <c r="R38" s="1"/>
      <c r="S38" t="s">
        <v>645</v>
      </c>
      <c r="T38" t="s">
        <v>647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</row>
    <row r="39" spans="1:185" ht="30" customHeight="1" x14ac:dyDescent="0.25">
      <c r="A39" s="1">
        <v>63</v>
      </c>
      <c r="B39" s="2" t="s">
        <v>203</v>
      </c>
      <c r="C39" s="1" t="s">
        <v>201</v>
      </c>
      <c r="D39" s="4" t="s">
        <v>28</v>
      </c>
      <c r="E39" s="1">
        <v>213.52500000000001</v>
      </c>
      <c r="F39" s="1">
        <v>78.653969999999987</v>
      </c>
      <c r="G39" s="6">
        <f>100*F39/E39</f>
        <v>36.835953635405687</v>
      </c>
      <c r="H39" s="1"/>
      <c r="I39" s="1"/>
      <c r="J39" s="1"/>
      <c r="K39" s="1"/>
      <c r="L39" s="34">
        <f>50/2269</f>
        <v>2.2036139268400177E-2</v>
      </c>
      <c r="M39" s="43">
        <v>357.64737000000002</v>
      </c>
      <c r="N39" s="43">
        <v>329116.20747559099</v>
      </c>
      <c r="O39" s="34">
        <f t="shared" si="2"/>
        <v>3.8533685455519377E-2</v>
      </c>
      <c r="P39" s="43"/>
      <c r="Q39" s="3"/>
      <c r="S39" t="s">
        <v>645</v>
      </c>
      <c r="T39" t="s">
        <v>647</v>
      </c>
    </row>
    <row r="40" spans="1:185" ht="30" customHeight="1" x14ac:dyDescent="0.25">
      <c r="A40" s="1">
        <v>66</v>
      </c>
      <c r="B40" s="2" t="s">
        <v>204</v>
      </c>
      <c r="C40" s="1" t="s">
        <v>205</v>
      </c>
      <c r="D40" s="4" t="s">
        <v>28</v>
      </c>
      <c r="E40" s="1">
        <v>257.08499999999998</v>
      </c>
      <c r="F40" s="1">
        <v>80.468600000000009</v>
      </c>
      <c r="G40" s="6">
        <f>100*F40/E40</f>
        <v>31.300387031526544</v>
      </c>
      <c r="H40" s="1"/>
      <c r="I40" s="1"/>
      <c r="J40" s="1"/>
      <c r="K40" s="1"/>
      <c r="L40" s="34">
        <f>20/2570</f>
        <v>7.7821011673151752E-3</v>
      </c>
      <c r="M40" s="43">
        <v>167.78364999999999</v>
      </c>
      <c r="N40" s="43">
        <v>66632.594535390104</v>
      </c>
      <c r="O40" s="34">
        <f t="shared" si="2"/>
        <v>6.4796268291994969E-3</v>
      </c>
      <c r="P40" s="43"/>
      <c r="Q40" s="3"/>
      <c r="S40" t="s">
        <v>645</v>
      </c>
      <c r="T40" t="s">
        <v>647</v>
      </c>
    </row>
    <row r="41" spans="1:185" ht="30" customHeight="1" x14ac:dyDescent="0.25">
      <c r="A41" s="1">
        <v>68</v>
      </c>
      <c r="B41" s="2" t="s">
        <v>208</v>
      </c>
      <c r="C41" s="1" t="s">
        <v>206</v>
      </c>
      <c r="D41" s="4" t="s">
        <v>28</v>
      </c>
      <c r="E41" s="1">
        <v>202.66800000000001</v>
      </c>
      <c r="F41" s="1">
        <v>32.346899999999998</v>
      </c>
      <c r="G41" s="6">
        <f>100*F41/E41</f>
        <v>15.960536443839183</v>
      </c>
      <c r="H41" s="1"/>
      <c r="I41" s="1"/>
      <c r="J41" s="1"/>
      <c r="K41" s="1"/>
      <c r="L41" s="34">
        <f>20/2974</f>
        <v>6.7249495628782787E-3</v>
      </c>
      <c r="M41" s="43">
        <v>344.39040999999997</v>
      </c>
      <c r="N41" s="43">
        <v>365301.92313380702</v>
      </c>
      <c r="O41" s="34">
        <f t="shared" si="2"/>
        <v>4.5061618402239996E-2</v>
      </c>
      <c r="P41" s="43"/>
      <c r="Q41" s="3"/>
      <c r="S41" t="s">
        <v>645</v>
      </c>
      <c r="T41" t="s">
        <v>647</v>
      </c>
    </row>
    <row r="42" spans="1:185" ht="30" customHeight="1" x14ac:dyDescent="0.25">
      <c r="A42" s="1">
        <v>72</v>
      </c>
      <c r="B42" s="2" t="s">
        <v>210</v>
      </c>
      <c r="C42" s="1" t="s">
        <v>209</v>
      </c>
      <c r="D42" s="4" t="s">
        <v>28</v>
      </c>
      <c r="E42" s="1">
        <v>9.9189100000000003</v>
      </c>
      <c r="F42" s="1"/>
      <c r="G42" s="55"/>
      <c r="H42" s="1"/>
      <c r="I42" s="1"/>
      <c r="J42" s="1"/>
      <c r="K42" s="1"/>
      <c r="L42" s="34">
        <f>10/578</f>
        <v>1.7301038062283738E-2</v>
      </c>
      <c r="M42" s="43">
        <v>64.920113000000001</v>
      </c>
      <c r="N42" s="43">
        <v>14559.313922801901</v>
      </c>
      <c r="O42" s="34">
        <f t="shared" si="2"/>
        <v>3.6695851466546983E-2</v>
      </c>
      <c r="P42" s="43"/>
      <c r="Q42" s="3"/>
      <c r="S42" t="s">
        <v>645</v>
      </c>
      <c r="T42" t="s">
        <v>647</v>
      </c>
    </row>
    <row r="43" spans="1:185" ht="30" customHeight="1" x14ac:dyDescent="0.25">
      <c r="A43" s="1">
        <v>74</v>
      </c>
      <c r="B43" s="2" t="s">
        <v>211</v>
      </c>
      <c r="C43" s="1" t="s">
        <v>573</v>
      </c>
      <c r="D43" s="4" t="s">
        <v>28</v>
      </c>
      <c r="E43" s="1">
        <v>61.0077</v>
      </c>
      <c r="F43" s="1"/>
      <c r="G43" s="55"/>
      <c r="H43" s="1"/>
      <c r="I43" s="1"/>
      <c r="J43" s="1"/>
      <c r="K43" s="1"/>
      <c r="L43" s="34">
        <f>20/768</f>
        <v>2.6041666666666668E-2</v>
      </c>
      <c r="M43" s="43">
        <v>175.14603</v>
      </c>
      <c r="N43" s="43">
        <v>83320.452272041104</v>
      </c>
      <c r="O43" s="34">
        <f t="shared" si="2"/>
        <v>3.4143416434335792E-2</v>
      </c>
      <c r="P43" s="43"/>
      <c r="Q43" s="3"/>
      <c r="S43" t="s">
        <v>645</v>
      </c>
      <c r="T43" t="s">
        <v>648</v>
      </c>
    </row>
    <row r="44" spans="1:185" ht="30" customHeight="1" x14ac:dyDescent="0.25">
      <c r="A44" s="1">
        <v>78</v>
      </c>
      <c r="B44" s="2" t="s">
        <v>212</v>
      </c>
      <c r="C44" s="1" t="s">
        <v>573</v>
      </c>
      <c r="D44" s="4" t="s">
        <v>28</v>
      </c>
      <c r="E44" s="1">
        <v>19.075800000000001</v>
      </c>
      <c r="F44" s="1"/>
      <c r="G44" s="55"/>
      <c r="H44" s="1"/>
      <c r="I44" s="1"/>
      <c r="J44" s="1"/>
      <c r="K44" s="1"/>
      <c r="L44" s="34">
        <f>20/1109</f>
        <v>1.8034265103697024E-2</v>
      </c>
      <c r="M44" s="43">
        <v>138.26808</v>
      </c>
      <c r="N44" s="43">
        <v>32427.7554693028</v>
      </c>
      <c r="O44" s="34">
        <f t="shared" si="2"/>
        <v>4.2498552445117375E-2</v>
      </c>
      <c r="P44" s="43"/>
      <c r="Q44" s="3"/>
      <c r="S44" t="s">
        <v>645</v>
      </c>
      <c r="T44" t="s">
        <v>648</v>
      </c>
    </row>
    <row r="45" spans="1:185" ht="30" customHeight="1" x14ac:dyDescent="0.25">
      <c r="A45" s="1">
        <v>79</v>
      </c>
      <c r="B45" s="2" t="s">
        <v>213</v>
      </c>
      <c r="C45" s="1" t="s">
        <v>573</v>
      </c>
      <c r="D45" s="4" t="s">
        <v>28</v>
      </c>
      <c r="E45" s="1">
        <v>2.5136599999999998</v>
      </c>
      <c r="F45" s="1"/>
      <c r="G45" s="55"/>
      <c r="H45" s="1"/>
      <c r="I45" s="1"/>
      <c r="J45" s="1"/>
      <c r="K45" s="1"/>
      <c r="L45" s="34">
        <f>10/573</f>
        <v>1.7452006980802792E-2</v>
      </c>
      <c r="M45" s="43">
        <v>47.741394</v>
      </c>
      <c r="N45" s="43">
        <v>2276.7092770446402</v>
      </c>
      <c r="O45" s="34">
        <f t="shared" si="2"/>
        <v>2.264336940004456E-2</v>
      </c>
      <c r="P45" s="43"/>
      <c r="Q45" s="3"/>
      <c r="S45" t="s">
        <v>645</v>
      </c>
      <c r="T45" t="s">
        <v>648</v>
      </c>
    </row>
    <row r="46" spans="1:185" ht="30" customHeight="1" x14ac:dyDescent="0.25">
      <c r="A46" s="1">
        <v>83</v>
      </c>
      <c r="B46" s="2" t="s">
        <v>214</v>
      </c>
      <c r="C46" s="1" t="s">
        <v>573</v>
      </c>
      <c r="D46" s="4" t="s">
        <v>28</v>
      </c>
      <c r="E46" s="1">
        <v>6.0545400000000003</v>
      </c>
      <c r="F46" s="1"/>
      <c r="G46" s="55"/>
      <c r="H46" s="1"/>
      <c r="I46" s="1"/>
      <c r="J46" s="1"/>
      <c r="K46" s="1"/>
      <c r="L46" s="34">
        <f>20/1596</f>
        <v>1.2531328320802004E-2</v>
      </c>
      <c r="M46" s="43">
        <v>89.447922000000005</v>
      </c>
      <c r="N46" s="43">
        <v>6357.9441320047299</v>
      </c>
      <c r="O46" s="34">
        <f t="shared" si="2"/>
        <v>2.6252795968003884E-2</v>
      </c>
      <c r="P46" s="43"/>
      <c r="Q46" s="3"/>
      <c r="S46" t="s">
        <v>645</v>
      </c>
      <c r="T46" t="s">
        <v>648</v>
      </c>
    </row>
    <row r="47" spans="1:185" ht="30" customHeight="1" x14ac:dyDescent="0.25">
      <c r="A47" s="1">
        <v>86</v>
      </c>
      <c r="B47" s="2" t="s">
        <v>215</v>
      </c>
      <c r="C47" s="1" t="s">
        <v>573</v>
      </c>
      <c r="D47" s="4" t="s">
        <v>28</v>
      </c>
      <c r="E47" s="1">
        <v>13.965</v>
      </c>
      <c r="F47" s="1"/>
      <c r="G47" s="55"/>
      <c r="H47" s="1"/>
      <c r="I47" s="1"/>
      <c r="J47" s="1"/>
      <c r="K47" s="1"/>
      <c r="L47" s="34">
        <f>10/1803</f>
        <v>5.546311702717693E-3</v>
      </c>
      <c r="M47" s="43">
        <v>120.48504</v>
      </c>
      <c r="N47" s="43">
        <v>19805.6354373947</v>
      </c>
      <c r="O47" s="34">
        <f t="shared" si="2"/>
        <v>3.5455845752586285E-2</v>
      </c>
      <c r="P47" s="43"/>
      <c r="Q47" s="3"/>
      <c r="S47" t="s">
        <v>645</v>
      </c>
      <c r="T47" t="s">
        <v>648</v>
      </c>
    </row>
    <row r="48" spans="1:185" ht="30" customHeight="1" x14ac:dyDescent="0.25">
      <c r="A48" s="1">
        <v>91</v>
      </c>
      <c r="B48" s="2" t="s">
        <v>217</v>
      </c>
      <c r="C48" s="1" t="s">
        <v>573</v>
      </c>
      <c r="D48" s="4" t="s">
        <v>28</v>
      </c>
      <c r="E48" s="1">
        <v>16.628</v>
      </c>
      <c r="F48" s="1"/>
      <c r="G48" s="55"/>
      <c r="H48" s="1"/>
      <c r="I48" s="1"/>
      <c r="J48" s="1"/>
      <c r="K48" s="1"/>
      <c r="L48" s="34">
        <f>10/890</f>
        <v>1.1235955056179775E-2</v>
      </c>
      <c r="M48" s="43">
        <v>137.06882999999999</v>
      </c>
      <c r="N48" s="43">
        <v>18124.8052058012</v>
      </c>
      <c r="O48" s="34">
        <f t="shared" si="2"/>
        <v>2.7250428803525979E-2</v>
      </c>
      <c r="P48" s="43"/>
      <c r="Q48" s="3"/>
      <c r="S48" t="s">
        <v>645</v>
      </c>
      <c r="T48" t="s">
        <v>648</v>
      </c>
    </row>
    <row r="49" spans="1:20" ht="30" customHeight="1" x14ac:dyDescent="0.25">
      <c r="A49" s="1">
        <v>93</v>
      </c>
      <c r="B49" s="2" t="s">
        <v>218</v>
      </c>
      <c r="C49" s="1" t="s">
        <v>573</v>
      </c>
      <c r="D49" s="4" t="s">
        <v>28</v>
      </c>
      <c r="E49" s="1">
        <v>13.4575</v>
      </c>
      <c r="F49" s="1"/>
      <c r="G49" s="55"/>
      <c r="H49" s="1"/>
      <c r="I49" s="1"/>
      <c r="J49" s="1"/>
      <c r="K49" s="1"/>
      <c r="L49" s="34">
        <f>10/486</f>
        <v>2.0576131687242798E-2</v>
      </c>
      <c r="M49" s="43">
        <v>128.68896000000001</v>
      </c>
      <c r="N49" s="43">
        <v>25509.109864362901</v>
      </c>
      <c r="O49" s="34">
        <f t="shared" si="2"/>
        <v>4.7388277659971952E-2</v>
      </c>
      <c r="P49" s="43"/>
      <c r="Q49" s="3"/>
      <c r="S49" t="s">
        <v>645</v>
      </c>
      <c r="T49" t="s">
        <v>648</v>
      </c>
    </row>
    <row r="50" spans="1:20" ht="30" customHeight="1" x14ac:dyDescent="0.25">
      <c r="A50" s="1">
        <v>95</v>
      </c>
      <c r="B50" s="2" t="s">
        <v>219</v>
      </c>
      <c r="C50" s="1" t="s">
        <v>216</v>
      </c>
      <c r="D50" s="4" t="s">
        <v>28</v>
      </c>
      <c r="E50" s="1">
        <v>165.876</v>
      </c>
      <c r="F50" s="1">
        <v>88.543773000000002</v>
      </c>
      <c r="G50" s="43">
        <f>100*F50/E50</f>
        <v>53.379496129639008</v>
      </c>
      <c r="H50" s="1"/>
      <c r="I50" s="1"/>
      <c r="J50" s="1"/>
      <c r="K50" s="1"/>
      <c r="L50" s="34">
        <f>5/286</f>
        <v>1.7482517482517484E-2</v>
      </c>
      <c r="M50" s="43">
        <v>338.50891000000001</v>
      </c>
      <c r="N50" s="43">
        <v>255250.83728877301</v>
      </c>
      <c r="O50" s="34">
        <f t="shared" si="2"/>
        <v>3.8470127879978569E-2</v>
      </c>
      <c r="P50" s="43"/>
      <c r="Q50" s="3"/>
      <c r="S50" t="s">
        <v>645</v>
      </c>
      <c r="T50" t="s">
        <v>648</v>
      </c>
    </row>
    <row r="51" spans="1:20" ht="30" customHeight="1" x14ac:dyDescent="0.25">
      <c r="A51" s="1">
        <v>96</v>
      </c>
      <c r="B51" s="2" t="s">
        <v>220</v>
      </c>
      <c r="C51" s="1" t="s">
        <v>573</v>
      </c>
      <c r="D51" s="4" t="s">
        <v>28</v>
      </c>
      <c r="E51" s="1">
        <v>12.106299999999999</v>
      </c>
      <c r="F51" s="1">
        <v>0.135245</v>
      </c>
      <c r="G51" s="6">
        <f>100*F51/E51</f>
        <v>1.117145618397033</v>
      </c>
      <c r="H51" s="1"/>
      <c r="I51" s="1"/>
      <c r="J51" s="1"/>
      <c r="K51" s="1"/>
      <c r="L51" s="34">
        <f>5/300</f>
        <v>1.6666666666666666E-2</v>
      </c>
      <c r="M51" s="43">
        <v>67.206581</v>
      </c>
      <c r="N51" s="43">
        <v>38698.716122920501</v>
      </c>
      <c r="O51" s="34">
        <f t="shared" si="2"/>
        <v>7.991441671468677E-2</v>
      </c>
      <c r="P51" s="43"/>
      <c r="Q51" s="3"/>
      <c r="S51" t="s">
        <v>645</v>
      </c>
      <c r="T51" t="s">
        <v>648</v>
      </c>
    </row>
    <row r="52" spans="1:20" ht="30" customHeight="1" x14ac:dyDescent="0.25">
      <c r="A52" s="1">
        <v>97</v>
      </c>
      <c r="B52" s="2" t="s">
        <v>221</v>
      </c>
      <c r="C52" s="1" t="s">
        <v>222</v>
      </c>
      <c r="D52" s="4" t="s">
        <v>28</v>
      </c>
      <c r="E52" s="1">
        <v>52.907800000000002</v>
      </c>
      <c r="F52" s="1"/>
      <c r="G52" s="55"/>
      <c r="H52" s="1"/>
      <c r="I52" s="1"/>
      <c r="J52" s="1"/>
      <c r="K52" s="1"/>
      <c r="L52" s="34">
        <f>10/2374</f>
        <v>4.2122999157540014E-3</v>
      </c>
      <c r="M52" s="43">
        <v>131.36421000000001</v>
      </c>
      <c r="N52" s="43">
        <v>115128.434637924</v>
      </c>
      <c r="O52" s="34">
        <f t="shared" si="2"/>
        <v>5.4400501739783169E-2</v>
      </c>
      <c r="P52" s="43"/>
      <c r="Q52" s="3"/>
      <c r="S52" t="s">
        <v>645</v>
      </c>
      <c r="T52" t="s">
        <v>648</v>
      </c>
    </row>
    <row r="53" spans="1:20" ht="30" customHeight="1" x14ac:dyDescent="0.25">
      <c r="A53" s="1">
        <v>99</v>
      </c>
      <c r="B53" s="2" t="s">
        <v>223</v>
      </c>
      <c r="C53" s="1" t="s">
        <v>573</v>
      </c>
      <c r="D53" s="4" t="s">
        <v>28</v>
      </c>
      <c r="E53" s="1">
        <v>23.360900000000001</v>
      </c>
      <c r="F53" s="1"/>
      <c r="G53" s="55"/>
      <c r="H53" s="1"/>
      <c r="I53" s="1"/>
      <c r="J53" s="1"/>
      <c r="K53" s="1"/>
      <c r="L53" s="34">
        <f>10/3074</f>
        <v>3.2530904359141183E-3</v>
      </c>
      <c r="M53" s="43">
        <v>88.331467000000004</v>
      </c>
      <c r="N53" s="43">
        <v>46453.2887866577</v>
      </c>
      <c r="O53" s="34">
        <f t="shared" si="2"/>
        <v>4.9712648899076776E-2</v>
      </c>
      <c r="P53" s="43"/>
      <c r="Q53" s="3"/>
      <c r="S53" t="s">
        <v>645</v>
      </c>
      <c r="T53" t="s">
        <v>648</v>
      </c>
    </row>
    <row r="54" spans="1:20" ht="30" customHeight="1" x14ac:dyDescent="0.25">
      <c r="A54" s="1">
        <v>100</v>
      </c>
      <c r="B54" s="2" t="s">
        <v>224</v>
      </c>
      <c r="C54" s="1" t="s">
        <v>225</v>
      </c>
      <c r="D54" s="4" t="s">
        <v>28</v>
      </c>
      <c r="E54" s="1">
        <v>66.478700000000003</v>
      </c>
      <c r="F54" s="1"/>
      <c r="G54" s="55"/>
      <c r="H54" s="1"/>
      <c r="I54" s="1"/>
      <c r="J54" s="1"/>
      <c r="K54" s="1"/>
      <c r="L54" s="34">
        <f>20/1743</f>
        <v>1.1474469305794608E-2</v>
      </c>
      <c r="M54" s="43">
        <v>85.220230000000001</v>
      </c>
      <c r="N54" s="43">
        <v>119193.5563926</v>
      </c>
      <c r="O54" s="34">
        <f t="shared" si="2"/>
        <v>4.4823964816023777E-2</v>
      </c>
      <c r="P54" s="43"/>
      <c r="Q54" s="3"/>
      <c r="S54" t="s">
        <v>645</v>
      </c>
      <c r="T54" t="s">
        <v>648</v>
      </c>
    </row>
    <row r="55" spans="1:20" ht="30" customHeight="1" x14ac:dyDescent="0.25">
      <c r="A55" s="1">
        <v>111</v>
      </c>
      <c r="B55" s="2" t="s">
        <v>232</v>
      </c>
      <c r="C55" s="1" t="s">
        <v>573</v>
      </c>
      <c r="D55" s="4" t="s">
        <v>28</v>
      </c>
      <c r="E55" s="1">
        <v>18.753299999999999</v>
      </c>
      <c r="F55" s="1"/>
      <c r="G55" s="55"/>
      <c r="H55" s="1"/>
      <c r="I55" s="1"/>
      <c r="J55" s="1"/>
      <c r="K55" s="1"/>
      <c r="L55" s="34">
        <f>20/1807</f>
        <v>1.1068068622025456E-2</v>
      </c>
      <c r="M55" s="43">
        <v>152.23978</v>
      </c>
      <c r="N55" s="43">
        <v>57478.523811318199</v>
      </c>
      <c r="O55" s="34">
        <f t="shared" si="2"/>
        <v>7.6624545828358467E-2</v>
      </c>
      <c r="P55" s="43"/>
      <c r="Q55" s="3"/>
      <c r="S55" t="s">
        <v>645</v>
      </c>
      <c r="T55" t="s">
        <v>648</v>
      </c>
    </row>
    <row r="56" spans="1:20" ht="30" customHeight="1" x14ac:dyDescent="0.25">
      <c r="A56" s="1">
        <v>115</v>
      </c>
      <c r="B56" s="2" t="s">
        <v>240</v>
      </c>
      <c r="C56" s="1" t="s">
        <v>236</v>
      </c>
      <c r="D56" s="4" t="s">
        <v>28</v>
      </c>
      <c r="E56" s="1">
        <v>21.3993</v>
      </c>
      <c r="F56" s="1"/>
      <c r="G56" s="55"/>
      <c r="H56" s="1"/>
      <c r="I56" s="1"/>
      <c r="J56" s="1"/>
      <c r="K56" s="1"/>
      <c r="L56" s="34">
        <f>2/402</f>
        <v>4.9751243781094526E-3</v>
      </c>
      <c r="M56" s="43">
        <v>196.81581</v>
      </c>
      <c r="N56" s="43">
        <v>41225.810941262098</v>
      </c>
      <c r="O56" s="34">
        <f t="shared" si="2"/>
        <v>4.8162569501411373E-2</v>
      </c>
      <c r="P56" s="43"/>
      <c r="Q56" s="3"/>
      <c r="S56" t="s">
        <v>645</v>
      </c>
      <c r="T56" t="s">
        <v>648</v>
      </c>
    </row>
    <row r="57" spans="1:20" ht="30" customHeight="1" x14ac:dyDescent="0.25">
      <c r="A57" s="1">
        <v>134</v>
      </c>
      <c r="B57" s="2" t="s">
        <v>185</v>
      </c>
      <c r="C57" s="1" t="s">
        <v>186</v>
      </c>
      <c r="D57" s="4" t="s">
        <v>28</v>
      </c>
      <c r="E57" s="1">
        <v>161.62700000000001</v>
      </c>
      <c r="F57" s="1">
        <v>87.575719000000007</v>
      </c>
      <c r="G57" s="6">
        <f>100*F57/E57</f>
        <v>54.183842427317217</v>
      </c>
      <c r="H57" s="1"/>
      <c r="I57" s="1"/>
      <c r="J57" s="1"/>
      <c r="K57" s="1"/>
      <c r="L57" s="34">
        <f>20/793</f>
        <v>2.5220680958385876E-2</v>
      </c>
      <c r="M57" s="43">
        <v>381.71692000000002</v>
      </c>
      <c r="N57" s="43">
        <v>284699.76102637599</v>
      </c>
      <c r="O57" s="34">
        <f t="shared" si="2"/>
        <v>4.4036541083231143E-2</v>
      </c>
      <c r="P57" s="43"/>
      <c r="Q57" s="3"/>
      <c r="S57" t="s">
        <v>645</v>
      </c>
      <c r="T57" t="s">
        <v>647</v>
      </c>
    </row>
    <row r="58" spans="1:20" ht="30" customHeight="1" x14ac:dyDescent="0.25">
      <c r="A58" s="1">
        <v>276</v>
      </c>
      <c r="B58" s="2" t="s">
        <v>184</v>
      </c>
      <c r="C58" s="1" t="s">
        <v>573</v>
      </c>
      <c r="D58" s="4" t="s">
        <v>28</v>
      </c>
      <c r="E58" s="1">
        <v>38.389400000000002</v>
      </c>
      <c r="F58" s="1">
        <v>4.0457000000000001</v>
      </c>
      <c r="G58" s="6">
        <f>100*F58/E58</f>
        <v>10.538586172224624</v>
      </c>
      <c r="H58" s="1"/>
      <c r="I58" s="1"/>
      <c r="J58" s="1"/>
      <c r="K58" s="1"/>
      <c r="L58" s="34">
        <f>20/2638</f>
        <v>7.5815011372251705E-3</v>
      </c>
      <c r="M58" s="43">
        <v>217.09676999999999</v>
      </c>
      <c r="N58" s="43">
        <v>118306.41167652801</v>
      </c>
      <c r="O58" s="34">
        <f t="shared" si="2"/>
        <v>7.7043670698505318E-2</v>
      </c>
      <c r="P58" s="43"/>
      <c r="Q58" s="3"/>
      <c r="S58" t="s">
        <v>645</v>
      </c>
      <c r="T58" t="s">
        <v>647</v>
      </c>
    </row>
    <row r="59" spans="1:20" ht="30" customHeight="1" x14ac:dyDescent="0.25">
      <c r="A59" s="29">
        <v>21</v>
      </c>
      <c r="B59" s="2" t="s">
        <v>408</v>
      </c>
      <c r="C59" s="1" t="s">
        <v>573</v>
      </c>
      <c r="D59" s="30">
        <v>1</v>
      </c>
      <c r="E59" s="1">
        <v>62.738369825607002</v>
      </c>
      <c r="F59" s="1"/>
      <c r="G59" s="55"/>
      <c r="H59" s="1"/>
      <c r="I59" s="1"/>
      <c r="J59" s="1"/>
      <c r="K59" s="1"/>
      <c r="L59" s="34">
        <f>10/205</f>
        <v>4.878048780487805E-2</v>
      </c>
      <c r="M59" s="29"/>
      <c r="N59" s="1"/>
      <c r="O59" s="1"/>
      <c r="P59" s="43">
        <v>278.47539899999998</v>
      </c>
      <c r="Q59" s="3">
        <v>729590.950543046</v>
      </c>
      <c r="R59" s="34">
        <f t="shared" ref="R59:R77" si="3">(25*Q59)/(E59*1000000)</f>
        <v>0.29072756933718558</v>
      </c>
      <c r="S59" t="s">
        <v>646</v>
      </c>
      <c r="T59" t="s">
        <v>647</v>
      </c>
    </row>
    <row r="60" spans="1:20" ht="30" customHeight="1" x14ac:dyDescent="0.25">
      <c r="A60" s="29">
        <v>22</v>
      </c>
      <c r="B60" s="2" t="s">
        <v>409</v>
      </c>
      <c r="C60" s="1" t="s">
        <v>573</v>
      </c>
      <c r="D60" s="30">
        <v>1</v>
      </c>
      <c r="E60" s="1">
        <v>70.135107826617997</v>
      </c>
      <c r="F60" s="1"/>
      <c r="G60" s="55"/>
      <c r="H60" s="1"/>
      <c r="I60" s="1"/>
      <c r="J60" s="1"/>
      <c r="K60" s="1"/>
      <c r="L60" s="34">
        <f>20/415</f>
        <v>4.8192771084337352E-2</v>
      </c>
      <c r="M60" s="29"/>
      <c r="N60" s="1"/>
      <c r="O60" s="1"/>
      <c r="P60" s="43">
        <v>246.91475299999999</v>
      </c>
      <c r="Q60" s="3">
        <v>803718.19193982997</v>
      </c>
      <c r="R60" s="34">
        <f t="shared" si="3"/>
        <v>0.28648925511268664</v>
      </c>
      <c r="S60" t="s">
        <v>646</v>
      </c>
      <c r="T60" t="s">
        <v>647</v>
      </c>
    </row>
    <row r="61" spans="1:20" ht="30" customHeight="1" x14ac:dyDescent="0.25">
      <c r="A61" s="29">
        <v>103</v>
      </c>
      <c r="B61" s="2" t="s">
        <v>411</v>
      </c>
      <c r="C61" s="29" t="s">
        <v>346</v>
      </c>
      <c r="D61" s="30">
        <v>1</v>
      </c>
      <c r="E61" s="1">
        <v>142.00195423410801</v>
      </c>
      <c r="F61" s="1">
        <v>0.86203601254399997</v>
      </c>
      <c r="G61" s="6">
        <f>100*F61/E61</f>
        <v>0.60705925998935595</v>
      </c>
      <c r="H61" s="1"/>
      <c r="I61" s="1"/>
      <c r="J61" s="1"/>
      <c r="K61" s="1"/>
      <c r="L61" s="34">
        <f>10/783</f>
        <v>1.277139208173691E-2</v>
      </c>
      <c r="M61" s="29"/>
      <c r="N61" s="1"/>
      <c r="O61" s="1"/>
      <c r="P61" s="43">
        <v>223.443724</v>
      </c>
      <c r="Q61" s="3">
        <v>1619786.90983438</v>
      </c>
      <c r="R61" s="34">
        <f t="shared" si="3"/>
        <v>0.28516982716377948</v>
      </c>
      <c r="S61" t="s">
        <v>646</v>
      </c>
      <c r="T61" t="s">
        <v>648</v>
      </c>
    </row>
    <row r="62" spans="1:20" ht="30" customHeight="1" x14ac:dyDescent="0.25">
      <c r="A62" s="29">
        <v>122</v>
      </c>
      <c r="B62" s="2" t="s">
        <v>414</v>
      </c>
      <c r="C62" s="29" t="s">
        <v>347</v>
      </c>
      <c r="D62" s="30">
        <v>1</v>
      </c>
      <c r="E62" s="1">
        <v>265.61009586306102</v>
      </c>
      <c r="F62" s="1"/>
      <c r="G62" s="55"/>
      <c r="H62" s="1"/>
      <c r="I62" s="1"/>
      <c r="J62" s="1"/>
      <c r="K62" s="1"/>
      <c r="L62" s="34">
        <f>5/525</f>
        <v>9.5238095238095247E-3</v>
      </c>
      <c r="M62" s="29"/>
      <c r="N62" s="1"/>
      <c r="O62" s="1"/>
      <c r="P62" s="43">
        <v>206.935012</v>
      </c>
      <c r="Q62" s="3">
        <v>2212554.4384651999</v>
      </c>
      <c r="R62" s="34">
        <f t="shared" si="3"/>
        <v>0.20825210269924313</v>
      </c>
      <c r="S62" t="s">
        <v>646</v>
      </c>
      <c r="T62" t="s">
        <v>648</v>
      </c>
    </row>
    <row r="63" spans="1:20" ht="30" customHeight="1" x14ac:dyDescent="0.25">
      <c r="A63" s="29">
        <v>142</v>
      </c>
      <c r="B63" s="2" t="s">
        <v>420</v>
      </c>
      <c r="C63" s="1" t="s">
        <v>573</v>
      </c>
      <c r="D63" s="30">
        <v>1</v>
      </c>
      <c r="E63" s="1">
        <v>252.46198456213301</v>
      </c>
      <c r="F63" s="1"/>
      <c r="G63" s="55"/>
      <c r="H63" s="1"/>
      <c r="I63" s="1"/>
      <c r="J63" s="1"/>
      <c r="K63" s="1"/>
      <c r="L63" s="34">
        <f>5/1276</f>
        <v>3.9184952978056423E-3</v>
      </c>
      <c r="M63" s="29"/>
      <c r="N63" s="1"/>
      <c r="O63" s="1"/>
      <c r="P63" s="43">
        <v>241.960219</v>
      </c>
      <c r="Q63" s="3">
        <v>2087736.6862162901</v>
      </c>
      <c r="R63" s="34">
        <f t="shared" si="3"/>
        <v>0.20673772824027695</v>
      </c>
      <c r="S63" t="s">
        <v>646</v>
      </c>
      <c r="T63" t="s">
        <v>648</v>
      </c>
    </row>
    <row r="64" spans="1:20" ht="30" customHeight="1" x14ac:dyDescent="0.25">
      <c r="A64" s="29">
        <v>149</v>
      </c>
      <c r="B64" s="2" t="s">
        <v>422</v>
      </c>
      <c r="C64" s="29" t="s">
        <v>353</v>
      </c>
      <c r="D64" s="30">
        <v>1</v>
      </c>
      <c r="E64" s="1">
        <v>65.547535431562991</v>
      </c>
      <c r="F64" s="1"/>
      <c r="G64" s="55"/>
      <c r="H64" s="1"/>
      <c r="I64" s="1"/>
      <c r="J64" s="1"/>
      <c r="K64" s="1"/>
      <c r="L64" s="34">
        <f>10/350</f>
        <v>2.8571428571428571E-2</v>
      </c>
      <c r="M64" s="29"/>
      <c r="N64" s="1"/>
      <c r="O64" s="1"/>
      <c r="P64" s="43">
        <v>227.503998</v>
      </c>
      <c r="Q64" s="3">
        <v>587135.63159519399</v>
      </c>
      <c r="R64" s="34">
        <f t="shared" si="3"/>
        <v>0.2239350525269603</v>
      </c>
      <c r="S64" t="s">
        <v>646</v>
      </c>
      <c r="T64" t="s">
        <v>648</v>
      </c>
    </row>
    <row r="65" spans="1:185" s="22" customFormat="1" ht="30" customHeight="1" x14ac:dyDescent="0.25">
      <c r="A65" s="29">
        <v>183</v>
      </c>
      <c r="B65" s="2" t="s">
        <v>427</v>
      </c>
      <c r="C65" s="29" t="s">
        <v>355</v>
      </c>
      <c r="D65" s="30">
        <v>1</v>
      </c>
      <c r="E65" s="1">
        <v>64.304784977574002</v>
      </c>
      <c r="F65" s="1"/>
      <c r="G65" s="55"/>
      <c r="H65" s="1"/>
      <c r="I65" s="1"/>
      <c r="J65" s="1"/>
      <c r="K65" s="1"/>
      <c r="L65" s="34">
        <f>10/1576</f>
        <v>6.3451776649746192E-3</v>
      </c>
      <c r="M65" s="29"/>
      <c r="N65" s="1"/>
      <c r="O65" s="1"/>
      <c r="P65" s="43">
        <v>38.102831999999999</v>
      </c>
      <c r="Q65" s="3">
        <v>404144.620286941</v>
      </c>
      <c r="R65" s="34">
        <f t="shared" si="3"/>
        <v>0.157120741647719</v>
      </c>
      <c r="S65" t="s">
        <v>646</v>
      </c>
      <c r="T65" t="s">
        <v>648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</row>
    <row r="66" spans="1:185" ht="30" customHeight="1" x14ac:dyDescent="0.25">
      <c r="A66" s="29">
        <v>186</v>
      </c>
      <c r="B66" s="2" t="s">
        <v>428</v>
      </c>
      <c r="C66" s="29" t="s">
        <v>356</v>
      </c>
      <c r="D66" s="30">
        <v>1</v>
      </c>
      <c r="E66" s="1">
        <v>78.611298547846005</v>
      </c>
      <c r="F66" s="1"/>
      <c r="G66" s="55"/>
      <c r="H66" s="1"/>
      <c r="I66" s="1"/>
      <c r="J66" s="1"/>
      <c r="K66" s="1"/>
      <c r="L66" s="34">
        <f>20/3324</f>
        <v>6.0168471720818293E-3</v>
      </c>
      <c r="M66" s="29"/>
      <c r="N66" s="1"/>
      <c r="O66" s="1"/>
      <c r="P66" s="43">
        <v>29.304273999999999</v>
      </c>
      <c r="Q66" s="3">
        <v>367407.99504965497</v>
      </c>
      <c r="R66" s="34">
        <f t="shared" si="3"/>
        <v>0.11684325339888504</v>
      </c>
      <c r="S66" t="s">
        <v>646</v>
      </c>
      <c r="T66" t="s">
        <v>648</v>
      </c>
    </row>
    <row r="67" spans="1:185" ht="30" customHeight="1" x14ac:dyDescent="0.25">
      <c r="A67" s="29">
        <v>190</v>
      </c>
      <c r="B67" s="2" t="s">
        <v>430</v>
      </c>
      <c r="C67" s="29" t="s">
        <v>357</v>
      </c>
      <c r="D67" s="30">
        <v>1</v>
      </c>
      <c r="E67" s="1">
        <v>100.10977684322201</v>
      </c>
      <c r="F67" s="1"/>
      <c r="G67" s="55"/>
      <c r="H67" s="1"/>
      <c r="I67" s="1"/>
      <c r="J67" s="1"/>
      <c r="K67" s="1"/>
      <c r="L67" s="34">
        <f>10/1262</f>
        <v>7.9239302694136295E-3</v>
      </c>
      <c r="M67" s="29"/>
      <c r="N67" s="1"/>
      <c r="O67" s="1"/>
      <c r="P67" s="43">
        <v>31.350377000000002</v>
      </c>
      <c r="Q67" s="3">
        <v>410168.46315741498</v>
      </c>
      <c r="R67" s="34">
        <f t="shared" si="3"/>
        <v>0.10242967172920676</v>
      </c>
      <c r="S67" t="s">
        <v>646</v>
      </c>
      <c r="T67" t="s">
        <v>648</v>
      </c>
    </row>
    <row r="68" spans="1:185" ht="30" customHeight="1" x14ac:dyDescent="0.25">
      <c r="A68" s="29">
        <v>263</v>
      </c>
      <c r="B68" s="2" t="s">
        <v>457</v>
      </c>
      <c r="C68" s="29" t="s">
        <v>373</v>
      </c>
      <c r="D68" s="30">
        <v>1</v>
      </c>
      <c r="E68" s="1">
        <v>153.04527419702399</v>
      </c>
      <c r="F68" s="1"/>
      <c r="G68" s="55"/>
      <c r="H68" s="1"/>
      <c r="I68" s="1"/>
      <c r="J68" s="1"/>
      <c r="K68" s="1"/>
      <c r="L68" s="34">
        <f>10/631</f>
        <v>1.5847860538827259E-2</v>
      </c>
      <c r="M68" s="29"/>
      <c r="N68" s="1"/>
      <c r="O68" s="1"/>
      <c r="P68" s="43">
        <v>63.142063</v>
      </c>
      <c r="Q68" s="3">
        <v>897341.03576508095</v>
      </c>
      <c r="R68" s="34">
        <f t="shared" si="3"/>
        <v>0.14658097750373561</v>
      </c>
      <c r="S68" t="s">
        <v>646</v>
      </c>
      <c r="T68" t="s">
        <v>648</v>
      </c>
    </row>
    <row r="69" spans="1:185" ht="30" customHeight="1" x14ac:dyDescent="0.25">
      <c r="A69" s="80">
        <v>323</v>
      </c>
      <c r="B69" s="10" t="s">
        <v>467</v>
      </c>
      <c r="C69" s="80" t="s">
        <v>379</v>
      </c>
      <c r="D69" s="66">
        <v>1</v>
      </c>
      <c r="E69" s="9">
        <v>318.43553158085899</v>
      </c>
      <c r="F69" s="9"/>
      <c r="G69" s="49"/>
      <c r="H69" s="9"/>
      <c r="I69" s="9"/>
      <c r="J69" s="9"/>
      <c r="K69" s="9"/>
      <c r="L69" s="46">
        <f>20/2132</f>
        <v>9.3808630393996256E-3</v>
      </c>
      <c r="M69" s="80"/>
      <c r="N69" s="9"/>
      <c r="O69" s="9"/>
      <c r="P69" s="47">
        <v>85.484318999999999</v>
      </c>
      <c r="Q69" s="13">
        <v>1990666.3833234899</v>
      </c>
      <c r="R69" s="34">
        <f t="shared" si="3"/>
        <v>0.15628488233088464</v>
      </c>
      <c r="S69" t="s">
        <v>646</v>
      </c>
      <c r="T69" t="s">
        <v>647</v>
      </c>
    </row>
    <row r="70" spans="1:185" ht="30" customHeight="1" x14ac:dyDescent="0.25">
      <c r="A70" s="32">
        <v>324</v>
      </c>
      <c r="B70" s="15" t="s">
        <v>468</v>
      </c>
      <c r="C70" s="32" t="s">
        <v>380</v>
      </c>
      <c r="D70" s="33">
        <v>1</v>
      </c>
      <c r="E70" s="14">
        <v>127.98415702874701</v>
      </c>
      <c r="F70" s="14"/>
      <c r="G70" s="53"/>
      <c r="H70" s="14"/>
      <c r="I70" s="14"/>
      <c r="J70" s="14"/>
      <c r="K70" s="14"/>
      <c r="L70" s="38">
        <f>15/2099</f>
        <v>7.146260123868509E-3</v>
      </c>
      <c r="M70" s="32"/>
      <c r="N70" s="14"/>
      <c r="O70" s="14"/>
      <c r="P70" s="45">
        <v>67.114474999999999</v>
      </c>
      <c r="Q70" s="18">
        <v>888433.12961769104</v>
      </c>
      <c r="R70" s="34">
        <f t="shared" si="3"/>
        <v>0.1735435756743971</v>
      </c>
      <c r="S70" t="s">
        <v>646</v>
      </c>
      <c r="T70" t="s">
        <v>647</v>
      </c>
    </row>
    <row r="71" spans="1:185" ht="30" customHeight="1" x14ac:dyDescent="0.25">
      <c r="A71" s="29">
        <v>326</v>
      </c>
      <c r="B71" s="2" t="s">
        <v>469</v>
      </c>
      <c r="C71" s="29" t="s">
        <v>381</v>
      </c>
      <c r="D71" s="30">
        <v>1</v>
      </c>
      <c r="E71" s="1">
        <v>59.314067480204002</v>
      </c>
      <c r="F71" s="1"/>
      <c r="G71" s="55"/>
      <c r="H71" s="1"/>
      <c r="I71" s="1"/>
      <c r="J71" s="1"/>
      <c r="K71" s="1"/>
      <c r="L71" s="34">
        <v>1.65016501650165E-2</v>
      </c>
      <c r="M71" s="29"/>
      <c r="N71" s="1"/>
      <c r="O71" s="1"/>
      <c r="P71" s="43">
        <v>55.232973999999999</v>
      </c>
      <c r="Q71" s="3">
        <v>479645.69190862699</v>
      </c>
      <c r="R71" s="34">
        <f t="shared" si="3"/>
        <v>0.20216354748757881</v>
      </c>
      <c r="S71" t="s">
        <v>646</v>
      </c>
      <c r="T71" t="s">
        <v>647</v>
      </c>
    </row>
    <row r="72" spans="1:185" ht="30" customHeight="1" x14ac:dyDescent="0.25">
      <c r="A72" s="29">
        <v>327</v>
      </c>
      <c r="B72" s="2" t="s">
        <v>470</v>
      </c>
      <c r="C72" s="29" t="s">
        <v>382</v>
      </c>
      <c r="D72" s="30">
        <v>1</v>
      </c>
      <c r="E72" s="1">
        <v>85.104062415917994</v>
      </c>
      <c r="F72" s="1"/>
      <c r="G72" s="55"/>
      <c r="H72" s="1"/>
      <c r="I72" s="1"/>
      <c r="J72" s="1"/>
      <c r="K72" s="1"/>
      <c r="L72" s="34">
        <f>20/1307</f>
        <v>1.5302218821729151E-2</v>
      </c>
      <c r="M72" s="29"/>
      <c r="N72" s="1"/>
      <c r="O72" s="1"/>
      <c r="P72" s="43">
        <v>97.924256999999997</v>
      </c>
      <c r="Q72" s="3">
        <v>711196.59789687302</v>
      </c>
      <c r="R72" s="34">
        <f t="shared" si="3"/>
        <v>0.20891969716472952</v>
      </c>
      <c r="S72" t="s">
        <v>646</v>
      </c>
      <c r="T72" t="s">
        <v>647</v>
      </c>
    </row>
    <row r="73" spans="1:185" ht="30" customHeight="1" x14ac:dyDescent="0.25">
      <c r="A73" s="29">
        <v>332</v>
      </c>
      <c r="B73" s="2" t="s">
        <v>471</v>
      </c>
      <c r="C73" s="29" t="s">
        <v>383</v>
      </c>
      <c r="D73" s="30">
        <v>1</v>
      </c>
      <c r="E73" s="1">
        <v>216.63561446936899</v>
      </c>
      <c r="F73" s="1"/>
      <c r="G73" s="55"/>
      <c r="H73" s="1"/>
      <c r="I73" s="1"/>
      <c r="J73" s="1"/>
      <c r="K73" s="1"/>
      <c r="L73" s="34">
        <f>20/1362</f>
        <v>1.4684287812041116E-2</v>
      </c>
      <c r="M73" s="29"/>
      <c r="N73" s="1"/>
      <c r="O73" s="1"/>
      <c r="P73" s="43">
        <v>117.389419</v>
      </c>
      <c r="Q73" s="3">
        <v>1376204.2999811999</v>
      </c>
      <c r="R73" s="34">
        <f t="shared" si="3"/>
        <v>0.15881556494670768</v>
      </c>
      <c r="S73" t="s">
        <v>646</v>
      </c>
      <c r="T73" t="s">
        <v>647</v>
      </c>
    </row>
    <row r="74" spans="1:185" ht="30" customHeight="1" x14ac:dyDescent="0.25">
      <c r="A74" s="29">
        <v>333</v>
      </c>
      <c r="B74" s="2" t="s">
        <v>472</v>
      </c>
      <c r="C74" s="31" t="s">
        <v>384</v>
      </c>
      <c r="D74" s="30">
        <v>1</v>
      </c>
      <c r="E74" s="1">
        <v>175.72020048799399</v>
      </c>
      <c r="F74" s="1"/>
      <c r="G74" s="55"/>
      <c r="H74" s="1"/>
      <c r="I74" s="1"/>
      <c r="J74" s="1"/>
      <c r="K74" s="1"/>
      <c r="L74" s="34">
        <f>20/1879</f>
        <v>1.0643959552953698E-2</v>
      </c>
      <c r="M74" s="29"/>
      <c r="N74" s="1"/>
      <c r="O74" s="1"/>
      <c r="P74" s="43">
        <v>118.927818</v>
      </c>
      <c r="Q74" s="3">
        <v>944798.23226547195</v>
      </c>
      <c r="R74" s="34">
        <f t="shared" si="3"/>
        <v>0.1344179880346234</v>
      </c>
      <c r="S74" t="s">
        <v>646</v>
      </c>
      <c r="T74" t="s">
        <v>647</v>
      </c>
    </row>
    <row r="75" spans="1:185" ht="30" customHeight="1" x14ac:dyDescent="0.25">
      <c r="A75" s="29">
        <v>335</v>
      </c>
      <c r="B75" s="2" t="s">
        <v>473</v>
      </c>
      <c r="C75" s="29" t="s">
        <v>385</v>
      </c>
      <c r="D75" s="30">
        <v>1</v>
      </c>
      <c r="E75" s="1">
        <v>338.46695538362098</v>
      </c>
      <c r="F75" s="1"/>
      <c r="G75" s="55"/>
      <c r="H75" s="1"/>
      <c r="I75" s="1"/>
      <c r="J75" s="1"/>
      <c r="K75" s="1"/>
      <c r="L75" s="34">
        <f>20/1828</f>
        <v>1.0940919037199124E-2</v>
      </c>
      <c r="M75" s="29"/>
      <c r="N75" s="1"/>
      <c r="O75" s="1"/>
      <c r="P75" s="43">
        <v>135.50192999999999</v>
      </c>
      <c r="Q75" s="3">
        <v>1782700.0075322301</v>
      </c>
      <c r="R75" s="34">
        <f t="shared" si="3"/>
        <v>0.13167459771011505</v>
      </c>
      <c r="S75" t="s">
        <v>646</v>
      </c>
      <c r="T75" t="s">
        <v>647</v>
      </c>
    </row>
    <row r="76" spans="1:185" ht="30" customHeight="1" x14ac:dyDescent="0.25">
      <c r="A76" s="29">
        <v>344</v>
      </c>
      <c r="B76" s="2" t="s">
        <v>475</v>
      </c>
      <c r="C76" s="29" t="s">
        <v>386</v>
      </c>
      <c r="D76" s="30">
        <v>1</v>
      </c>
      <c r="E76" s="1">
        <v>177.81436539174899</v>
      </c>
      <c r="F76" s="1"/>
      <c r="G76" s="55"/>
      <c r="H76" s="1"/>
      <c r="I76" s="1"/>
      <c r="J76" s="1"/>
      <c r="K76" s="1"/>
      <c r="L76" s="34">
        <f>20/2471</f>
        <v>8.0938891137191417E-3</v>
      </c>
      <c r="M76" s="29"/>
      <c r="N76" s="1"/>
      <c r="O76" s="1"/>
      <c r="P76" s="43">
        <v>104.678004</v>
      </c>
      <c r="Q76" s="3">
        <v>959224.44361341</v>
      </c>
      <c r="R76" s="34">
        <f t="shared" si="3"/>
        <v>0.13486318182168652</v>
      </c>
      <c r="S76" t="s">
        <v>646</v>
      </c>
      <c r="T76" t="s">
        <v>647</v>
      </c>
    </row>
    <row r="77" spans="1:185" ht="30" customHeight="1" x14ac:dyDescent="0.25">
      <c r="A77" s="29">
        <v>369</v>
      </c>
      <c r="B77" s="2" t="s">
        <v>488</v>
      </c>
      <c r="C77" s="29" t="s">
        <v>345</v>
      </c>
      <c r="D77" s="30">
        <v>1</v>
      </c>
      <c r="E77" s="1">
        <v>62.342856652638005</v>
      </c>
      <c r="F77" s="1"/>
      <c r="G77" s="55"/>
      <c r="H77" s="1"/>
      <c r="I77" s="1"/>
      <c r="J77" s="1"/>
      <c r="K77" s="1"/>
      <c r="L77" s="34">
        <f>10/612</f>
        <v>1.6339869281045753E-2</v>
      </c>
      <c r="M77" s="29"/>
      <c r="N77" s="1"/>
      <c r="O77" s="1"/>
      <c r="P77" s="43">
        <v>275.51059400000003</v>
      </c>
      <c r="Q77" s="3">
        <v>589030.13808703399</v>
      </c>
      <c r="R77" s="34">
        <f t="shared" si="3"/>
        <v>0.2362059463239681</v>
      </c>
      <c r="S77" t="s">
        <v>646</v>
      </c>
      <c r="T77" t="s">
        <v>647</v>
      </c>
    </row>
    <row r="78" spans="1:185" ht="30" customHeight="1" x14ac:dyDescent="0.25">
      <c r="A78" s="1">
        <v>168</v>
      </c>
      <c r="B78" s="2" t="s">
        <v>44</v>
      </c>
      <c r="C78" s="1" t="s">
        <v>43</v>
      </c>
      <c r="D78" s="4" t="s">
        <v>32</v>
      </c>
      <c r="E78" s="43">
        <v>77.304100000000005</v>
      </c>
      <c r="F78" s="58">
        <v>2.4393590000000001</v>
      </c>
      <c r="G78" s="55">
        <f>100*F78/E78</f>
        <v>3.1555363816408182</v>
      </c>
      <c r="H78" s="1"/>
      <c r="I78" s="1"/>
      <c r="J78" s="1"/>
      <c r="K78" s="6"/>
      <c r="L78" s="34">
        <f>10/4886</f>
        <v>2.0466639377814161E-3</v>
      </c>
      <c r="M78" s="43">
        <v>210.16359</v>
      </c>
      <c r="N78" s="55">
        <v>9453428.2608589996</v>
      </c>
      <c r="O78" s="6">
        <f t="shared" ref="O78:O91" si="4">(25*N78)/(1000000*E78)</f>
        <v>3.0572208527293507</v>
      </c>
      <c r="P78" s="60">
        <v>207.67975999999999</v>
      </c>
      <c r="Q78" s="3">
        <v>955870.34935094102</v>
      </c>
      <c r="R78" s="56">
        <f t="shared" ref="R78:R84" si="5">(25*Q78)/(1000000*E78)</f>
        <v>0.30912666642226644</v>
      </c>
      <c r="S78" s="64" t="s">
        <v>637</v>
      </c>
      <c r="T78" s="22" t="s">
        <v>649</v>
      </c>
      <c r="U78" s="22"/>
      <c r="V78" s="52"/>
    </row>
    <row r="79" spans="1:185" ht="30" customHeight="1" x14ac:dyDescent="0.25">
      <c r="A79" s="9">
        <v>14</v>
      </c>
      <c r="B79" s="10" t="s">
        <v>280</v>
      </c>
      <c r="C79" s="9" t="s">
        <v>535</v>
      </c>
      <c r="D79" s="66">
        <v>2</v>
      </c>
      <c r="E79" s="68">
        <v>184.834</v>
      </c>
      <c r="F79" s="9"/>
      <c r="G79" s="9"/>
      <c r="H79" s="9"/>
      <c r="I79" s="9"/>
      <c r="J79" s="9"/>
      <c r="K79" s="12"/>
      <c r="L79" s="46">
        <v>1E-3</v>
      </c>
      <c r="M79" s="9">
        <v>86.498711</v>
      </c>
      <c r="N79" s="76">
        <v>5879233.6674300004</v>
      </c>
      <c r="O79" s="9">
        <f t="shared" si="4"/>
        <v>0.79520457105159226</v>
      </c>
      <c r="P79" s="68">
        <v>76.061462000000006</v>
      </c>
      <c r="Q79" s="13">
        <v>1056830.0949671899</v>
      </c>
      <c r="R79" s="51">
        <f t="shared" si="5"/>
        <v>0.14294314019163004</v>
      </c>
      <c r="S79" s="20" t="s">
        <v>641</v>
      </c>
      <c r="T79" t="s">
        <v>649</v>
      </c>
    </row>
    <row r="80" spans="1:185" ht="30" customHeight="1" x14ac:dyDescent="0.25">
      <c r="A80" s="14">
        <v>16</v>
      </c>
      <c r="B80" s="15" t="s">
        <v>100</v>
      </c>
      <c r="C80" s="14" t="s">
        <v>317</v>
      </c>
      <c r="D80" s="33">
        <v>2</v>
      </c>
      <c r="E80" s="67">
        <v>1219.7</v>
      </c>
      <c r="F80" s="14"/>
      <c r="G80" s="14"/>
      <c r="H80" s="14"/>
      <c r="I80" s="14"/>
      <c r="J80" s="14"/>
      <c r="K80" s="17"/>
      <c r="L80" s="38">
        <v>1E-3</v>
      </c>
      <c r="M80" s="14">
        <v>30.296195999999998</v>
      </c>
      <c r="N80" s="75">
        <v>3958553.469391</v>
      </c>
      <c r="O80" s="14">
        <f t="shared" si="4"/>
        <v>8.1137850893477914E-2</v>
      </c>
      <c r="P80" s="67">
        <v>34.197310999999999</v>
      </c>
      <c r="Q80" s="18">
        <v>10652466.9563218</v>
      </c>
      <c r="R80" s="51">
        <f t="shared" si="5"/>
        <v>0.21834194794461342</v>
      </c>
      <c r="S80" s="20" t="s">
        <v>641</v>
      </c>
      <c r="T80" t="s">
        <v>649</v>
      </c>
    </row>
    <row r="81" spans="1:185" ht="30" customHeight="1" x14ac:dyDescent="0.25">
      <c r="A81" s="1">
        <v>26</v>
      </c>
      <c r="B81" s="2" t="s">
        <v>290</v>
      </c>
      <c r="C81" s="1" t="s">
        <v>544</v>
      </c>
      <c r="D81" s="30">
        <v>2</v>
      </c>
      <c r="E81" s="51">
        <v>243.05699999999999</v>
      </c>
      <c r="F81" s="1"/>
      <c r="G81" s="1"/>
      <c r="H81" s="1"/>
      <c r="I81" s="1"/>
      <c r="J81" s="1"/>
      <c r="K81" s="6"/>
      <c r="L81" s="34">
        <v>1E-3</v>
      </c>
      <c r="M81" s="1">
        <v>53.327323999999997</v>
      </c>
      <c r="N81" s="42">
        <v>25156882.087097004</v>
      </c>
      <c r="O81" s="1">
        <f t="shared" si="4"/>
        <v>2.5875496372349907</v>
      </c>
      <c r="P81" s="51">
        <v>50.379111999999999</v>
      </c>
      <c r="Q81" s="3">
        <v>1256116.40572626</v>
      </c>
      <c r="R81" s="51">
        <f t="shared" si="5"/>
        <v>0.12919977677317049</v>
      </c>
      <c r="S81" s="20" t="s">
        <v>641</v>
      </c>
      <c r="T81" t="s">
        <v>650</v>
      </c>
    </row>
    <row r="82" spans="1:185" ht="30" customHeight="1" x14ac:dyDescent="0.25">
      <c r="A82" s="1">
        <v>38</v>
      </c>
      <c r="B82" s="2" t="s">
        <v>301</v>
      </c>
      <c r="C82" s="1" t="s">
        <v>354</v>
      </c>
      <c r="D82" s="30">
        <v>2</v>
      </c>
      <c r="E82" s="51">
        <v>136.95699999999999</v>
      </c>
      <c r="F82" s="1"/>
      <c r="G82" s="1"/>
      <c r="H82" s="1"/>
      <c r="I82" s="1"/>
      <c r="J82" s="1"/>
      <c r="K82" s="6"/>
      <c r="L82" s="34">
        <f>10/18839</f>
        <v>5.308137374595254E-4</v>
      </c>
      <c r="M82" s="1">
        <v>20.045321000000001</v>
      </c>
      <c r="N82" s="42">
        <v>1245288.8335469994</v>
      </c>
      <c r="O82" s="1">
        <f t="shared" si="4"/>
        <v>0.22731383455153797</v>
      </c>
      <c r="P82" s="51">
        <v>19.236567000000001</v>
      </c>
      <c r="Q82" s="3">
        <v>169514.84467007601</v>
      </c>
      <c r="R82" s="51">
        <f t="shared" si="5"/>
        <v>3.0943077876646685E-2</v>
      </c>
      <c r="S82" s="20" t="s">
        <v>641</v>
      </c>
      <c r="T82" t="s">
        <v>650</v>
      </c>
    </row>
    <row r="83" spans="1:185" s="20" customFormat="1" ht="30" customHeight="1" x14ac:dyDescent="0.25">
      <c r="A83" s="9">
        <v>42</v>
      </c>
      <c r="B83" s="10" t="s">
        <v>305</v>
      </c>
      <c r="C83" s="9" t="s">
        <v>323</v>
      </c>
      <c r="D83" s="66">
        <v>2</v>
      </c>
      <c r="E83" s="68">
        <v>103.068</v>
      </c>
      <c r="F83" s="9"/>
      <c r="G83" s="9"/>
      <c r="H83" s="9"/>
      <c r="I83" s="9"/>
      <c r="J83" s="9"/>
      <c r="K83" s="12"/>
      <c r="L83" s="46">
        <f>10/11405</f>
        <v>8.7680841736080669E-4</v>
      </c>
      <c r="M83" s="9">
        <v>41.663403000000002</v>
      </c>
      <c r="N83" s="76">
        <v>299987.70767500001</v>
      </c>
      <c r="O83" s="9">
        <f t="shared" si="4"/>
        <v>7.2764511699800138E-2</v>
      </c>
      <c r="P83" s="68">
        <v>19.840949999999999</v>
      </c>
      <c r="Q83" s="13">
        <v>732065.78683098697</v>
      </c>
      <c r="R83" s="51">
        <f t="shared" si="5"/>
        <v>0.17756864080776455</v>
      </c>
      <c r="S83" s="20" t="s">
        <v>641</v>
      </c>
      <c r="T83" t="s">
        <v>650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</row>
    <row r="84" spans="1:185" s="19" customFormat="1" ht="30" customHeight="1" x14ac:dyDescent="0.25">
      <c r="A84" s="14">
        <v>43</v>
      </c>
      <c r="B84" s="15" t="s">
        <v>306</v>
      </c>
      <c r="C84" s="14" t="s">
        <v>552</v>
      </c>
      <c r="D84" s="33">
        <v>2</v>
      </c>
      <c r="E84" s="67">
        <v>79.748500000000007</v>
      </c>
      <c r="F84" s="14"/>
      <c r="G84" s="14"/>
      <c r="H84" s="14"/>
      <c r="I84" s="14"/>
      <c r="J84" s="14"/>
      <c r="K84" s="17"/>
      <c r="L84" s="38">
        <f>10/18839</f>
        <v>5.308137374595254E-4</v>
      </c>
      <c r="M84" s="14">
        <v>44.605449999999998</v>
      </c>
      <c r="N84" s="75">
        <v>256573.735483</v>
      </c>
      <c r="O84" s="14">
        <f t="shared" si="4"/>
        <v>8.0432150912869829E-2</v>
      </c>
      <c r="P84" s="67">
        <v>25.842535000000002</v>
      </c>
      <c r="Q84" s="18">
        <v>484585.95266527199</v>
      </c>
      <c r="R84" s="51">
        <f t="shared" si="5"/>
        <v>0.151910679406281</v>
      </c>
      <c r="S84" s="20" t="s">
        <v>641</v>
      </c>
      <c r="T84" t="s">
        <v>650</v>
      </c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</row>
    <row r="85" spans="1:185" s="19" customFormat="1" ht="30" customHeight="1" x14ac:dyDescent="0.25">
      <c r="A85" s="28">
        <v>59</v>
      </c>
      <c r="B85" s="2" t="s">
        <v>313</v>
      </c>
      <c r="C85" s="28" t="s">
        <v>557</v>
      </c>
      <c r="D85" s="50" t="s">
        <v>32</v>
      </c>
      <c r="E85" s="1">
        <v>1299.8399999999999</v>
      </c>
      <c r="F85" s="1"/>
      <c r="G85" s="1"/>
      <c r="H85" s="1"/>
      <c r="I85" s="1"/>
      <c r="J85" s="1"/>
      <c r="K85" s="6"/>
      <c r="L85" s="34">
        <v>1E-3</v>
      </c>
      <c r="M85" s="51">
        <v>30.796721000000002</v>
      </c>
      <c r="N85" s="42">
        <v>3848089.6122490019</v>
      </c>
      <c r="O85" s="51">
        <f t="shared" si="4"/>
        <v>7.4010832337999322E-2</v>
      </c>
      <c r="P85" s="1"/>
      <c r="Q85" s="3"/>
      <c r="R85" s="1"/>
      <c r="S85" s="64" t="s">
        <v>643</v>
      </c>
      <c r="T85" t="s">
        <v>650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</row>
    <row r="86" spans="1:185" s="19" customFormat="1" ht="30" customHeight="1" x14ac:dyDescent="0.25">
      <c r="A86" s="1">
        <v>61</v>
      </c>
      <c r="B86" s="2" t="s">
        <v>308</v>
      </c>
      <c r="C86" s="1" t="s">
        <v>556</v>
      </c>
      <c r="D86" s="50" t="s">
        <v>32</v>
      </c>
      <c r="E86" s="1">
        <v>903.96898999999996</v>
      </c>
      <c r="F86" s="1"/>
      <c r="G86" s="1"/>
      <c r="H86" s="1"/>
      <c r="I86" s="1"/>
      <c r="J86" s="1"/>
      <c r="K86" s="6"/>
      <c r="L86" s="34">
        <v>1E-3</v>
      </c>
      <c r="M86" s="51">
        <v>28.097313</v>
      </c>
      <c r="N86" s="42">
        <v>5462655.6412319969</v>
      </c>
      <c r="O86" s="51">
        <f t="shared" si="4"/>
        <v>0.15107419893994364</v>
      </c>
      <c r="P86" s="1"/>
      <c r="Q86" s="3"/>
      <c r="R86" s="1"/>
      <c r="S86" s="64" t="s">
        <v>643</v>
      </c>
      <c r="T86" t="s">
        <v>650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</row>
    <row r="87" spans="1:185" s="19" customFormat="1" ht="30" customHeight="1" x14ac:dyDescent="0.25">
      <c r="A87" s="1">
        <v>64</v>
      </c>
      <c r="B87" s="2" t="s">
        <v>310</v>
      </c>
      <c r="C87" s="1" t="s">
        <v>559</v>
      </c>
      <c r="D87" s="50" t="s">
        <v>32</v>
      </c>
      <c r="E87" s="1">
        <v>238.88</v>
      </c>
      <c r="F87" s="1"/>
      <c r="G87" s="1"/>
      <c r="H87" s="1"/>
      <c r="I87" s="1"/>
      <c r="J87" s="1"/>
      <c r="K87" s="6"/>
      <c r="L87" s="34">
        <v>1E-3</v>
      </c>
      <c r="M87" s="51">
        <v>51.197009999999999</v>
      </c>
      <c r="N87" s="42">
        <v>1402833.0592670003</v>
      </c>
      <c r="O87" s="51">
        <f t="shared" si="4"/>
        <v>0.146813573684172</v>
      </c>
      <c r="P87" s="1"/>
      <c r="Q87" s="3"/>
      <c r="R87" s="1"/>
      <c r="S87" s="64" t="s">
        <v>643</v>
      </c>
      <c r="T87" t="s">
        <v>650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</row>
    <row r="88" spans="1:185" s="19" customFormat="1" ht="30" customHeight="1" x14ac:dyDescent="0.25">
      <c r="A88" s="1">
        <v>48</v>
      </c>
      <c r="B88" s="2" t="s">
        <v>333</v>
      </c>
      <c r="C88" s="1" t="s">
        <v>564</v>
      </c>
      <c r="D88" s="30">
        <v>2</v>
      </c>
      <c r="E88" s="1">
        <v>225.22300999999999</v>
      </c>
      <c r="F88" s="1"/>
      <c r="G88" s="1"/>
      <c r="H88" s="1"/>
      <c r="I88" s="1"/>
      <c r="J88" s="1"/>
      <c r="K88" s="6"/>
      <c r="L88" s="34">
        <f>10/7829</f>
        <v>1.2773023374632775E-3</v>
      </c>
      <c r="M88" s="51">
        <v>15.647873000000001</v>
      </c>
      <c r="N88" s="42">
        <v>37921.241260000003</v>
      </c>
      <c r="O88" s="51">
        <f t="shared" si="4"/>
        <v>4.2092991808430234E-3</v>
      </c>
      <c r="P88" s="1"/>
      <c r="Q88" s="3"/>
      <c r="R88" s="1"/>
      <c r="S88" s="64" t="s">
        <v>644</v>
      </c>
      <c r="T88" t="s">
        <v>650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</row>
    <row r="89" spans="1:185" s="19" customFormat="1" ht="30" customHeight="1" x14ac:dyDescent="0.25">
      <c r="A89" s="1">
        <v>51</v>
      </c>
      <c r="B89" s="2" t="s">
        <v>520</v>
      </c>
      <c r="C89" s="1" t="s">
        <v>519</v>
      </c>
      <c r="D89" s="30">
        <v>2</v>
      </c>
      <c r="E89" s="1">
        <v>143.89798999999999</v>
      </c>
      <c r="F89" s="1"/>
      <c r="G89" s="1"/>
      <c r="H89" s="1"/>
      <c r="I89" s="1"/>
      <c r="J89" s="1"/>
      <c r="K89" s="6"/>
      <c r="L89" s="34">
        <f>10/7829</f>
        <v>1.2773023374632775E-3</v>
      </c>
      <c r="M89" s="51">
        <v>16.132612000000002</v>
      </c>
      <c r="N89" s="42">
        <v>26890.147851000002</v>
      </c>
      <c r="O89" s="51">
        <f t="shared" si="4"/>
        <v>4.6717379184726621E-3</v>
      </c>
      <c r="P89" s="1"/>
      <c r="Q89" s="3"/>
      <c r="R89" s="1"/>
      <c r="S89" s="64" t="s">
        <v>644</v>
      </c>
      <c r="T89" t="s">
        <v>650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</row>
    <row r="90" spans="1:185" s="19" customFormat="1" ht="30" customHeight="1" x14ac:dyDescent="0.25">
      <c r="A90" s="1">
        <v>52</v>
      </c>
      <c r="B90" s="2" t="s">
        <v>521</v>
      </c>
      <c r="C90" s="1" t="s">
        <v>245</v>
      </c>
      <c r="D90" s="30">
        <v>2</v>
      </c>
      <c r="E90" s="1">
        <v>118.345</v>
      </c>
      <c r="F90" s="1"/>
      <c r="G90" s="1"/>
      <c r="H90" s="1"/>
      <c r="I90" s="1"/>
      <c r="J90" s="1"/>
      <c r="K90" s="6"/>
      <c r="L90" s="34">
        <f>10/7829</f>
        <v>1.2773023374632775E-3</v>
      </c>
      <c r="M90" s="51">
        <v>15.677885</v>
      </c>
      <c r="N90" s="42">
        <v>37562.995101</v>
      </c>
      <c r="O90" s="51">
        <f t="shared" si="4"/>
        <v>7.9350617053952424E-3</v>
      </c>
      <c r="P90" s="1"/>
      <c r="Q90" s="3"/>
      <c r="R90" s="1"/>
      <c r="S90" s="64" t="s">
        <v>644</v>
      </c>
      <c r="T90" t="s">
        <v>650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</row>
    <row r="91" spans="1:185" s="19" customFormat="1" ht="30" customHeight="1" x14ac:dyDescent="0.25">
      <c r="A91" s="1">
        <v>55</v>
      </c>
      <c r="B91" s="2" t="s">
        <v>336</v>
      </c>
      <c r="C91" s="1" t="s">
        <v>323</v>
      </c>
      <c r="D91" s="30">
        <v>2</v>
      </c>
      <c r="E91" s="1">
        <v>117.298</v>
      </c>
      <c r="F91" s="1"/>
      <c r="G91" s="1"/>
      <c r="H91" s="1"/>
      <c r="I91" s="1"/>
      <c r="J91" s="1"/>
      <c r="K91" s="6"/>
      <c r="L91" s="34">
        <f>10/7829</f>
        <v>1.2773023374632775E-3</v>
      </c>
      <c r="M91" s="51">
        <v>21.570305000000001</v>
      </c>
      <c r="N91" s="42">
        <v>284618.00645599997</v>
      </c>
      <c r="O91" s="51">
        <f t="shared" si="4"/>
        <v>6.0661308474142778E-2</v>
      </c>
      <c r="P91" s="1"/>
      <c r="Q91" s="3"/>
      <c r="R91" s="1"/>
      <c r="S91" s="64" t="s">
        <v>644</v>
      </c>
      <c r="T91" t="s">
        <v>650</v>
      </c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</row>
    <row r="92" spans="1:185" s="19" customFormat="1" ht="30" customHeight="1" x14ac:dyDescent="0.25">
      <c r="A92" s="1">
        <v>34</v>
      </c>
      <c r="B92" s="2" t="s">
        <v>168</v>
      </c>
      <c r="C92" s="1" t="s">
        <v>573</v>
      </c>
      <c r="D92" s="4" t="s">
        <v>32</v>
      </c>
      <c r="E92" s="1">
        <v>17.794899999999998</v>
      </c>
      <c r="F92" s="1">
        <v>1.7649080000000001</v>
      </c>
      <c r="G92" s="43">
        <f>100*F92/E92</f>
        <v>9.9180551731113979</v>
      </c>
      <c r="H92" s="1"/>
      <c r="I92" s="1"/>
      <c r="J92" s="1"/>
      <c r="K92" s="1"/>
      <c r="L92" s="34">
        <f>20/219</f>
        <v>9.1324200913242004E-2</v>
      </c>
      <c r="M92" s="43">
        <v>268.87509</v>
      </c>
      <c r="N92" s="43">
        <v>55143.549793752798</v>
      </c>
      <c r="O92" s="34">
        <f>(25*N92)/(E92*1000000)</f>
        <v>7.7471002638049097E-2</v>
      </c>
      <c r="P92" s="43"/>
      <c r="Q92" s="3"/>
      <c r="R92" s="1"/>
      <c r="S92" t="s">
        <v>645</v>
      </c>
      <c r="T92" t="s">
        <v>647</v>
      </c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</row>
    <row r="93" spans="1:185" s="19" customFormat="1" ht="30" customHeight="1" x14ac:dyDescent="0.25">
      <c r="A93" s="1">
        <v>48</v>
      </c>
      <c r="B93" s="2" t="s">
        <v>189</v>
      </c>
      <c r="C93" s="1" t="s">
        <v>51</v>
      </c>
      <c r="D93" s="4" t="s">
        <v>32</v>
      </c>
      <c r="E93" s="1">
        <v>462.27300000000002</v>
      </c>
      <c r="F93" s="1">
        <v>140.39962</v>
      </c>
      <c r="G93" s="43">
        <f>100*F93/E93</f>
        <v>30.371581295035615</v>
      </c>
      <c r="H93" s="1"/>
      <c r="I93" s="1"/>
      <c r="J93" s="1"/>
      <c r="K93" s="1"/>
      <c r="L93" s="34">
        <f>100/10525</f>
        <v>9.5011876484560574E-3</v>
      </c>
      <c r="M93" s="43">
        <v>318.57107999999999</v>
      </c>
      <c r="N93" s="43">
        <v>937590.39987692004</v>
      </c>
      <c r="O93" s="34">
        <f>(25*N93)/(E93*1000000)</f>
        <v>5.0705448938014978E-2</v>
      </c>
      <c r="P93" s="43"/>
      <c r="Q93" s="3"/>
      <c r="R93" s="1"/>
      <c r="S93" t="s">
        <v>645</v>
      </c>
      <c r="T93" t="s">
        <v>647</v>
      </c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</row>
    <row r="94" spans="1:185" s="27" customFormat="1" ht="30" customHeight="1" x14ac:dyDescent="0.25">
      <c r="A94" s="1">
        <v>102</v>
      </c>
      <c r="B94" s="2" t="s">
        <v>227</v>
      </c>
      <c r="C94" s="1" t="s">
        <v>573</v>
      </c>
      <c r="D94" s="4" t="s">
        <v>32</v>
      </c>
      <c r="E94" s="1">
        <v>122.351</v>
      </c>
      <c r="F94" s="1">
        <v>89.980477000000008</v>
      </c>
      <c r="G94" s="43">
        <f>100*F94/E94</f>
        <v>73.54290279605398</v>
      </c>
      <c r="H94" s="1"/>
      <c r="I94" s="1"/>
      <c r="J94" s="1"/>
      <c r="K94" s="1"/>
      <c r="L94" s="34">
        <f>20/1088</f>
        <v>1.8382352941176471E-2</v>
      </c>
      <c r="M94" s="43">
        <v>394.21920999999998</v>
      </c>
      <c r="N94" s="43">
        <v>614803.97794708295</v>
      </c>
      <c r="O94" s="34">
        <f>(25*N94)/(E94*1000000)</f>
        <v>0.12562299816656239</v>
      </c>
      <c r="P94" s="43"/>
      <c r="Q94" s="3"/>
      <c r="R94" s="1"/>
      <c r="S94" t="s">
        <v>645</v>
      </c>
      <c r="T94" t="s">
        <v>648</v>
      </c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</row>
    <row r="95" spans="1:185" s="19" customFormat="1" ht="30" customHeight="1" x14ac:dyDescent="0.25">
      <c r="A95" s="29">
        <v>191</v>
      </c>
      <c r="B95" s="2" t="s">
        <v>429</v>
      </c>
      <c r="C95" s="29" t="s">
        <v>358</v>
      </c>
      <c r="D95" s="30">
        <v>2</v>
      </c>
      <c r="E95" s="1">
        <v>143.69037396250098</v>
      </c>
      <c r="F95" s="1"/>
      <c r="G95" s="55"/>
      <c r="H95" s="1"/>
      <c r="I95" s="1"/>
      <c r="J95" s="1"/>
      <c r="K95" s="1"/>
      <c r="L95" s="34">
        <f>10/1082</f>
        <v>9.242144177449169E-3</v>
      </c>
      <c r="M95" s="29"/>
      <c r="N95" s="1"/>
      <c r="O95" s="1"/>
      <c r="P95" s="43">
        <v>46.780946999999998</v>
      </c>
      <c r="Q95" s="3">
        <v>713676.12955403305</v>
      </c>
      <c r="R95" s="34">
        <f t="shared" ref="R95:R100" si="6">(25*Q95)/(E95*1000000)</f>
        <v>0.1241690918245299</v>
      </c>
      <c r="S95" t="s">
        <v>646</v>
      </c>
      <c r="T95" t="s">
        <v>648</v>
      </c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</row>
    <row r="96" spans="1:185" s="19" customFormat="1" ht="30" customHeight="1" x14ac:dyDescent="0.25">
      <c r="A96" s="29">
        <v>198</v>
      </c>
      <c r="B96" s="2" t="s">
        <v>434</v>
      </c>
      <c r="C96" s="29" t="s">
        <v>362</v>
      </c>
      <c r="D96" s="30">
        <v>2</v>
      </c>
      <c r="E96" s="1">
        <v>683.63122029070598</v>
      </c>
      <c r="F96" s="1"/>
      <c r="G96" s="55"/>
      <c r="H96" s="1"/>
      <c r="I96" s="1"/>
      <c r="J96" s="1"/>
      <c r="K96" s="1"/>
      <c r="L96" s="34">
        <f>5/1018</f>
        <v>4.911591355599214E-3</v>
      </c>
      <c r="M96" s="29"/>
      <c r="N96" s="1"/>
      <c r="O96" s="1"/>
      <c r="P96" s="43">
        <v>43.494584000000003</v>
      </c>
      <c r="Q96" s="3">
        <v>2852402.3418180598</v>
      </c>
      <c r="R96" s="34">
        <f t="shared" si="6"/>
        <v>0.10431071084659904</v>
      </c>
      <c r="S96" t="s">
        <v>646</v>
      </c>
      <c r="T96" t="s">
        <v>648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</row>
    <row r="97" spans="1:185" s="19" customFormat="1" ht="30" customHeight="1" x14ac:dyDescent="0.25">
      <c r="A97" s="29">
        <v>242</v>
      </c>
      <c r="B97" s="2" t="s">
        <v>447</v>
      </c>
      <c r="C97" s="29" t="s">
        <v>369</v>
      </c>
      <c r="D97" s="30">
        <v>2</v>
      </c>
      <c r="E97" s="1">
        <v>1184.7757799890899</v>
      </c>
      <c r="F97" s="1"/>
      <c r="G97" s="55"/>
      <c r="H97" s="1"/>
      <c r="I97" s="1"/>
      <c r="J97" s="1"/>
      <c r="K97" s="1"/>
      <c r="L97" s="34">
        <f>20/2400</f>
        <v>8.3333333333333332E-3</v>
      </c>
      <c r="M97" s="29"/>
      <c r="N97" s="1"/>
      <c r="O97" s="1"/>
      <c r="P97" s="43">
        <v>112.369337</v>
      </c>
      <c r="Q97" s="3">
        <v>5907601.4614780499</v>
      </c>
      <c r="R97" s="34">
        <f t="shared" si="6"/>
        <v>0.12465652913525228</v>
      </c>
      <c r="S97" t="s">
        <v>646</v>
      </c>
      <c r="T97" t="s">
        <v>648</v>
      </c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</row>
    <row r="98" spans="1:185" s="19" customFormat="1" ht="30" customHeight="1" x14ac:dyDescent="0.25">
      <c r="A98" s="29">
        <v>283</v>
      </c>
      <c r="B98" s="2" t="s">
        <v>462</v>
      </c>
      <c r="C98" s="29" t="s">
        <v>376</v>
      </c>
      <c r="D98" s="30">
        <v>2</v>
      </c>
      <c r="E98" s="1">
        <v>151.49850910778298</v>
      </c>
      <c r="F98" s="1"/>
      <c r="G98" s="55"/>
      <c r="H98" s="1"/>
      <c r="I98" s="1"/>
      <c r="J98" s="1"/>
      <c r="K98" s="1"/>
      <c r="L98" s="34">
        <f>10/10175</f>
        <v>9.8280098280098278E-4</v>
      </c>
      <c r="M98" s="29"/>
      <c r="N98" s="1"/>
      <c r="O98" s="1"/>
      <c r="P98" s="43">
        <v>71.372395999999995</v>
      </c>
      <c r="Q98" s="3">
        <v>892334.32286906196</v>
      </c>
      <c r="R98" s="34">
        <f t="shared" si="6"/>
        <v>0.14725133734389004</v>
      </c>
      <c r="S98" t="s">
        <v>646</v>
      </c>
      <c r="T98" t="s">
        <v>648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</row>
    <row r="99" spans="1:185" s="19" customFormat="1" ht="30" customHeight="1" x14ac:dyDescent="0.25">
      <c r="A99" s="29">
        <v>315</v>
      </c>
      <c r="B99" s="2" t="s">
        <v>466</v>
      </c>
      <c r="C99" s="29" t="s">
        <v>378</v>
      </c>
      <c r="D99" s="30">
        <v>2</v>
      </c>
      <c r="E99" s="1">
        <v>376.98478313126395</v>
      </c>
      <c r="F99" s="1"/>
      <c r="G99" s="55"/>
      <c r="H99" s="1"/>
      <c r="I99" s="1"/>
      <c r="J99" s="1"/>
      <c r="K99" s="1"/>
      <c r="L99" s="34">
        <f>10/1184</f>
        <v>8.4459459459459464E-3</v>
      </c>
      <c r="M99" s="29"/>
      <c r="N99" s="1"/>
      <c r="O99" s="1"/>
      <c r="P99" s="43">
        <v>59.511381999999998</v>
      </c>
      <c r="Q99" s="3">
        <v>2618214.49837028</v>
      </c>
      <c r="R99" s="34">
        <f t="shared" si="6"/>
        <v>0.17362865926730472</v>
      </c>
      <c r="S99" t="s">
        <v>646</v>
      </c>
      <c r="T99" t="s">
        <v>647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</row>
    <row r="100" spans="1:185" s="19" customFormat="1" ht="30" customHeight="1" x14ac:dyDescent="0.25">
      <c r="A100" s="29">
        <v>350</v>
      </c>
      <c r="B100" s="2" t="s">
        <v>476</v>
      </c>
      <c r="C100" s="29" t="s">
        <v>387</v>
      </c>
      <c r="D100" s="30">
        <v>2</v>
      </c>
      <c r="E100" s="1">
        <v>2108.26840879973</v>
      </c>
      <c r="F100" s="1"/>
      <c r="G100" s="55"/>
      <c r="H100" s="1"/>
      <c r="I100" s="1"/>
      <c r="J100" s="1"/>
      <c r="K100" s="1"/>
      <c r="L100" s="34">
        <f>20/2079</f>
        <v>9.6200096200096206E-3</v>
      </c>
      <c r="M100" s="29"/>
      <c r="N100" s="1"/>
      <c r="O100" s="1"/>
      <c r="P100" s="43">
        <v>157.41220100000001</v>
      </c>
      <c r="Q100" s="3">
        <v>12972349.982317301</v>
      </c>
      <c r="R100" s="34">
        <f t="shared" si="6"/>
        <v>0.15382706879460689</v>
      </c>
      <c r="S100" t="s">
        <v>646</v>
      </c>
      <c r="T100" t="s">
        <v>647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</row>
    <row r="101" spans="1:185" s="19" customFormat="1" ht="30" customHeight="1" x14ac:dyDescent="0.25">
      <c r="A101" s="1">
        <v>182</v>
      </c>
      <c r="B101" s="2" t="s">
        <v>56</v>
      </c>
      <c r="C101" s="1" t="s">
        <v>576</v>
      </c>
      <c r="D101" s="4" t="s">
        <v>264</v>
      </c>
      <c r="E101" s="43">
        <v>62.523997999999999</v>
      </c>
      <c r="F101" s="58">
        <v>20.504981000000001</v>
      </c>
      <c r="G101" s="55">
        <f>100*F101/E101</f>
        <v>32.795377224597829</v>
      </c>
      <c r="H101" s="1">
        <v>0.52</v>
      </c>
      <c r="I101" s="1"/>
      <c r="J101" s="1"/>
      <c r="K101" s="6"/>
      <c r="L101" s="34">
        <f>5/161</f>
        <v>3.1055900621118012E-2</v>
      </c>
      <c r="M101" s="43">
        <v>270.94513000000001</v>
      </c>
      <c r="N101" s="55">
        <v>6737099.3822529996</v>
      </c>
      <c r="O101" s="6">
        <f>(25*N101)/(1000000*E101)</f>
        <v>2.6938054178225292</v>
      </c>
      <c r="P101" s="60">
        <v>264.96481</v>
      </c>
      <c r="Q101" s="3">
        <v>709544.29626691795</v>
      </c>
      <c r="R101" s="56">
        <f>(25*Q101)/(1000000*E101)</f>
        <v>0.28370878341261779</v>
      </c>
      <c r="S101" s="64" t="s">
        <v>637</v>
      </c>
      <c r="T101" t="s">
        <v>647</v>
      </c>
      <c r="V101" s="52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</row>
    <row r="102" spans="1:185" s="19" customFormat="1" ht="30" customHeight="1" x14ac:dyDescent="0.25">
      <c r="A102" s="1">
        <v>183</v>
      </c>
      <c r="B102" s="2" t="s">
        <v>60</v>
      </c>
      <c r="C102" s="1" t="s">
        <v>58</v>
      </c>
      <c r="D102" s="4" t="s">
        <v>264</v>
      </c>
      <c r="E102" s="43">
        <v>64.000397000000007</v>
      </c>
      <c r="F102" s="58">
        <v>15.666321</v>
      </c>
      <c r="G102" s="55">
        <f>100*F102/E102</f>
        <v>24.478474719461502</v>
      </c>
      <c r="H102" s="1">
        <v>0.48</v>
      </c>
      <c r="I102" s="1"/>
      <c r="J102" s="1"/>
      <c r="K102" s="6"/>
      <c r="L102" s="34">
        <f>10/185</f>
        <v>5.4054054054054057E-2</v>
      </c>
      <c r="M102" s="43">
        <v>314.63756999999998</v>
      </c>
      <c r="N102" s="55">
        <v>6562677.6895930003</v>
      </c>
      <c r="O102" s="6">
        <f>(25*N102)/(1000000*E102)</f>
        <v>2.5635300705997963</v>
      </c>
      <c r="P102" s="60">
        <v>300.87180000000001</v>
      </c>
      <c r="Q102" s="3">
        <v>926001.56180840102</v>
      </c>
      <c r="R102" s="56">
        <f>(25*Q102)/(1000000*E102)</f>
        <v>0.36171711630491954</v>
      </c>
      <c r="S102" s="64" t="s">
        <v>637</v>
      </c>
      <c r="T102" t="s">
        <v>647</v>
      </c>
      <c r="V102" s="5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</row>
    <row r="103" spans="1:185" s="19" customFormat="1" ht="30" customHeight="1" x14ac:dyDescent="0.25">
      <c r="A103" s="1">
        <v>246</v>
      </c>
      <c r="B103" s="8" t="s">
        <v>139</v>
      </c>
      <c r="C103" s="1" t="s">
        <v>573</v>
      </c>
      <c r="D103" s="4" t="s">
        <v>264</v>
      </c>
      <c r="E103" s="43">
        <v>358.90302000000003</v>
      </c>
      <c r="F103" s="58">
        <v>343.93651099999994</v>
      </c>
      <c r="G103" s="55">
        <f>100*F103/E103</f>
        <v>95.829929489030192</v>
      </c>
      <c r="H103" s="1">
        <v>0.34</v>
      </c>
      <c r="I103" s="1"/>
      <c r="J103" s="1"/>
      <c r="K103" s="6"/>
      <c r="L103" s="34">
        <f>50/270</f>
        <v>0.18518518518518517</v>
      </c>
      <c r="M103" s="43">
        <v>497.33710000000002</v>
      </c>
      <c r="N103" s="55">
        <v>21571743.628125999</v>
      </c>
      <c r="O103" s="6">
        <f>(25*N103)/(1000000*E103)</f>
        <v>1.5026164747879525</v>
      </c>
      <c r="P103" s="60">
        <v>478.37594999999999</v>
      </c>
      <c r="Q103" s="3">
        <v>5291931.8410182204</v>
      </c>
      <c r="R103" s="56">
        <f>(25*Q103)/(1000000*E103)</f>
        <v>0.36861850877001678</v>
      </c>
      <c r="S103" s="64" t="s">
        <v>640</v>
      </c>
      <c r="T103" s="61" t="s">
        <v>647</v>
      </c>
      <c r="V103" s="52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</row>
    <row r="104" spans="1:185" s="19" customFormat="1" ht="30" customHeight="1" x14ac:dyDescent="0.25">
      <c r="A104" s="1">
        <v>13</v>
      </c>
      <c r="B104" s="2" t="s">
        <v>148</v>
      </c>
      <c r="C104" s="1" t="s">
        <v>628</v>
      </c>
      <c r="D104" s="4" t="s">
        <v>264</v>
      </c>
      <c r="E104" s="1">
        <v>144.10300000000001</v>
      </c>
      <c r="F104" s="70">
        <v>31.592829000000002</v>
      </c>
      <c r="G104" s="43">
        <f>100*F104/E104</f>
        <v>21.923782988556795</v>
      </c>
      <c r="H104" s="1">
        <v>4.72</v>
      </c>
      <c r="I104" s="1"/>
      <c r="J104" s="1"/>
      <c r="K104" s="1"/>
      <c r="L104" s="34">
        <f>20/176</f>
        <v>0.11363636363636363</v>
      </c>
      <c r="M104" s="43">
        <v>144.30153000000001</v>
      </c>
      <c r="N104" s="43">
        <v>13044.993806472199</v>
      </c>
      <c r="O104" s="34">
        <f t="shared" ref="O104:O115" si="7">(25*N104)/(E104*1000000)</f>
        <v>2.2631370975052913E-3</v>
      </c>
      <c r="P104" s="43"/>
      <c r="Q104" s="3"/>
      <c r="R104" s="1"/>
      <c r="S104" t="s">
        <v>645</v>
      </c>
      <c r="T104" t="s">
        <v>647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</row>
    <row r="105" spans="1:185" s="27" customFormat="1" ht="30" customHeight="1" x14ac:dyDescent="0.25">
      <c r="A105" s="1">
        <v>19</v>
      </c>
      <c r="B105" s="2" t="s">
        <v>151</v>
      </c>
      <c r="C105" s="1" t="s">
        <v>149</v>
      </c>
      <c r="D105" s="4" t="s">
        <v>264</v>
      </c>
      <c r="E105" s="1">
        <v>213.57900000000001</v>
      </c>
      <c r="F105" s="70">
        <v>8.8111250000000005</v>
      </c>
      <c r="G105" s="43">
        <f>100*F105/E105</f>
        <v>4.125464113981244</v>
      </c>
      <c r="H105" s="1">
        <v>3.16</v>
      </c>
      <c r="I105" s="1"/>
      <c r="J105" s="1"/>
      <c r="K105" s="1"/>
      <c r="L105" s="34">
        <f>10/93</f>
        <v>0.10752688172043011</v>
      </c>
      <c r="M105" s="43">
        <v>424.62540000000001</v>
      </c>
      <c r="N105" s="43">
        <v>1987283.7872156899</v>
      </c>
      <c r="O105" s="34">
        <f t="shared" si="7"/>
        <v>0.23261694586261875</v>
      </c>
      <c r="P105" s="43"/>
      <c r="Q105" s="3"/>
      <c r="R105" s="1"/>
      <c r="S105" t="s">
        <v>645</v>
      </c>
      <c r="T105" t="s">
        <v>647</v>
      </c>
      <c r="U105" s="19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</row>
    <row r="106" spans="1:185" s="19" customFormat="1" ht="30" customHeight="1" x14ac:dyDescent="0.25">
      <c r="A106" s="1">
        <v>23</v>
      </c>
      <c r="B106" s="2" t="s">
        <v>155</v>
      </c>
      <c r="C106" s="1" t="s">
        <v>573</v>
      </c>
      <c r="D106" s="4" t="s">
        <v>264</v>
      </c>
      <c r="E106" s="1">
        <v>38.3962</v>
      </c>
      <c r="F106" s="1"/>
      <c r="G106" s="55"/>
      <c r="H106" s="1">
        <v>4.0000000000000001E-3</v>
      </c>
      <c r="I106" s="1"/>
      <c r="J106" s="1"/>
      <c r="K106" s="1"/>
      <c r="L106" s="34">
        <f>14/682</f>
        <v>2.0527859237536656E-2</v>
      </c>
      <c r="M106" s="43">
        <v>163.23137</v>
      </c>
      <c r="N106" s="43">
        <v>111110.844333434</v>
      </c>
      <c r="O106" s="34">
        <f t="shared" si="7"/>
        <v>7.2344948415099669E-2</v>
      </c>
      <c r="P106" s="43"/>
      <c r="Q106" s="3"/>
      <c r="R106" s="1"/>
      <c r="S106" t="s">
        <v>645</v>
      </c>
      <c r="T106" t="s">
        <v>647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</row>
    <row r="107" spans="1:185" s="19" customFormat="1" ht="30" customHeight="1" x14ac:dyDescent="0.25">
      <c r="A107" s="1">
        <v>31</v>
      </c>
      <c r="B107" s="2" t="s">
        <v>165</v>
      </c>
      <c r="C107" s="1" t="s">
        <v>573</v>
      </c>
      <c r="D107" s="4" t="s">
        <v>264</v>
      </c>
      <c r="E107" s="1">
        <v>113.848</v>
      </c>
      <c r="F107" s="1">
        <v>43.775646000000002</v>
      </c>
      <c r="G107" s="43">
        <f>100*F107/E107</f>
        <v>38.45095741690676</v>
      </c>
      <c r="H107" s="1">
        <v>3.49</v>
      </c>
      <c r="I107" s="1"/>
      <c r="J107" s="1"/>
      <c r="K107" s="1"/>
      <c r="L107" s="34">
        <f>31/442</f>
        <v>7.0135746606334842E-2</v>
      </c>
      <c r="M107" s="43">
        <v>484.51812999999999</v>
      </c>
      <c r="N107" s="43">
        <v>526952.99091941095</v>
      </c>
      <c r="O107" s="34">
        <f t="shared" si="7"/>
        <v>0.11571415196564959</v>
      </c>
      <c r="P107" s="43"/>
      <c r="Q107" s="3"/>
      <c r="R107" s="1"/>
      <c r="S107" t="s">
        <v>645</v>
      </c>
      <c r="T107" t="s">
        <v>647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</row>
    <row r="108" spans="1:185" s="19" customFormat="1" ht="30" customHeight="1" x14ac:dyDescent="0.25">
      <c r="A108" s="1">
        <v>38</v>
      </c>
      <c r="B108" s="2" t="s">
        <v>172</v>
      </c>
      <c r="C108" s="1" t="s">
        <v>573</v>
      </c>
      <c r="D108" s="4" t="s">
        <v>264</v>
      </c>
      <c r="E108" s="1">
        <v>155.09899999999999</v>
      </c>
      <c r="F108" s="1"/>
      <c r="G108" s="55"/>
      <c r="H108" s="1">
        <v>0.8</v>
      </c>
      <c r="I108" s="1"/>
      <c r="J108" s="1"/>
      <c r="K108" s="1"/>
      <c r="L108" s="34">
        <f>20/414</f>
        <v>4.8309178743961352E-2</v>
      </c>
      <c r="M108" s="43">
        <v>65.214805999999996</v>
      </c>
      <c r="N108" s="43">
        <v>21745.061777556199</v>
      </c>
      <c r="O108" s="34">
        <f t="shared" si="7"/>
        <v>3.5050293324838003E-3</v>
      </c>
      <c r="P108" s="43"/>
      <c r="Q108" s="3"/>
      <c r="R108" s="1"/>
      <c r="S108" t="s">
        <v>645</v>
      </c>
      <c r="T108" t="s">
        <v>647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</row>
    <row r="109" spans="1:185" s="19" customFormat="1" ht="30" customHeight="1" x14ac:dyDescent="0.25">
      <c r="A109" s="1">
        <v>101</v>
      </c>
      <c r="B109" s="2" t="s">
        <v>226</v>
      </c>
      <c r="C109" s="1" t="s">
        <v>134</v>
      </c>
      <c r="D109" s="4" t="s">
        <v>264</v>
      </c>
      <c r="E109" s="1">
        <v>457.52499999999998</v>
      </c>
      <c r="F109" s="1">
        <v>296.83514000000002</v>
      </c>
      <c r="G109" s="43">
        <f t="shared" ref="G109:G116" si="8">100*F109/E109</f>
        <v>64.87845254357687</v>
      </c>
      <c r="H109" s="1">
        <v>0.3</v>
      </c>
      <c r="I109" s="1"/>
      <c r="J109" s="1"/>
      <c r="K109" s="1"/>
      <c r="L109" s="34">
        <f>20/1594</f>
        <v>1.2547051442910916E-2</v>
      </c>
      <c r="M109" s="43">
        <v>415.99957000000001</v>
      </c>
      <c r="N109" s="43">
        <v>916729.737349389</v>
      </c>
      <c r="O109" s="34">
        <f t="shared" si="7"/>
        <v>5.0091783910681878E-2</v>
      </c>
      <c r="P109" s="43"/>
      <c r="Q109" s="3"/>
      <c r="R109" s="1"/>
      <c r="S109" t="s">
        <v>645</v>
      </c>
      <c r="T109" t="s">
        <v>648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</row>
    <row r="110" spans="1:185" s="19" customFormat="1" ht="30" customHeight="1" x14ac:dyDescent="0.25">
      <c r="A110" s="1">
        <v>112</v>
      </c>
      <c r="B110" s="2" t="s">
        <v>237</v>
      </c>
      <c r="C110" s="1" t="s">
        <v>233</v>
      </c>
      <c r="D110" s="4" t="s">
        <v>264</v>
      </c>
      <c r="E110" s="1">
        <v>840.42</v>
      </c>
      <c r="F110" s="1">
        <v>363.91934999999995</v>
      </c>
      <c r="G110" s="43">
        <f t="shared" si="8"/>
        <v>43.302081102305991</v>
      </c>
      <c r="H110" s="1">
        <v>0.8</v>
      </c>
      <c r="I110" s="1"/>
      <c r="J110" s="1"/>
      <c r="K110" s="1"/>
      <c r="L110" s="34">
        <f>10/900</f>
        <v>1.1111111111111112E-2</v>
      </c>
      <c r="M110" s="43">
        <v>436.78552000000002</v>
      </c>
      <c r="N110" s="43">
        <v>6859848.1583967702</v>
      </c>
      <c r="O110" s="34">
        <f t="shared" si="7"/>
        <v>0.20406011751257613</v>
      </c>
      <c r="P110" s="43"/>
      <c r="Q110" s="3"/>
      <c r="R110" s="1"/>
      <c r="S110" t="s">
        <v>645</v>
      </c>
      <c r="T110" t="s">
        <v>648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</row>
    <row r="111" spans="1:185" ht="30" customHeight="1" x14ac:dyDescent="0.25">
      <c r="A111" s="1">
        <v>113</v>
      </c>
      <c r="B111" s="2" t="s">
        <v>238</v>
      </c>
      <c r="C111" s="1" t="s">
        <v>234</v>
      </c>
      <c r="D111" s="4" t="s">
        <v>264</v>
      </c>
      <c r="E111" s="1">
        <v>413.762</v>
      </c>
      <c r="F111" s="1">
        <v>74.354482000000004</v>
      </c>
      <c r="G111" s="43">
        <f t="shared" si="8"/>
        <v>17.970350588019201</v>
      </c>
      <c r="H111" s="1">
        <v>26.1</v>
      </c>
      <c r="I111" s="1"/>
      <c r="J111" s="1"/>
      <c r="K111" s="1"/>
      <c r="L111" s="34">
        <f>10/3218</f>
        <v>3.1075201988812928E-3</v>
      </c>
      <c r="M111" s="43">
        <v>583.23401000000001</v>
      </c>
      <c r="N111" s="43">
        <v>97927.037202711304</v>
      </c>
      <c r="O111" s="34">
        <f t="shared" si="7"/>
        <v>5.9168699157191402E-3</v>
      </c>
      <c r="P111" s="43"/>
      <c r="Q111" s="3"/>
      <c r="S111" t="s">
        <v>645</v>
      </c>
      <c r="T111" t="s">
        <v>648</v>
      </c>
    </row>
    <row r="112" spans="1:185" ht="30" x14ac:dyDescent="0.25">
      <c r="A112" s="28">
        <v>125</v>
      </c>
      <c r="B112" s="2" t="s">
        <v>251</v>
      </c>
      <c r="C112" s="28" t="s">
        <v>244</v>
      </c>
      <c r="D112" s="44" t="s">
        <v>264</v>
      </c>
      <c r="E112" s="1">
        <v>602.88699999999994</v>
      </c>
      <c r="F112" s="1">
        <v>69.143326999999999</v>
      </c>
      <c r="G112" s="43">
        <f t="shared" si="8"/>
        <v>11.468704251377124</v>
      </c>
      <c r="H112" s="28">
        <v>26.9</v>
      </c>
      <c r="I112" s="28"/>
      <c r="J112" s="28"/>
      <c r="K112" s="72"/>
      <c r="L112" s="35">
        <f>10/1084</f>
        <v>9.2250922509225092E-3</v>
      </c>
      <c r="M112" s="43">
        <v>386.18018000000001</v>
      </c>
      <c r="N112" s="43">
        <v>4846833.1898798198</v>
      </c>
      <c r="O112" s="34">
        <f t="shared" si="7"/>
        <v>0.20098431339039571</v>
      </c>
      <c r="P112" s="43"/>
      <c r="Q112" s="77"/>
      <c r="R112" s="28"/>
      <c r="S112" t="s">
        <v>645</v>
      </c>
      <c r="T112" t="s">
        <v>648</v>
      </c>
    </row>
    <row r="113" spans="1:22" ht="30" x14ac:dyDescent="0.25">
      <c r="A113" s="1">
        <v>132</v>
      </c>
      <c r="B113" s="39" t="s">
        <v>259</v>
      </c>
      <c r="C113" s="1" t="s">
        <v>573</v>
      </c>
      <c r="D113" s="4" t="s">
        <v>264</v>
      </c>
      <c r="E113" s="1">
        <v>250.16800000000001</v>
      </c>
      <c r="F113" s="1">
        <v>11.252046</v>
      </c>
      <c r="G113" s="6">
        <f t="shared" si="8"/>
        <v>4.4977958811678551</v>
      </c>
      <c r="H113" s="1">
        <v>7.63</v>
      </c>
      <c r="I113" s="1"/>
      <c r="J113" s="1"/>
      <c r="K113"/>
      <c r="L113" s="34">
        <f>15/362</f>
        <v>4.1436464088397788E-2</v>
      </c>
      <c r="M113" s="43">
        <v>353.07672000000002</v>
      </c>
      <c r="N113" s="43">
        <v>1632647.80225697</v>
      </c>
      <c r="O113" s="34">
        <f t="shared" si="7"/>
        <v>0.16315513997163608</v>
      </c>
      <c r="P113" s="43"/>
      <c r="Q113" s="3"/>
      <c r="S113" t="s">
        <v>645</v>
      </c>
      <c r="T113" t="s">
        <v>647</v>
      </c>
    </row>
    <row r="114" spans="1:22" ht="30" x14ac:dyDescent="0.25">
      <c r="A114" s="1">
        <v>274</v>
      </c>
      <c r="B114" s="2" t="s">
        <v>182</v>
      </c>
      <c r="C114" s="1" t="s">
        <v>573</v>
      </c>
      <c r="D114" s="4" t="s">
        <v>264</v>
      </c>
      <c r="E114" s="1">
        <v>598.29200000000003</v>
      </c>
      <c r="F114" s="1">
        <v>346.57977200000005</v>
      </c>
      <c r="G114" s="6">
        <f t="shared" si="8"/>
        <v>57.928197602508483</v>
      </c>
      <c r="H114" s="1">
        <v>2.16</v>
      </c>
      <c r="I114" s="1"/>
      <c r="J114" s="1"/>
      <c r="K114"/>
      <c r="L114" s="34">
        <f>20/3488</f>
        <v>5.7339449541284407E-3</v>
      </c>
      <c r="M114" s="43">
        <v>512.42034999999998</v>
      </c>
      <c r="N114" s="43">
        <v>1517215.78943466</v>
      </c>
      <c r="O114" s="34">
        <f t="shared" si="7"/>
        <v>6.339779695510972E-2</v>
      </c>
      <c r="P114" s="43"/>
      <c r="Q114" s="3"/>
      <c r="S114" t="s">
        <v>645</v>
      </c>
      <c r="T114" t="s">
        <v>647</v>
      </c>
    </row>
    <row r="115" spans="1:22" ht="30" x14ac:dyDescent="0.25">
      <c r="A115" s="1">
        <v>275</v>
      </c>
      <c r="B115" s="2" t="s">
        <v>183</v>
      </c>
      <c r="C115" s="1" t="s">
        <v>573</v>
      </c>
      <c r="D115" s="4" t="s">
        <v>264</v>
      </c>
      <c r="E115" s="1">
        <v>313.29599999999999</v>
      </c>
      <c r="F115" s="1">
        <v>234.98957199999998</v>
      </c>
      <c r="G115" s="6">
        <f t="shared" si="8"/>
        <v>75.00560875338337</v>
      </c>
      <c r="H115" s="1">
        <v>6.94</v>
      </c>
      <c r="I115" s="1"/>
      <c r="J115" s="1"/>
      <c r="K115"/>
      <c r="L115" s="34">
        <f>20/366</f>
        <v>5.4644808743169397E-2</v>
      </c>
      <c r="M115" s="43">
        <v>547.03778</v>
      </c>
      <c r="N115" s="43">
        <v>559676.98217682703</v>
      </c>
      <c r="O115" s="34">
        <f t="shared" si="7"/>
        <v>4.4660399604274155E-2</v>
      </c>
      <c r="P115" s="43"/>
      <c r="Q115" s="3"/>
      <c r="S115" t="s">
        <v>645</v>
      </c>
      <c r="T115" t="s">
        <v>647</v>
      </c>
    </row>
    <row r="116" spans="1:22" ht="30" x14ac:dyDescent="0.25">
      <c r="A116" s="29">
        <v>19</v>
      </c>
      <c r="B116" s="2" t="s">
        <v>407</v>
      </c>
      <c r="C116" s="1" t="s">
        <v>573</v>
      </c>
      <c r="D116" s="30" t="s">
        <v>264</v>
      </c>
      <c r="E116" s="1">
        <v>122.216748518166</v>
      </c>
      <c r="F116" s="1">
        <v>5.1114879528230004</v>
      </c>
      <c r="G116" s="6">
        <f t="shared" si="8"/>
        <v>4.1823138111575942</v>
      </c>
      <c r="H116" s="1">
        <v>3.53</v>
      </c>
      <c r="I116" s="1"/>
      <c r="J116" s="1"/>
      <c r="K116"/>
      <c r="L116" s="34">
        <f>5/148</f>
        <v>3.3783783783783786E-2</v>
      </c>
      <c r="M116" s="29"/>
      <c r="N116" s="1"/>
      <c r="O116" s="1"/>
      <c r="P116" s="43">
        <v>375.26763099999999</v>
      </c>
      <c r="Q116" s="3">
        <v>1500270.6891604599</v>
      </c>
      <c r="R116" s="34">
        <f t="shared" ref="R116:R125" si="9">(25*Q116)/(E116*1000000)</f>
        <v>0.30688729395739556</v>
      </c>
      <c r="S116" t="s">
        <v>646</v>
      </c>
      <c r="T116" t="s">
        <v>647</v>
      </c>
    </row>
    <row r="117" spans="1:22" ht="30" x14ac:dyDescent="0.25">
      <c r="A117" s="29">
        <v>134</v>
      </c>
      <c r="B117" s="2" t="s">
        <v>416</v>
      </c>
      <c r="C117" s="29" t="s">
        <v>349</v>
      </c>
      <c r="D117" s="30" t="s">
        <v>264</v>
      </c>
      <c r="E117" s="1">
        <v>1019.98283455311</v>
      </c>
      <c r="F117" s="1"/>
      <c r="G117" s="55"/>
      <c r="H117" s="1">
        <v>2.12</v>
      </c>
      <c r="I117" s="1"/>
      <c r="J117" s="1"/>
      <c r="K117"/>
      <c r="L117" s="34">
        <f>10/588</f>
        <v>1.7006802721088437E-2</v>
      </c>
      <c r="M117" s="29"/>
      <c r="N117" s="1"/>
      <c r="O117" s="1"/>
      <c r="P117" s="43">
        <v>305.44226200000003</v>
      </c>
      <c r="Q117" s="3">
        <v>10634347.7998654</v>
      </c>
      <c r="R117" s="34">
        <f t="shared" si="9"/>
        <v>0.26065016585609208</v>
      </c>
      <c r="S117" t="s">
        <v>646</v>
      </c>
      <c r="T117" t="s">
        <v>648</v>
      </c>
    </row>
    <row r="118" spans="1:22" ht="30" x14ac:dyDescent="0.25">
      <c r="A118" s="29">
        <v>138</v>
      </c>
      <c r="B118" s="2" t="s">
        <v>417</v>
      </c>
      <c r="C118" s="29" t="s">
        <v>630</v>
      </c>
      <c r="D118" s="30" t="s">
        <v>264</v>
      </c>
      <c r="E118" s="1">
        <v>825.78678405134906</v>
      </c>
      <c r="F118" s="1"/>
      <c r="G118" s="55"/>
      <c r="H118" s="1">
        <v>2.61</v>
      </c>
      <c r="I118" s="1"/>
      <c r="J118" s="1"/>
      <c r="K118"/>
      <c r="L118" s="34">
        <f>10/2110</f>
        <v>4.7393364928909956E-3</v>
      </c>
      <c r="M118" s="29"/>
      <c r="N118" s="1"/>
      <c r="O118" s="1"/>
      <c r="P118" s="43">
        <v>344.80919499999999</v>
      </c>
      <c r="Q118" s="3">
        <v>8392445.9420815893</v>
      </c>
      <c r="R118" s="34">
        <f t="shared" si="9"/>
        <v>0.25407423877952651</v>
      </c>
      <c r="S118" t="s">
        <v>646</v>
      </c>
      <c r="T118" t="s">
        <v>648</v>
      </c>
    </row>
    <row r="119" spans="1:22" ht="30" x14ac:dyDescent="0.25">
      <c r="A119" s="29">
        <v>146</v>
      </c>
      <c r="B119" s="2" t="s">
        <v>418</v>
      </c>
      <c r="C119" s="29" t="s">
        <v>351</v>
      </c>
      <c r="D119" s="30" t="s">
        <v>264</v>
      </c>
      <c r="E119" s="1">
        <v>424.550297338733</v>
      </c>
      <c r="F119" s="1"/>
      <c r="G119" s="55"/>
      <c r="H119" s="1">
        <v>1.5</v>
      </c>
      <c r="I119" s="1"/>
      <c r="J119" s="1"/>
      <c r="K119"/>
      <c r="L119" s="34">
        <f>20/6113</f>
        <v>3.2717160150498937E-3</v>
      </c>
      <c r="M119" s="29"/>
      <c r="N119" s="1"/>
      <c r="O119" s="1"/>
      <c r="P119" s="43">
        <v>289.66458599999999</v>
      </c>
      <c r="Q119" s="3">
        <v>3919091.8545222199</v>
      </c>
      <c r="R119" s="34">
        <f t="shared" si="9"/>
        <v>0.23077900775766746</v>
      </c>
      <c r="S119" t="s">
        <v>646</v>
      </c>
      <c r="T119" t="s">
        <v>648</v>
      </c>
    </row>
    <row r="120" spans="1:22" ht="30" x14ac:dyDescent="0.25">
      <c r="A120" s="29">
        <v>368</v>
      </c>
      <c r="B120" s="2" t="s">
        <v>487</v>
      </c>
      <c r="C120" s="29" t="s">
        <v>394</v>
      </c>
      <c r="D120" s="30" t="s">
        <v>264</v>
      </c>
      <c r="E120" s="1">
        <v>429.578239139461</v>
      </c>
      <c r="F120" s="1"/>
      <c r="G120" s="55"/>
      <c r="H120" s="1">
        <v>7.26</v>
      </c>
      <c r="I120" s="1"/>
      <c r="J120" s="1"/>
      <c r="K120"/>
      <c r="L120" s="34">
        <v>2.8710881424059719E-3</v>
      </c>
      <c r="M120" s="29"/>
      <c r="N120" s="1"/>
      <c r="O120" s="1"/>
      <c r="P120" s="43">
        <v>323.01959399999998</v>
      </c>
      <c r="Q120" s="3">
        <v>4740063.7810285501</v>
      </c>
      <c r="R120" s="34">
        <f t="shared" si="9"/>
        <v>0.27585567360930185</v>
      </c>
      <c r="S120" t="s">
        <v>646</v>
      </c>
      <c r="T120" t="s">
        <v>647</v>
      </c>
    </row>
    <row r="121" spans="1:22" ht="30" x14ac:dyDescent="0.25">
      <c r="A121" s="29">
        <v>371</v>
      </c>
      <c r="B121" s="2" t="s">
        <v>489</v>
      </c>
      <c r="C121" s="29" t="s">
        <v>395</v>
      </c>
      <c r="D121" s="30" t="s">
        <v>264</v>
      </c>
      <c r="E121" s="1">
        <v>299.657346630083</v>
      </c>
      <c r="F121" s="1"/>
      <c r="G121" s="55"/>
      <c r="H121" s="1">
        <v>2.35</v>
      </c>
      <c r="I121" s="1"/>
      <c r="J121" s="1"/>
      <c r="K121"/>
      <c r="L121" s="34">
        <f>10/1961</f>
        <v>5.0994390617032127E-3</v>
      </c>
      <c r="M121" s="29"/>
      <c r="N121" s="1"/>
      <c r="O121" s="1"/>
      <c r="P121" s="43">
        <v>315.67890699999998</v>
      </c>
      <c r="Q121" s="3">
        <v>3512161.1203048201</v>
      </c>
      <c r="R121" s="34">
        <f t="shared" si="9"/>
        <v>0.29301476835143853</v>
      </c>
      <c r="S121" t="s">
        <v>646</v>
      </c>
      <c r="T121" t="s">
        <v>647</v>
      </c>
    </row>
    <row r="122" spans="1:22" ht="30" x14ac:dyDescent="0.25">
      <c r="A122" s="29">
        <v>375</v>
      </c>
      <c r="B122" s="2" t="s">
        <v>492</v>
      </c>
      <c r="C122" s="29" t="s">
        <v>396</v>
      </c>
      <c r="D122" s="30" t="s">
        <v>264</v>
      </c>
      <c r="E122" s="1">
        <v>551.85110730446695</v>
      </c>
      <c r="F122" s="1"/>
      <c r="G122" s="55"/>
      <c r="H122" s="1">
        <v>5.51</v>
      </c>
      <c r="I122" s="1"/>
      <c r="J122" s="1"/>
      <c r="K122"/>
      <c r="L122" s="34">
        <f>10/888</f>
        <v>1.1261261261261261E-2</v>
      </c>
      <c r="M122" s="29"/>
      <c r="N122" s="1"/>
      <c r="O122" s="1"/>
      <c r="P122" s="43">
        <v>324.88370200000003</v>
      </c>
      <c r="Q122" s="3">
        <v>6873820.0296373898</v>
      </c>
      <c r="R122" s="34">
        <f t="shared" si="9"/>
        <v>0.31139830738098756</v>
      </c>
      <c r="S122" t="s">
        <v>646</v>
      </c>
      <c r="T122" t="s">
        <v>647</v>
      </c>
    </row>
    <row r="123" spans="1:22" ht="30" x14ac:dyDescent="0.25">
      <c r="A123" s="29">
        <v>376</v>
      </c>
      <c r="B123" s="2" t="s">
        <v>493</v>
      </c>
      <c r="C123" s="29" t="s">
        <v>26</v>
      </c>
      <c r="D123" s="30" t="s">
        <v>264</v>
      </c>
      <c r="E123" s="1">
        <v>143.075965458691</v>
      </c>
      <c r="F123" s="1"/>
      <c r="G123" s="55"/>
      <c r="H123" s="1">
        <v>2.11</v>
      </c>
      <c r="I123" s="1"/>
      <c r="J123" s="1"/>
      <c r="K123"/>
      <c r="L123" s="34">
        <f>10/774</f>
        <v>1.2919896640826873E-2</v>
      </c>
      <c r="M123" s="29"/>
      <c r="N123" s="1"/>
      <c r="O123" s="1"/>
      <c r="P123" s="43">
        <v>294.95115299999998</v>
      </c>
      <c r="Q123" s="3">
        <v>1753090.21480584</v>
      </c>
      <c r="R123" s="34">
        <f t="shared" si="9"/>
        <v>0.30632157700029528</v>
      </c>
      <c r="S123" t="s">
        <v>646</v>
      </c>
      <c r="T123" t="s">
        <v>647</v>
      </c>
    </row>
    <row r="124" spans="1:22" ht="30" x14ac:dyDescent="0.25">
      <c r="A124" s="29">
        <v>379</v>
      </c>
      <c r="B124" s="2" t="s">
        <v>495</v>
      </c>
      <c r="C124" s="29" t="s">
        <v>372</v>
      </c>
      <c r="D124" s="30" t="s">
        <v>264</v>
      </c>
      <c r="E124" s="1">
        <v>502.26373090178902</v>
      </c>
      <c r="F124" s="1">
        <v>37.102388076261995</v>
      </c>
      <c r="G124" s="6">
        <f t="shared" ref="G124:G130" si="10">100*F124/E124</f>
        <v>7.3870331050276201</v>
      </c>
      <c r="H124" s="1">
        <v>4.29</v>
      </c>
      <c r="I124" s="1"/>
      <c r="J124" s="1"/>
      <c r="K124"/>
      <c r="L124" s="34">
        <f>10/992</f>
        <v>1.0080645161290322E-2</v>
      </c>
      <c r="M124" s="29"/>
      <c r="N124" s="1"/>
      <c r="O124" s="1"/>
      <c r="P124" s="43">
        <v>373.62606599999998</v>
      </c>
      <c r="Q124" s="3">
        <v>5571419.2742144698</v>
      </c>
      <c r="R124" s="34">
        <f t="shared" si="9"/>
        <v>0.27731542869974257</v>
      </c>
      <c r="S124" t="s">
        <v>646</v>
      </c>
      <c r="T124" t="s">
        <v>647</v>
      </c>
    </row>
    <row r="125" spans="1:22" ht="30" x14ac:dyDescent="0.25">
      <c r="A125" s="29">
        <v>380</v>
      </c>
      <c r="B125" s="2" t="s">
        <v>496</v>
      </c>
      <c r="C125" s="29" t="s">
        <v>397</v>
      </c>
      <c r="D125" s="30" t="s">
        <v>264</v>
      </c>
      <c r="E125" s="1">
        <v>292.85949466440496</v>
      </c>
      <c r="F125" s="20">
        <v>27.160012611396006</v>
      </c>
      <c r="G125" s="6">
        <f t="shared" si="10"/>
        <v>9.2740761717557909</v>
      </c>
      <c r="H125" s="1">
        <v>1.41</v>
      </c>
      <c r="I125" s="1"/>
      <c r="J125" s="1"/>
      <c r="K125"/>
      <c r="L125" s="34">
        <f>10/697</f>
        <v>1.4347202295552367E-2</v>
      </c>
      <c r="M125" s="29"/>
      <c r="N125" s="1"/>
      <c r="O125" s="1"/>
      <c r="P125" s="43">
        <v>398.40408300000001</v>
      </c>
      <c r="Q125" s="3">
        <v>3537782.2004145901</v>
      </c>
      <c r="R125" s="34">
        <f t="shared" si="9"/>
        <v>0.30200337233974806</v>
      </c>
      <c r="S125" t="s">
        <v>646</v>
      </c>
      <c r="T125" t="s">
        <v>647</v>
      </c>
    </row>
    <row r="126" spans="1:22" ht="30" x14ac:dyDescent="0.25">
      <c r="A126" s="1">
        <v>211</v>
      </c>
      <c r="B126" s="2" t="s">
        <v>594</v>
      </c>
      <c r="C126" s="1" t="s">
        <v>7</v>
      </c>
      <c r="D126" s="4" t="s">
        <v>261</v>
      </c>
      <c r="E126" s="43">
        <v>82.343399000000005</v>
      </c>
      <c r="F126" s="69">
        <v>27.688327999999998</v>
      </c>
      <c r="G126" s="55">
        <f t="shared" si="10"/>
        <v>33.625437298258717</v>
      </c>
      <c r="H126" s="1">
        <v>0.48</v>
      </c>
      <c r="I126" s="1"/>
      <c r="J126" s="1"/>
      <c r="L126" s="34">
        <f>10/2034</f>
        <v>4.9164208456243851E-3</v>
      </c>
      <c r="M126" s="43">
        <v>106.16880999999999</v>
      </c>
      <c r="N126" s="55">
        <v>1768400.2380669999</v>
      </c>
      <c r="O126" s="6">
        <f t="shared" ref="O126:O143" si="11">(25*N126)/(1000000*E126)</f>
        <v>0.53689799654341441</v>
      </c>
      <c r="P126" s="60">
        <v>94.444603000000001</v>
      </c>
      <c r="Q126" s="3">
        <v>1149502.0587380801</v>
      </c>
      <c r="R126" s="56">
        <f t="shared" ref="R126:R142" si="12">(25*Q126)/(1000000*E126)</f>
        <v>0.348996420082829</v>
      </c>
      <c r="S126" t="s">
        <v>636</v>
      </c>
      <c r="T126" s="54" t="s">
        <v>647</v>
      </c>
    </row>
    <row r="127" spans="1:22" ht="30" x14ac:dyDescent="0.25">
      <c r="A127" s="1">
        <v>212</v>
      </c>
      <c r="B127" s="2" t="s">
        <v>595</v>
      </c>
      <c r="C127" s="1" t="s">
        <v>569</v>
      </c>
      <c r="D127" s="4" t="s">
        <v>261</v>
      </c>
      <c r="E127" s="43">
        <v>42.650002000000001</v>
      </c>
      <c r="F127" s="83">
        <v>6.7644900000000003</v>
      </c>
      <c r="G127" s="55">
        <f t="shared" si="10"/>
        <v>15.860468189427049</v>
      </c>
      <c r="H127" s="1">
        <v>0.8</v>
      </c>
      <c r="I127" s="1"/>
      <c r="J127" s="1"/>
      <c r="L127" s="34">
        <f>10/1890</f>
        <v>5.2910052910052907E-3</v>
      </c>
      <c r="M127" s="43">
        <v>73.871352999999999</v>
      </c>
      <c r="N127" s="55">
        <v>1211681.4462900001</v>
      </c>
      <c r="O127" s="6">
        <f t="shared" si="11"/>
        <v>0.71024700437880406</v>
      </c>
      <c r="P127" s="60">
        <v>64.917465000000007</v>
      </c>
      <c r="Q127" s="3">
        <v>338017.57419453003</v>
      </c>
      <c r="R127" s="56">
        <f t="shared" si="12"/>
        <v>0.19813455940431729</v>
      </c>
      <c r="S127" t="s">
        <v>636</v>
      </c>
      <c r="T127" s="54" t="s">
        <v>647</v>
      </c>
    </row>
    <row r="128" spans="1:22" ht="30" x14ac:dyDescent="0.25">
      <c r="A128" s="1">
        <v>169</v>
      </c>
      <c r="B128" s="2" t="s">
        <v>45</v>
      </c>
      <c r="C128" s="1" t="s">
        <v>574</v>
      </c>
      <c r="D128" s="4" t="s">
        <v>261</v>
      </c>
      <c r="E128" s="43">
        <v>60.781399</v>
      </c>
      <c r="F128" s="69">
        <v>3.0157780000000001</v>
      </c>
      <c r="G128" s="55">
        <f t="shared" si="10"/>
        <v>4.961679147924845</v>
      </c>
      <c r="H128" s="1">
        <v>0.36</v>
      </c>
      <c r="I128" s="1"/>
      <c r="J128" s="1"/>
      <c r="L128" s="34">
        <f>10/4849</f>
        <v>2.0622808826562177E-3</v>
      </c>
      <c r="M128" s="43">
        <v>240.10357999999999</v>
      </c>
      <c r="N128" s="55">
        <v>7291756.8839180004</v>
      </c>
      <c r="O128" s="6">
        <f t="shared" si="11"/>
        <v>2.9991728571096234</v>
      </c>
      <c r="P128" s="60">
        <v>226.48626999999999</v>
      </c>
      <c r="Q128" s="3">
        <v>785932.06148841698</v>
      </c>
      <c r="R128" s="56">
        <f t="shared" si="12"/>
        <v>0.32326175212272462</v>
      </c>
      <c r="S128" s="64" t="s">
        <v>637</v>
      </c>
      <c r="T128" s="22" t="s">
        <v>649</v>
      </c>
      <c r="V128" s="52"/>
    </row>
    <row r="129" spans="1:185" ht="30" x14ac:dyDescent="0.25">
      <c r="A129" s="1">
        <v>171</v>
      </c>
      <c r="B129" s="2" t="s">
        <v>47</v>
      </c>
      <c r="C129" s="1" t="s">
        <v>575</v>
      </c>
      <c r="D129" s="4" t="s">
        <v>261</v>
      </c>
      <c r="E129" s="43">
        <v>258.02600000000001</v>
      </c>
      <c r="F129" s="69">
        <v>26.965507000000002</v>
      </c>
      <c r="G129" s="55">
        <f t="shared" si="10"/>
        <v>10.450693728538985</v>
      </c>
      <c r="H129" s="1">
        <v>1.1200000000000001</v>
      </c>
      <c r="I129" s="1"/>
      <c r="J129" s="1"/>
      <c r="L129" s="34">
        <f>5/413</f>
        <v>1.2106537530266344E-2</v>
      </c>
      <c r="M129" s="43">
        <v>290.02087</v>
      </c>
      <c r="N129" s="55">
        <v>17910054.466348998</v>
      </c>
      <c r="O129" s="6">
        <f t="shared" si="11"/>
        <v>1.7352955192838124</v>
      </c>
      <c r="P129" s="60">
        <v>270.99074999999999</v>
      </c>
      <c r="Q129" s="3">
        <v>3944198.06957515</v>
      </c>
      <c r="R129" s="56">
        <f t="shared" si="12"/>
        <v>0.38215122406028368</v>
      </c>
      <c r="S129" s="64" t="s">
        <v>637</v>
      </c>
      <c r="T129" s="22" t="s">
        <v>649</v>
      </c>
      <c r="V129" s="52"/>
    </row>
    <row r="130" spans="1:185" ht="30" x14ac:dyDescent="0.25">
      <c r="A130" s="1">
        <v>173</v>
      </c>
      <c r="B130" s="2" t="s">
        <v>14</v>
      </c>
      <c r="C130" s="1" t="s">
        <v>573</v>
      </c>
      <c r="D130" s="4" t="s">
        <v>261</v>
      </c>
      <c r="E130" s="43">
        <v>216.61799999999999</v>
      </c>
      <c r="F130" s="69">
        <v>205.26678799999996</v>
      </c>
      <c r="G130" s="55">
        <f t="shared" si="10"/>
        <v>94.759802047844587</v>
      </c>
      <c r="H130" s="1">
        <v>5.35</v>
      </c>
      <c r="I130" s="1"/>
      <c r="J130" s="1"/>
      <c r="L130" s="34">
        <f>10/775</f>
        <v>1.2903225806451613E-2</v>
      </c>
      <c r="M130" s="43">
        <v>498.82558999999998</v>
      </c>
      <c r="N130" s="55">
        <v>16938338.844826002</v>
      </c>
      <c r="O130" s="6">
        <f t="shared" si="11"/>
        <v>1.9548628051253822</v>
      </c>
      <c r="P130" s="60">
        <v>502.83514000000002</v>
      </c>
      <c r="Q130" s="3">
        <v>3705164.6634928901</v>
      </c>
      <c r="R130" s="56">
        <f t="shared" si="12"/>
        <v>0.42761504855239291</v>
      </c>
      <c r="S130" s="64" t="s">
        <v>637</v>
      </c>
      <c r="T130" s="22" t="s">
        <v>649</v>
      </c>
      <c r="V130" s="52"/>
    </row>
    <row r="131" spans="1:185" ht="30" x14ac:dyDescent="0.25">
      <c r="A131" s="1">
        <v>177</v>
      </c>
      <c r="B131" s="2" t="s">
        <v>15</v>
      </c>
      <c r="C131" s="1" t="s">
        <v>50</v>
      </c>
      <c r="D131" s="4" t="s">
        <v>261</v>
      </c>
      <c r="E131" s="43">
        <v>66.0214</v>
      </c>
      <c r="F131" s="84"/>
      <c r="G131" s="55"/>
      <c r="H131" s="1">
        <v>0.15</v>
      </c>
      <c r="I131" s="1"/>
      <c r="J131" s="1"/>
      <c r="L131" s="34">
        <f>10/519</f>
        <v>1.9267822736030827E-2</v>
      </c>
      <c r="M131" s="43">
        <v>39.298523000000003</v>
      </c>
      <c r="N131" s="55">
        <v>1575907.3603689999</v>
      </c>
      <c r="O131" s="6">
        <f t="shared" si="11"/>
        <v>0.5967411174138233</v>
      </c>
      <c r="P131" s="60">
        <v>44.648215999999998</v>
      </c>
      <c r="Q131" s="3">
        <v>893801.45571739099</v>
      </c>
      <c r="R131" s="56">
        <f t="shared" si="12"/>
        <v>0.33845141716072019</v>
      </c>
      <c r="S131" s="64" t="s">
        <v>637</v>
      </c>
      <c r="T131" s="22" t="s">
        <v>649</v>
      </c>
      <c r="V131" s="52"/>
    </row>
    <row r="132" spans="1:185" ht="30" x14ac:dyDescent="0.25">
      <c r="A132" s="1">
        <v>178</v>
      </c>
      <c r="B132" s="2" t="s">
        <v>18</v>
      </c>
      <c r="C132" s="1" t="s">
        <v>17</v>
      </c>
      <c r="D132" s="4" t="s">
        <v>261</v>
      </c>
      <c r="E132" s="43">
        <v>54.245700999999997</v>
      </c>
      <c r="F132" s="40"/>
      <c r="G132" s="55"/>
      <c r="H132" s="1">
        <v>0.15</v>
      </c>
      <c r="I132" s="1"/>
      <c r="J132" s="1"/>
      <c r="L132" s="34">
        <f>10/204</f>
        <v>4.9019607843137254E-2</v>
      </c>
      <c r="M132" s="43">
        <v>45.462029000000001</v>
      </c>
      <c r="N132" s="55">
        <v>326147.39166800003</v>
      </c>
      <c r="O132" s="6">
        <f t="shared" si="11"/>
        <v>0.15031024839553647</v>
      </c>
      <c r="P132" s="60">
        <v>36.702179000000001</v>
      </c>
      <c r="Q132" s="3">
        <v>280279.22336362902</v>
      </c>
      <c r="R132" s="56">
        <f t="shared" si="12"/>
        <v>0.1291711684966653</v>
      </c>
      <c r="S132" s="64" t="s">
        <v>637</v>
      </c>
      <c r="T132" s="22" t="s">
        <v>649</v>
      </c>
      <c r="U132" s="22"/>
      <c r="V132" s="52"/>
    </row>
    <row r="133" spans="1:185" ht="30" x14ac:dyDescent="0.25">
      <c r="A133" s="1">
        <v>181</v>
      </c>
      <c r="B133" s="2" t="s">
        <v>56</v>
      </c>
      <c r="C133" s="1" t="s">
        <v>57</v>
      </c>
      <c r="D133" s="4" t="s">
        <v>261</v>
      </c>
      <c r="E133" s="43">
        <v>102.95099999999999</v>
      </c>
      <c r="F133" s="69">
        <v>0.18074899999999999</v>
      </c>
      <c r="G133" s="43">
        <f>100*F133/E133</f>
        <v>0.17556798865479695</v>
      </c>
      <c r="H133" s="1">
        <v>0.11</v>
      </c>
      <c r="I133" s="1"/>
      <c r="J133" s="1"/>
      <c r="L133" s="34">
        <f>10/305</f>
        <v>3.2786885245901641E-2</v>
      </c>
      <c r="M133" s="43">
        <v>168.61670000000001</v>
      </c>
      <c r="N133" s="55">
        <v>6661192.0571699999</v>
      </c>
      <c r="O133" s="6">
        <f t="shared" si="11"/>
        <v>1.6175637092330333</v>
      </c>
      <c r="P133" s="60">
        <v>160.79427999999999</v>
      </c>
      <c r="Q133" s="3">
        <v>832353.28706969903</v>
      </c>
      <c r="R133" s="56">
        <f t="shared" si="12"/>
        <v>0.20212365277406219</v>
      </c>
      <c r="S133" s="64" t="s">
        <v>637</v>
      </c>
      <c r="T133" t="s">
        <v>647</v>
      </c>
      <c r="V133" s="52"/>
    </row>
    <row r="134" spans="1:185" ht="30" x14ac:dyDescent="0.25">
      <c r="A134" s="1">
        <v>206</v>
      </c>
      <c r="B134" s="2" t="s">
        <v>83</v>
      </c>
      <c r="C134" s="1" t="s">
        <v>577</v>
      </c>
      <c r="D134" s="4" t="s">
        <v>261</v>
      </c>
      <c r="E134" s="43">
        <v>108.173</v>
      </c>
      <c r="F134" s="69">
        <v>106.38674899999999</v>
      </c>
      <c r="G134" s="55">
        <f>100*F134/E134</f>
        <v>98.348709012415299</v>
      </c>
      <c r="H134" s="1">
        <v>0.52</v>
      </c>
      <c r="I134" s="1"/>
      <c r="J134" s="1"/>
      <c r="L134" s="34">
        <f>10/2658</f>
        <v>3.7622272385252069E-3</v>
      </c>
      <c r="M134" s="43">
        <v>326.13947000000002</v>
      </c>
      <c r="N134" s="55">
        <v>6966912.3197609996</v>
      </c>
      <c r="O134" s="6">
        <f t="shared" si="11"/>
        <v>1.6101319922164032</v>
      </c>
      <c r="P134" s="60">
        <v>348.06598000000002</v>
      </c>
      <c r="Q134" s="3">
        <v>1620851.79827148</v>
      </c>
      <c r="R134" s="56">
        <f t="shared" si="12"/>
        <v>0.37459712642514303</v>
      </c>
      <c r="S134" s="64" t="s">
        <v>638</v>
      </c>
      <c r="T134" s="64" t="s">
        <v>647</v>
      </c>
      <c r="V134" s="52"/>
    </row>
    <row r="135" spans="1:185" ht="30" x14ac:dyDescent="0.25">
      <c r="A135" s="1">
        <v>261</v>
      </c>
      <c r="B135" s="2" t="s">
        <v>87</v>
      </c>
      <c r="C135" s="1" t="s">
        <v>92</v>
      </c>
      <c r="D135" s="4" t="s">
        <v>261</v>
      </c>
      <c r="E135" s="43">
        <v>150.53700000000001</v>
      </c>
      <c r="F135" s="84"/>
      <c r="G135" s="55"/>
      <c r="H135" s="6">
        <v>4.96</v>
      </c>
      <c r="I135" s="1"/>
      <c r="J135" s="1"/>
      <c r="L135" s="34">
        <f>20/1757</f>
        <v>1.1383039271485486E-2</v>
      </c>
      <c r="M135" s="43">
        <v>26.030916000000001</v>
      </c>
      <c r="N135" s="55">
        <v>8748257.9143240005</v>
      </c>
      <c r="O135" s="6">
        <f t="shared" si="11"/>
        <v>1.4528418120335864</v>
      </c>
      <c r="P135" s="60">
        <v>25.586041999999999</v>
      </c>
      <c r="Q135" s="3">
        <v>978433.72709888604</v>
      </c>
      <c r="R135" s="56">
        <f t="shared" si="12"/>
        <v>0.16249057160347391</v>
      </c>
      <c r="S135" s="64" t="s">
        <v>638</v>
      </c>
      <c r="T135" s="54" t="s">
        <v>649</v>
      </c>
      <c r="V135" s="52"/>
    </row>
    <row r="136" spans="1:185" ht="30" x14ac:dyDescent="0.25">
      <c r="A136" s="1">
        <v>231</v>
      </c>
      <c r="B136" s="8" t="s">
        <v>123</v>
      </c>
      <c r="C136" s="1" t="s">
        <v>41</v>
      </c>
      <c r="D136" s="4" t="s">
        <v>261</v>
      </c>
      <c r="E136" s="43">
        <v>326.92899</v>
      </c>
      <c r="F136" s="83">
        <v>141.918834</v>
      </c>
      <c r="G136" s="55">
        <f>100*F136/E136</f>
        <v>43.409681717121508</v>
      </c>
      <c r="H136" s="1">
        <v>1.68</v>
      </c>
      <c r="I136" s="1"/>
      <c r="J136" s="1"/>
      <c r="L136" s="34">
        <f>5/1122</f>
        <v>4.4563279857397506E-3</v>
      </c>
      <c r="M136" s="43">
        <v>273.84888000000001</v>
      </c>
      <c r="N136" s="55">
        <v>10768754.225039</v>
      </c>
      <c r="O136" s="6">
        <f t="shared" si="11"/>
        <v>0.82347807585364341</v>
      </c>
      <c r="P136" s="60">
        <v>268.09467000000001</v>
      </c>
      <c r="Q136" s="3">
        <v>3541210.9682377898</v>
      </c>
      <c r="R136" s="56">
        <f t="shared" si="12"/>
        <v>0.27079358794686498</v>
      </c>
      <c r="S136" s="64" t="s">
        <v>640</v>
      </c>
      <c r="T136" s="61" t="s">
        <v>647</v>
      </c>
      <c r="U136" s="20"/>
      <c r="V136" s="52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</row>
    <row r="137" spans="1:185" ht="30" x14ac:dyDescent="0.25">
      <c r="A137" s="1">
        <v>232</v>
      </c>
      <c r="B137" s="8" t="s">
        <v>124</v>
      </c>
      <c r="C137" s="1" t="s">
        <v>573</v>
      </c>
      <c r="D137" s="4" t="s">
        <v>261</v>
      </c>
      <c r="E137" s="43">
        <v>33.311599999999999</v>
      </c>
      <c r="F137" s="84"/>
      <c r="G137" s="55"/>
      <c r="H137" s="1">
        <v>0.57999999999999996</v>
      </c>
      <c r="I137" s="1"/>
      <c r="J137" s="1"/>
      <c r="L137" s="34">
        <f>5/1574</f>
        <v>3.1766200762388818E-3</v>
      </c>
      <c r="M137" s="43">
        <v>56.082282999999997</v>
      </c>
      <c r="N137" s="55">
        <v>4847332.9391750004</v>
      </c>
      <c r="O137" s="6">
        <f t="shared" si="11"/>
        <v>3.6378715966622739</v>
      </c>
      <c r="P137" s="60">
        <v>43.958683000000001</v>
      </c>
      <c r="Q137" s="3">
        <v>273082.311923542</v>
      </c>
      <c r="R137" s="56">
        <f t="shared" si="12"/>
        <v>0.20494535831627869</v>
      </c>
      <c r="S137" s="64" t="s">
        <v>640</v>
      </c>
      <c r="T137" s="61" t="s">
        <v>647</v>
      </c>
      <c r="V137" s="52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</row>
    <row r="138" spans="1:185" ht="30" x14ac:dyDescent="0.25">
      <c r="A138" s="1">
        <v>233</v>
      </c>
      <c r="B138" s="8" t="s">
        <v>126</v>
      </c>
      <c r="C138" s="1" t="s">
        <v>125</v>
      </c>
      <c r="D138" s="4" t="s">
        <v>261</v>
      </c>
      <c r="E138" s="43">
        <v>47.788898000000003</v>
      </c>
      <c r="F138" s="40"/>
      <c r="G138" s="55"/>
      <c r="H138" s="1">
        <v>0.12</v>
      </c>
      <c r="I138" s="1"/>
      <c r="J138" s="1"/>
      <c r="L138" s="34">
        <f>5/2937</f>
        <v>1.7024174327545114E-3</v>
      </c>
      <c r="M138" s="43">
        <v>113.31301999999999</v>
      </c>
      <c r="N138" s="55">
        <v>8030811.4261079999</v>
      </c>
      <c r="O138" s="6">
        <f t="shared" si="11"/>
        <v>4.2011909471672686</v>
      </c>
      <c r="P138" s="60">
        <v>108.38057999999999</v>
      </c>
      <c r="Q138" s="3">
        <v>388836.15826546098</v>
      </c>
      <c r="R138" s="56">
        <f t="shared" si="12"/>
        <v>0.20341343624698197</v>
      </c>
      <c r="S138" s="64" t="s">
        <v>640</v>
      </c>
      <c r="T138" s="61" t="s">
        <v>647</v>
      </c>
      <c r="U138" s="22"/>
      <c r="V138" s="52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</row>
    <row r="139" spans="1:185" ht="30" x14ac:dyDescent="0.25">
      <c r="A139" s="1">
        <v>239</v>
      </c>
      <c r="B139" s="8" t="s">
        <v>132</v>
      </c>
      <c r="C139" s="1" t="s">
        <v>588</v>
      </c>
      <c r="D139" s="4" t="s">
        <v>261</v>
      </c>
      <c r="E139" s="43">
        <v>48.246101000000003</v>
      </c>
      <c r="F139" s="69">
        <v>6.7495079999999996</v>
      </c>
      <c r="G139" s="55">
        <f>100*F139/E139</f>
        <v>13.989748104204315</v>
      </c>
      <c r="H139" s="1">
        <v>0.51</v>
      </c>
      <c r="I139" s="1"/>
      <c r="J139" s="1"/>
      <c r="L139" s="34">
        <f>5/596</f>
        <v>8.389261744966443E-3</v>
      </c>
      <c r="M139" s="43">
        <v>92.374054000000001</v>
      </c>
      <c r="N139" s="55">
        <v>7201015.56592</v>
      </c>
      <c r="O139" s="6">
        <f t="shared" si="11"/>
        <v>3.731397676011166</v>
      </c>
      <c r="P139" s="60">
        <v>104.45041999999999</v>
      </c>
      <c r="Q139" s="3">
        <v>388493.08942901401</v>
      </c>
      <c r="R139" s="56">
        <f t="shared" si="12"/>
        <v>0.20130802353801297</v>
      </c>
      <c r="S139" s="64" t="s">
        <v>640</v>
      </c>
      <c r="T139" s="61" t="s">
        <v>647</v>
      </c>
      <c r="V139" s="52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</row>
    <row r="140" spans="1:185" ht="30" x14ac:dyDescent="0.25">
      <c r="A140" s="23">
        <v>240</v>
      </c>
      <c r="B140" s="8" t="s">
        <v>133</v>
      </c>
      <c r="C140" s="23" t="s">
        <v>134</v>
      </c>
      <c r="D140" s="24" t="s">
        <v>261</v>
      </c>
      <c r="E140" s="43">
        <v>260.37799000000001</v>
      </c>
      <c r="F140" s="69">
        <v>149.11264399999999</v>
      </c>
      <c r="G140" s="55">
        <f>100*F140/E140</f>
        <v>57.267760612177696</v>
      </c>
      <c r="H140" s="23">
        <v>0.6</v>
      </c>
      <c r="I140" s="23"/>
      <c r="J140" s="23"/>
      <c r="K140" s="73"/>
      <c r="L140" s="36">
        <f>100/2097</f>
        <v>4.7687172150691466E-2</v>
      </c>
      <c r="M140" s="43">
        <v>284.30169999999998</v>
      </c>
      <c r="N140" s="55">
        <v>10667175.392867999</v>
      </c>
      <c r="O140" s="6">
        <f t="shared" si="11"/>
        <v>1.02420095040176</v>
      </c>
      <c r="P140" s="60">
        <v>286.09500000000003</v>
      </c>
      <c r="Q140" s="63">
        <v>3276039.90740882</v>
      </c>
      <c r="R140" s="56">
        <f t="shared" si="12"/>
        <v>0.31454654706114177</v>
      </c>
      <c r="S140" s="64" t="s">
        <v>640</v>
      </c>
      <c r="T140" s="61" t="s">
        <v>649</v>
      </c>
      <c r="V140" s="52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</row>
    <row r="141" spans="1:185" ht="30" x14ac:dyDescent="0.25">
      <c r="A141" s="1">
        <v>241</v>
      </c>
      <c r="B141" s="8" t="s">
        <v>135</v>
      </c>
      <c r="C141" s="1" t="s">
        <v>573</v>
      </c>
      <c r="D141" s="4" t="s">
        <v>261</v>
      </c>
      <c r="E141" s="43">
        <v>84.861396999999997</v>
      </c>
      <c r="F141" s="69">
        <v>71.778341999999981</v>
      </c>
      <c r="G141" s="55">
        <f>100*F141/E141</f>
        <v>84.583031316347515</v>
      </c>
      <c r="H141" s="1">
        <v>0.56000000000000005</v>
      </c>
      <c r="I141" s="1"/>
      <c r="J141" s="1"/>
      <c r="L141" s="34">
        <f>10/241</f>
        <v>4.1493775933609957E-2</v>
      </c>
      <c r="M141" s="43">
        <v>394.63225999999997</v>
      </c>
      <c r="N141" s="55">
        <v>11906466.114271</v>
      </c>
      <c r="O141" s="6">
        <f t="shared" si="11"/>
        <v>3.5076214083156678</v>
      </c>
      <c r="P141" s="60">
        <v>389.17606000000001</v>
      </c>
      <c r="Q141" s="3">
        <v>958444.96592946001</v>
      </c>
      <c r="R141" s="56">
        <f t="shared" si="12"/>
        <v>0.28235599454291921</v>
      </c>
      <c r="S141" s="64" t="s">
        <v>640</v>
      </c>
      <c r="T141" s="61" t="s">
        <v>647</v>
      </c>
      <c r="V141" s="52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</row>
    <row r="142" spans="1:185" ht="30" x14ac:dyDescent="0.25">
      <c r="A142" s="1">
        <v>245</v>
      </c>
      <c r="B142" s="8" t="s">
        <v>138</v>
      </c>
      <c r="C142" s="1" t="s">
        <v>573</v>
      </c>
      <c r="D142" s="4" t="s">
        <v>261</v>
      </c>
      <c r="E142" s="43">
        <v>54.096901000000003</v>
      </c>
      <c r="F142" s="69">
        <v>37.727764000000015</v>
      </c>
      <c r="G142" s="55">
        <f>100*F142/E142</f>
        <v>69.741081841268524</v>
      </c>
      <c r="H142" s="1">
        <v>0.12</v>
      </c>
      <c r="I142" s="1"/>
      <c r="J142" s="1"/>
      <c r="L142" s="34">
        <f>10/247</f>
        <v>4.048582995951417E-2</v>
      </c>
      <c r="M142" s="43">
        <v>316.17862000000002</v>
      </c>
      <c r="N142" s="55">
        <v>12039989.143550999</v>
      </c>
      <c r="O142" s="6">
        <f t="shared" si="11"/>
        <v>5.5640845043743816</v>
      </c>
      <c r="P142" s="60">
        <v>342.52258</v>
      </c>
      <c r="Q142" s="3">
        <v>675558.89383589802</v>
      </c>
      <c r="R142" s="56">
        <f t="shared" si="12"/>
        <v>0.31219851846776675</v>
      </c>
      <c r="S142" s="64" t="s">
        <v>640</v>
      </c>
      <c r="T142" s="61" t="s">
        <v>647</v>
      </c>
      <c r="V142" s="52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</row>
    <row r="143" spans="1:185" ht="30" x14ac:dyDescent="0.25">
      <c r="A143" s="1">
        <v>46</v>
      </c>
      <c r="B143" s="2" t="s">
        <v>331</v>
      </c>
      <c r="C143" s="1" t="s">
        <v>562</v>
      </c>
      <c r="D143" s="30" t="s">
        <v>261</v>
      </c>
      <c r="E143" s="1">
        <v>133.82201000000001</v>
      </c>
      <c r="G143" s="1"/>
      <c r="H143" s="1">
        <v>3.16</v>
      </c>
      <c r="I143" s="1"/>
      <c r="J143" s="1"/>
      <c r="L143" s="34">
        <f>10/7829</f>
        <v>1.2773023374632775E-3</v>
      </c>
      <c r="M143" s="51">
        <v>18.607669999999999</v>
      </c>
      <c r="N143" s="42">
        <v>256227.63342599999</v>
      </c>
      <c r="O143" s="51">
        <f t="shared" si="11"/>
        <v>4.7867244227238849E-2</v>
      </c>
      <c r="P143" s="1"/>
      <c r="Q143" s="3"/>
      <c r="S143" s="64" t="s">
        <v>644</v>
      </c>
      <c r="T143" t="s">
        <v>650</v>
      </c>
    </row>
    <row r="144" spans="1:185" ht="30" x14ac:dyDescent="0.25">
      <c r="A144" s="1">
        <v>1</v>
      </c>
      <c r="B144" s="2" t="s">
        <v>140</v>
      </c>
      <c r="C144" s="1" t="s">
        <v>627</v>
      </c>
      <c r="D144" s="4" t="s">
        <v>261</v>
      </c>
      <c r="E144" s="1">
        <v>67.113</v>
      </c>
      <c r="G144" s="1"/>
      <c r="H144" s="1">
        <v>0.04</v>
      </c>
      <c r="I144" s="1"/>
      <c r="J144" s="1"/>
      <c r="K144"/>
      <c r="L144" s="34">
        <f>20/1066</f>
        <v>1.8761726078799251E-2</v>
      </c>
      <c r="M144" s="43">
        <v>253.00603000000001</v>
      </c>
      <c r="N144" s="43">
        <v>290786.22375157598</v>
      </c>
      <c r="O144" s="34">
        <f t="shared" ref="O144:O151" si="13">(25*N144)/(E144*1000000)</f>
        <v>0.10831963395749557</v>
      </c>
      <c r="P144" s="43"/>
      <c r="Q144" s="3"/>
      <c r="S144" t="s">
        <v>645</v>
      </c>
      <c r="T144" t="s">
        <v>647</v>
      </c>
    </row>
    <row r="145" spans="1:20" ht="30" x14ac:dyDescent="0.25">
      <c r="A145" s="1">
        <v>21</v>
      </c>
      <c r="B145" s="2" t="s">
        <v>153</v>
      </c>
      <c r="C145" s="1" t="s">
        <v>573</v>
      </c>
      <c r="D145" s="4" t="s">
        <v>261</v>
      </c>
      <c r="E145" s="1">
        <v>250.303</v>
      </c>
      <c r="F145" s="71">
        <v>4.5017860000000001</v>
      </c>
      <c r="G145" s="43">
        <f>100*F145/E145</f>
        <v>1.7985345760937745</v>
      </c>
      <c r="H145" s="1">
        <v>0.08</v>
      </c>
      <c r="I145" s="1"/>
      <c r="J145" s="1"/>
      <c r="K145"/>
      <c r="L145" s="34">
        <f>20/1052</f>
        <v>1.9011406844106463E-2</v>
      </c>
      <c r="M145" s="43">
        <v>310.06195000000002</v>
      </c>
      <c r="N145" s="43">
        <v>651534.84010741196</v>
      </c>
      <c r="O145" s="34">
        <f t="shared" si="13"/>
        <v>6.5074613579083354E-2</v>
      </c>
      <c r="P145" s="43"/>
      <c r="Q145" s="3"/>
      <c r="S145" t="s">
        <v>645</v>
      </c>
      <c r="T145" t="s">
        <v>647</v>
      </c>
    </row>
    <row r="146" spans="1:20" ht="30" x14ac:dyDescent="0.25">
      <c r="A146" s="1">
        <v>27</v>
      </c>
      <c r="B146" s="2" t="s">
        <v>160</v>
      </c>
      <c r="C146" s="1" t="s">
        <v>161</v>
      </c>
      <c r="D146" s="4" t="s">
        <v>261</v>
      </c>
      <c r="E146" s="1">
        <v>313.31799999999998</v>
      </c>
      <c r="F146" s="71">
        <v>31.662844</v>
      </c>
      <c r="G146" s="43">
        <f>100*F146/E146</f>
        <v>10.105657510899469</v>
      </c>
      <c r="H146" s="1">
        <v>0.96</v>
      </c>
      <c r="I146" s="1"/>
      <c r="J146" s="1"/>
      <c r="K146"/>
      <c r="L146" s="34">
        <f>20/727</f>
        <v>2.7510316368638238E-2</v>
      </c>
      <c r="M146" s="43">
        <v>287.29381999999998</v>
      </c>
      <c r="N146" s="43">
        <v>1266213.10901276</v>
      </c>
      <c r="O146" s="34">
        <f t="shared" si="13"/>
        <v>0.10103258582436693</v>
      </c>
      <c r="P146" s="43"/>
      <c r="Q146" s="3"/>
      <c r="S146" t="s">
        <v>645</v>
      </c>
      <c r="T146" t="s">
        <v>647</v>
      </c>
    </row>
    <row r="147" spans="1:20" ht="30" x14ac:dyDescent="0.25">
      <c r="A147" s="1">
        <v>37</v>
      </c>
      <c r="B147" s="2" t="s">
        <v>171</v>
      </c>
      <c r="C147" s="1" t="s">
        <v>573</v>
      </c>
      <c r="D147" s="4" t="s">
        <v>261</v>
      </c>
      <c r="E147" s="1">
        <v>78.729299999999995</v>
      </c>
      <c r="G147" s="55"/>
      <c r="H147" s="1">
        <v>1.34</v>
      </c>
      <c r="I147" s="1"/>
      <c r="J147" s="1"/>
      <c r="K147"/>
      <c r="L147" s="34">
        <f>20/327</f>
        <v>6.1162079510703363E-2</v>
      </c>
      <c r="M147" s="43">
        <v>195.58072999999999</v>
      </c>
      <c r="N147" s="43">
        <v>240499.97803309601</v>
      </c>
      <c r="O147" s="34">
        <f t="shared" si="13"/>
        <v>7.6369273584642572E-2</v>
      </c>
      <c r="P147" s="43"/>
      <c r="Q147" s="3"/>
      <c r="S147" t="s">
        <v>645</v>
      </c>
      <c r="T147" t="s">
        <v>647</v>
      </c>
    </row>
    <row r="148" spans="1:20" ht="30" x14ac:dyDescent="0.25">
      <c r="A148" s="1">
        <v>41</v>
      </c>
      <c r="B148" s="2" t="s">
        <v>175</v>
      </c>
      <c r="C148" s="1" t="s">
        <v>176</v>
      </c>
      <c r="D148" s="4" t="s">
        <v>261</v>
      </c>
      <c r="E148" s="1">
        <v>326.48899999999998</v>
      </c>
      <c r="F148">
        <v>80.935794000000001</v>
      </c>
      <c r="G148" s="43">
        <f>100*F148/E148</f>
        <v>24.789746055762986</v>
      </c>
      <c r="H148" s="1">
        <v>12.82</v>
      </c>
      <c r="I148" s="1"/>
      <c r="J148" s="1"/>
      <c r="K148"/>
      <c r="L148" s="34">
        <f>10/197</f>
        <v>5.0761421319796954E-2</v>
      </c>
      <c r="M148" s="43">
        <v>358.77981999999997</v>
      </c>
      <c r="N148" s="43">
        <v>1637686.15431626</v>
      </c>
      <c r="O148" s="34">
        <f t="shared" si="13"/>
        <v>0.12540132702145096</v>
      </c>
      <c r="P148" s="43"/>
      <c r="Q148" s="3"/>
      <c r="S148" t="s">
        <v>645</v>
      </c>
      <c r="T148" t="s">
        <v>647</v>
      </c>
    </row>
    <row r="149" spans="1:20" ht="30" x14ac:dyDescent="0.25">
      <c r="A149" s="1">
        <v>54</v>
      </c>
      <c r="B149" s="2" t="s">
        <v>194</v>
      </c>
      <c r="C149" s="1" t="s">
        <v>573</v>
      </c>
      <c r="D149" s="4" t="s">
        <v>261</v>
      </c>
      <c r="E149" s="1">
        <v>34.798299999999998</v>
      </c>
      <c r="F149" s="20"/>
      <c r="G149" s="55"/>
      <c r="H149" s="1">
        <v>0.02</v>
      </c>
      <c r="I149" s="1"/>
      <c r="J149" s="1"/>
      <c r="K149"/>
      <c r="L149" s="34">
        <f>50/4658</f>
        <v>1.0734220695577501E-2</v>
      </c>
      <c r="M149" s="43">
        <v>61.344166000000001</v>
      </c>
      <c r="N149" s="43">
        <v>13486.8038586448</v>
      </c>
      <c r="O149" s="34">
        <f t="shared" si="13"/>
        <v>9.6892692018322735E-3</v>
      </c>
      <c r="P149" s="43"/>
      <c r="Q149" s="3"/>
      <c r="S149" t="s">
        <v>645</v>
      </c>
      <c r="T149" t="s">
        <v>647</v>
      </c>
    </row>
    <row r="150" spans="1:20" ht="30" x14ac:dyDescent="0.25">
      <c r="A150" s="1">
        <v>55</v>
      </c>
      <c r="B150" s="2" t="s">
        <v>196</v>
      </c>
      <c r="C150" s="1" t="s">
        <v>195</v>
      </c>
      <c r="D150" s="4" t="s">
        <v>261</v>
      </c>
      <c r="E150" s="1">
        <v>54.050199999999997</v>
      </c>
      <c r="G150" s="55"/>
      <c r="H150" s="1">
        <v>0.04</v>
      </c>
      <c r="I150" s="1"/>
      <c r="J150" s="1"/>
      <c r="K150"/>
      <c r="L150" s="34">
        <f>100/52991</f>
        <v>1.8871129059651638E-3</v>
      </c>
      <c r="M150" s="43">
        <v>160.33739</v>
      </c>
      <c r="N150" s="43">
        <v>71840.710742480296</v>
      </c>
      <c r="O150" s="34">
        <f t="shared" si="13"/>
        <v>3.322869792455916E-2</v>
      </c>
      <c r="P150" s="43"/>
      <c r="Q150" s="3"/>
      <c r="S150" t="s">
        <v>645</v>
      </c>
      <c r="T150" t="s">
        <v>647</v>
      </c>
    </row>
    <row r="151" spans="1:20" ht="30" x14ac:dyDescent="0.25">
      <c r="A151" s="1">
        <v>119</v>
      </c>
      <c r="B151" s="2" t="s">
        <v>248</v>
      </c>
      <c r="C151" s="1" t="s">
        <v>573</v>
      </c>
      <c r="D151" s="4" t="s">
        <v>261</v>
      </c>
      <c r="E151" s="1">
        <v>144.94200000000001</v>
      </c>
      <c r="F151" s="20"/>
      <c r="G151" s="55"/>
      <c r="H151" s="1">
        <v>1.45</v>
      </c>
      <c r="I151" s="1"/>
      <c r="J151" s="1"/>
      <c r="K151"/>
      <c r="L151" s="34">
        <f>2/367</f>
        <v>5.4495912806539508E-3</v>
      </c>
      <c r="M151" s="43">
        <v>183.84282999999999</v>
      </c>
      <c r="N151" s="43">
        <v>297905.421741514</v>
      </c>
      <c r="O151" s="34">
        <f t="shared" si="13"/>
        <v>5.1383557171405456E-2</v>
      </c>
      <c r="P151" s="43"/>
      <c r="Q151" s="3"/>
      <c r="S151" t="s">
        <v>645</v>
      </c>
      <c r="T151" t="s">
        <v>648</v>
      </c>
    </row>
    <row r="152" spans="1:20" ht="30" x14ac:dyDescent="0.25">
      <c r="A152" s="29">
        <v>144</v>
      </c>
      <c r="B152" s="2" t="s">
        <v>419</v>
      </c>
      <c r="C152" s="29" t="s">
        <v>350</v>
      </c>
      <c r="D152" s="30" t="s">
        <v>261</v>
      </c>
      <c r="E152" s="1">
        <v>72.587061035565</v>
      </c>
      <c r="F152" s="1"/>
      <c r="G152" s="55"/>
      <c r="H152" s="1">
        <v>0.08</v>
      </c>
      <c r="I152" s="1"/>
      <c r="J152" s="1"/>
      <c r="K152"/>
      <c r="L152" s="34">
        <f>10/250</f>
        <v>0.04</v>
      </c>
      <c r="M152" s="29"/>
      <c r="N152" s="1"/>
      <c r="O152" s="1"/>
      <c r="P152" s="43">
        <v>193.30526499999999</v>
      </c>
      <c r="Q152" s="3">
        <v>581330.71715843596</v>
      </c>
      <c r="R152" s="34">
        <f t="shared" ref="R152:R170" si="14">(25*Q152)/(E152*1000000)</f>
        <v>0.20021843730303573</v>
      </c>
      <c r="S152" t="s">
        <v>646</v>
      </c>
      <c r="T152" t="s">
        <v>648</v>
      </c>
    </row>
    <row r="153" spans="1:20" ht="30" x14ac:dyDescent="0.25">
      <c r="A153" s="29">
        <v>152</v>
      </c>
      <c r="B153" s="2" t="s">
        <v>423</v>
      </c>
      <c r="C153" s="29" t="s">
        <v>631</v>
      </c>
      <c r="D153" s="30" t="s">
        <v>261</v>
      </c>
      <c r="E153" s="1">
        <v>454.861076595398</v>
      </c>
      <c r="F153" s="1"/>
      <c r="G153" s="55"/>
      <c r="H153" s="1">
        <v>0.5</v>
      </c>
      <c r="I153" s="1"/>
      <c r="J153" s="1"/>
      <c r="K153"/>
      <c r="L153" s="34">
        <f>10/5385</f>
        <v>1.8570102135561746E-3</v>
      </c>
      <c r="M153" s="29"/>
      <c r="N153" s="1"/>
      <c r="O153" s="1"/>
      <c r="P153" s="43">
        <v>274.77186799999998</v>
      </c>
      <c r="Q153" s="3">
        <v>4011373.5295589999</v>
      </c>
      <c r="R153" s="34">
        <f t="shared" si="14"/>
        <v>0.22047245499570103</v>
      </c>
      <c r="S153" t="s">
        <v>646</v>
      </c>
      <c r="T153" t="s">
        <v>648</v>
      </c>
    </row>
    <row r="154" spans="1:20" ht="30" x14ac:dyDescent="0.25">
      <c r="A154" s="29">
        <v>154</v>
      </c>
      <c r="B154" s="2" t="s">
        <v>424</v>
      </c>
      <c r="C154" s="29" t="s">
        <v>632</v>
      </c>
      <c r="D154" s="30" t="s">
        <v>261</v>
      </c>
      <c r="E154" s="1">
        <v>1045.68557583606</v>
      </c>
      <c r="F154" s="1"/>
      <c r="G154" s="55"/>
      <c r="H154" s="1">
        <v>0.7</v>
      </c>
      <c r="I154" s="1"/>
      <c r="J154" s="1"/>
      <c r="K154"/>
      <c r="L154" s="34">
        <f>10/5515</f>
        <v>1.8132366273798731E-3</v>
      </c>
      <c r="M154" s="29"/>
      <c r="N154" s="1"/>
      <c r="O154" s="1"/>
      <c r="P154" s="43">
        <v>264.78734100000003</v>
      </c>
      <c r="Q154" s="3">
        <v>10060565.8165335</v>
      </c>
      <c r="R154" s="34">
        <f t="shared" si="14"/>
        <v>0.24052559509797547</v>
      </c>
      <c r="S154" t="s">
        <v>646</v>
      </c>
      <c r="T154" t="s">
        <v>648</v>
      </c>
    </row>
    <row r="155" spans="1:20" ht="30" x14ac:dyDescent="0.25">
      <c r="A155" s="29">
        <v>197</v>
      </c>
      <c r="B155" s="2" t="s">
        <v>433</v>
      </c>
      <c r="C155" s="29" t="s">
        <v>361</v>
      </c>
      <c r="D155" s="30" t="s">
        <v>261</v>
      </c>
      <c r="E155" s="1">
        <v>73.430974524345999</v>
      </c>
      <c r="F155" s="1"/>
      <c r="G155" s="55"/>
      <c r="H155" s="1">
        <v>0.09</v>
      </c>
      <c r="I155" s="1"/>
      <c r="J155" s="1"/>
      <c r="K155"/>
      <c r="L155" s="34">
        <f>5/1018</f>
        <v>4.911591355599214E-3</v>
      </c>
      <c r="M155" s="29"/>
      <c r="N155" s="1"/>
      <c r="O155" s="1"/>
      <c r="P155" s="43">
        <v>39.285352000000003</v>
      </c>
      <c r="Q155" s="3">
        <v>351759.33796596498</v>
      </c>
      <c r="R155" s="34">
        <f t="shared" si="14"/>
        <v>0.11975850117900158</v>
      </c>
      <c r="S155" t="s">
        <v>646</v>
      </c>
      <c r="T155" t="s">
        <v>648</v>
      </c>
    </row>
    <row r="156" spans="1:20" ht="30" x14ac:dyDescent="0.25">
      <c r="A156" s="29">
        <v>201</v>
      </c>
      <c r="B156" s="2" t="s">
        <v>435</v>
      </c>
      <c r="C156" s="31" t="s">
        <v>363</v>
      </c>
      <c r="D156" s="30" t="s">
        <v>261</v>
      </c>
      <c r="E156" s="1">
        <v>1166.0019077910299</v>
      </c>
      <c r="F156" s="1"/>
      <c r="G156" s="55"/>
      <c r="H156" s="1">
        <v>6.32</v>
      </c>
      <c r="I156" s="1"/>
      <c r="J156" s="1"/>
      <c r="K156"/>
      <c r="L156" s="34">
        <f>10/3000</f>
        <v>3.3333333333333335E-3</v>
      </c>
      <c r="M156" s="29"/>
      <c r="N156" s="1"/>
      <c r="O156" s="1"/>
      <c r="P156" s="43">
        <v>222.48879299999999</v>
      </c>
      <c r="Q156" s="3">
        <v>10460252.285186</v>
      </c>
      <c r="R156" s="34">
        <f t="shared" si="14"/>
        <v>0.22427605425197725</v>
      </c>
      <c r="S156" t="s">
        <v>646</v>
      </c>
      <c r="T156" t="s">
        <v>648</v>
      </c>
    </row>
    <row r="157" spans="1:20" ht="31.5" x14ac:dyDescent="0.25">
      <c r="A157" s="29">
        <v>209</v>
      </c>
      <c r="B157" s="2" t="s">
        <v>438</v>
      </c>
      <c r="C157" s="31" t="s">
        <v>364</v>
      </c>
      <c r="D157" s="30" t="s">
        <v>261</v>
      </c>
      <c r="E157" s="1">
        <v>596.94906073926199</v>
      </c>
      <c r="F157" s="1"/>
      <c r="G157" s="55"/>
      <c r="H157" s="1">
        <v>2.2400000000000002</v>
      </c>
      <c r="I157" s="1"/>
      <c r="J157" s="1"/>
      <c r="K157"/>
      <c r="L157" s="34">
        <f>10/1683</f>
        <v>5.9417706476530005E-3</v>
      </c>
      <c r="M157" s="29"/>
      <c r="N157" s="1"/>
      <c r="O157" s="1"/>
      <c r="P157" s="43">
        <v>179.24102500000001</v>
      </c>
      <c r="Q157" s="3">
        <v>5326874.5361559298</v>
      </c>
      <c r="R157" s="34">
        <f t="shared" si="14"/>
        <v>0.22308748294030004</v>
      </c>
      <c r="S157" t="s">
        <v>646</v>
      </c>
      <c r="T157" t="s">
        <v>648</v>
      </c>
    </row>
    <row r="158" spans="1:20" ht="30" x14ac:dyDescent="0.25">
      <c r="A158" s="29">
        <v>210</v>
      </c>
      <c r="B158" s="2" t="s">
        <v>439</v>
      </c>
      <c r="C158" s="29" t="s">
        <v>365</v>
      </c>
      <c r="D158" s="30" t="s">
        <v>261</v>
      </c>
      <c r="E158" s="1">
        <v>607.48436033873293</v>
      </c>
      <c r="F158" s="1"/>
      <c r="G158" s="55"/>
      <c r="H158" s="1">
        <v>0.8</v>
      </c>
      <c r="I158" s="1"/>
      <c r="J158" s="1"/>
      <c r="K158"/>
      <c r="L158" s="34">
        <f>10/2559</f>
        <v>3.9077764751856191E-3</v>
      </c>
      <c r="M158" s="29"/>
      <c r="N158" s="1"/>
      <c r="O158" s="1"/>
      <c r="P158" s="43">
        <v>155.62742399999999</v>
      </c>
      <c r="Q158" s="3">
        <v>3786869.4506549202</v>
      </c>
      <c r="R158" s="34">
        <f t="shared" si="14"/>
        <v>0.15584226104781382</v>
      </c>
      <c r="S158" t="s">
        <v>646</v>
      </c>
      <c r="T158" t="s">
        <v>648</v>
      </c>
    </row>
    <row r="159" spans="1:20" ht="30" x14ac:dyDescent="0.25">
      <c r="A159" s="29">
        <v>227</v>
      </c>
      <c r="B159" s="2" t="s">
        <v>444</v>
      </c>
      <c r="C159" s="1" t="s">
        <v>573</v>
      </c>
      <c r="D159" s="30" t="s">
        <v>261</v>
      </c>
      <c r="E159" s="1">
        <v>55.167605024521002</v>
      </c>
      <c r="F159" s="1"/>
      <c r="G159" s="55"/>
      <c r="H159" s="1">
        <v>0.12</v>
      </c>
      <c r="I159" s="1"/>
      <c r="J159" s="1"/>
      <c r="K159"/>
      <c r="L159" s="34">
        <f>20/1377</f>
        <v>1.4524328249818447E-2</v>
      </c>
      <c r="M159" s="29"/>
      <c r="N159" s="1"/>
      <c r="O159" s="1"/>
      <c r="P159" s="43">
        <v>71.921025999999998</v>
      </c>
      <c r="Q159" s="3">
        <v>282658.30504441197</v>
      </c>
      <c r="R159" s="34">
        <f t="shared" si="14"/>
        <v>0.12809070872243569</v>
      </c>
      <c r="S159" t="s">
        <v>646</v>
      </c>
      <c r="T159" t="s">
        <v>648</v>
      </c>
    </row>
    <row r="160" spans="1:20" ht="31.5" x14ac:dyDescent="0.25">
      <c r="A160" s="29">
        <v>238</v>
      </c>
      <c r="B160" s="2" t="s">
        <v>445</v>
      </c>
      <c r="C160" s="31" t="s">
        <v>367</v>
      </c>
      <c r="D160" s="30" t="s">
        <v>261</v>
      </c>
      <c r="E160" s="1">
        <v>77.897771089553999</v>
      </c>
      <c r="F160" s="1"/>
      <c r="G160" s="55"/>
      <c r="H160" s="1">
        <v>0.4</v>
      </c>
      <c r="I160" s="1"/>
      <c r="J160" s="1"/>
      <c r="K160"/>
      <c r="L160" s="34">
        <f>20/2400</f>
        <v>8.3333333333333332E-3</v>
      </c>
      <c r="M160" s="29"/>
      <c r="N160" s="1"/>
      <c r="O160" s="1"/>
      <c r="P160" s="43">
        <v>88.584515999999994</v>
      </c>
      <c r="Q160" s="3">
        <v>404654.05780303403</v>
      </c>
      <c r="R160" s="34">
        <f t="shared" si="14"/>
        <v>0.12986702062945729</v>
      </c>
      <c r="S160" t="s">
        <v>646</v>
      </c>
      <c r="T160" t="s">
        <v>648</v>
      </c>
    </row>
    <row r="161" spans="1:22" ht="31.5" x14ac:dyDescent="0.25">
      <c r="A161" s="29">
        <v>239</v>
      </c>
      <c r="B161" s="2" t="s">
        <v>446</v>
      </c>
      <c r="C161" s="31" t="s">
        <v>368</v>
      </c>
      <c r="D161" s="30" t="s">
        <v>261</v>
      </c>
      <c r="E161" s="1">
        <v>51.784469357249996</v>
      </c>
      <c r="F161" s="1"/>
      <c r="G161" s="55"/>
      <c r="H161" s="1">
        <v>0.3</v>
      </c>
      <c r="I161" s="1"/>
      <c r="J161" s="1"/>
      <c r="K161"/>
      <c r="L161" s="34">
        <f>20/2400</f>
        <v>8.3333333333333332E-3</v>
      </c>
      <c r="M161" s="29"/>
      <c r="N161" s="1"/>
      <c r="O161" s="1"/>
      <c r="P161" s="43">
        <v>110.73337600000001</v>
      </c>
      <c r="Q161" s="3">
        <v>259865.92389368999</v>
      </c>
      <c r="R161" s="34">
        <f t="shared" si="14"/>
        <v>0.12545553093386477</v>
      </c>
      <c r="S161" t="s">
        <v>646</v>
      </c>
      <c r="T161" t="s">
        <v>648</v>
      </c>
    </row>
    <row r="162" spans="1:22" ht="30" x14ac:dyDescent="0.25">
      <c r="A162" s="29">
        <v>246</v>
      </c>
      <c r="B162" s="2" t="s">
        <v>449</v>
      </c>
      <c r="C162" s="1" t="s">
        <v>573</v>
      </c>
      <c r="D162" s="30" t="s">
        <v>261</v>
      </c>
      <c r="E162" s="1">
        <v>88.521623664633012</v>
      </c>
      <c r="F162" s="1"/>
      <c r="G162" s="55"/>
      <c r="H162" s="1">
        <v>0.08</v>
      </c>
      <c r="I162" s="1"/>
      <c r="J162" s="1"/>
      <c r="K162"/>
      <c r="L162" s="34">
        <f>10/696</f>
        <v>1.4367816091954023E-2</v>
      </c>
      <c r="M162" s="29"/>
      <c r="N162" s="1"/>
      <c r="O162" s="1"/>
      <c r="P162" s="43">
        <v>81.089218000000002</v>
      </c>
      <c r="Q162" s="3">
        <v>393076.922345459</v>
      </c>
      <c r="R162" s="34">
        <f t="shared" si="14"/>
        <v>0.1110115545989767</v>
      </c>
      <c r="S162" t="s">
        <v>646</v>
      </c>
      <c r="T162" t="s">
        <v>648</v>
      </c>
    </row>
    <row r="163" spans="1:22" ht="30" x14ac:dyDescent="0.25">
      <c r="A163" s="29">
        <v>249</v>
      </c>
      <c r="B163" s="2" t="s">
        <v>452</v>
      </c>
      <c r="C163" s="29" t="s">
        <v>371</v>
      </c>
      <c r="D163" s="30" t="s">
        <v>261</v>
      </c>
      <c r="E163" s="1">
        <v>70.770910685574989</v>
      </c>
      <c r="F163" s="1"/>
      <c r="G163" s="55"/>
      <c r="H163" s="1">
        <v>0.08</v>
      </c>
      <c r="I163" s="1"/>
      <c r="J163" s="1"/>
      <c r="K163"/>
      <c r="L163" s="34">
        <f>10/1243</f>
        <v>8.0450522928399038E-3</v>
      </c>
      <c r="M163" s="29"/>
      <c r="N163" s="1"/>
      <c r="O163" s="1"/>
      <c r="P163" s="43">
        <v>30.496582</v>
      </c>
      <c r="Q163" s="3">
        <v>275977.70451605303</v>
      </c>
      <c r="R163" s="34">
        <f t="shared" si="14"/>
        <v>9.748980966988767E-2</v>
      </c>
      <c r="S163" t="s">
        <v>646</v>
      </c>
      <c r="T163" t="s">
        <v>648</v>
      </c>
    </row>
    <row r="164" spans="1:22" ht="30" x14ac:dyDescent="0.25">
      <c r="A164" s="29">
        <v>261</v>
      </c>
      <c r="B164" s="2" t="s">
        <v>456</v>
      </c>
      <c r="C164" s="29" t="s">
        <v>372</v>
      </c>
      <c r="D164" s="30" t="s">
        <v>261</v>
      </c>
      <c r="E164" s="1">
        <v>178.433987292105</v>
      </c>
      <c r="G164" s="55"/>
      <c r="H164" s="1">
        <v>1.19</v>
      </c>
      <c r="I164" s="1"/>
      <c r="J164" s="1"/>
      <c r="K164"/>
      <c r="L164" s="34">
        <f>10/3853</f>
        <v>2.5953802232026994E-3</v>
      </c>
      <c r="M164" s="29"/>
      <c r="N164" s="1"/>
      <c r="O164" s="1"/>
      <c r="P164" s="43">
        <v>95.443675999999996</v>
      </c>
      <c r="Q164" s="3">
        <v>996492.02073481597</v>
      </c>
      <c r="R164" s="34">
        <f t="shared" si="14"/>
        <v>0.13961634157503733</v>
      </c>
      <c r="S164" t="s">
        <v>646</v>
      </c>
      <c r="T164" t="s">
        <v>648</v>
      </c>
    </row>
    <row r="165" spans="1:22" ht="30" x14ac:dyDescent="0.25">
      <c r="A165" s="29">
        <v>271</v>
      </c>
      <c r="B165" s="2" t="s">
        <v>459</v>
      </c>
      <c r="C165" s="1" t="s">
        <v>573</v>
      </c>
      <c r="D165" s="30" t="s">
        <v>261</v>
      </c>
      <c r="E165" s="1">
        <v>53.506101256987996</v>
      </c>
      <c r="G165" s="55"/>
      <c r="H165" s="1">
        <v>0.09</v>
      </c>
      <c r="I165" s="1"/>
      <c r="J165" s="1"/>
      <c r="K165"/>
      <c r="L165" s="34">
        <f>10/2524</f>
        <v>3.9619651347068147E-3</v>
      </c>
      <c r="M165" s="29"/>
      <c r="N165" s="1"/>
      <c r="O165" s="1"/>
      <c r="P165" s="43">
        <v>76.380883999999995</v>
      </c>
      <c r="Q165" s="3">
        <v>319783.49816703697</v>
      </c>
      <c r="R165" s="34">
        <f t="shared" si="14"/>
        <v>0.14941450164305919</v>
      </c>
      <c r="S165" t="s">
        <v>646</v>
      </c>
      <c r="T165" t="s">
        <v>648</v>
      </c>
    </row>
    <row r="166" spans="1:22" ht="30" x14ac:dyDescent="0.25">
      <c r="A166" s="29">
        <v>288</v>
      </c>
      <c r="B166" s="2" t="s">
        <v>463</v>
      </c>
      <c r="C166" s="1" t="s">
        <v>573</v>
      </c>
      <c r="D166" s="30" t="s">
        <v>261</v>
      </c>
      <c r="E166" s="1">
        <v>50.733628315242996</v>
      </c>
      <c r="F166" s="1"/>
      <c r="G166" s="55"/>
      <c r="H166" s="1">
        <v>0.09</v>
      </c>
      <c r="I166" s="1"/>
      <c r="J166" s="1"/>
      <c r="K166"/>
      <c r="L166" s="34">
        <f>10/10175</f>
        <v>9.8280098280098278E-4</v>
      </c>
      <c r="M166" s="29"/>
      <c r="N166" s="1"/>
      <c r="O166" s="1"/>
      <c r="P166" s="43">
        <v>45.281148999999999</v>
      </c>
      <c r="Q166" s="3">
        <v>355308.10125732399</v>
      </c>
      <c r="R166" s="34">
        <f t="shared" si="14"/>
        <v>0.17508510284812959</v>
      </c>
      <c r="S166" t="s">
        <v>646</v>
      </c>
      <c r="T166" t="s">
        <v>648</v>
      </c>
    </row>
    <row r="167" spans="1:22" ht="30" x14ac:dyDescent="0.25">
      <c r="A167" s="29">
        <v>356</v>
      </c>
      <c r="B167" s="2" t="s">
        <v>480</v>
      </c>
      <c r="C167" s="29" t="s">
        <v>391</v>
      </c>
      <c r="D167" s="30" t="s">
        <v>261</v>
      </c>
      <c r="E167" s="1">
        <v>1230.8228448376701</v>
      </c>
      <c r="F167" s="1"/>
      <c r="G167" s="55"/>
      <c r="H167" s="1">
        <v>2.65</v>
      </c>
      <c r="I167" s="1"/>
      <c r="J167" s="1"/>
      <c r="K167"/>
      <c r="L167" s="34">
        <v>3.6818851251840942E-3</v>
      </c>
      <c r="M167" s="29"/>
      <c r="N167" s="1"/>
      <c r="O167" s="1"/>
      <c r="P167" s="43">
        <v>246.75898599999999</v>
      </c>
      <c r="Q167" s="3">
        <v>9943582.5045947395</v>
      </c>
      <c r="R167" s="34">
        <f t="shared" si="14"/>
        <v>0.20197022151279154</v>
      </c>
      <c r="S167" t="s">
        <v>646</v>
      </c>
      <c r="T167" t="s">
        <v>647</v>
      </c>
    </row>
    <row r="168" spans="1:22" ht="30" x14ac:dyDescent="0.25">
      <c r="A168" s="29">
        <v>357</v>
      </c>
      <c r="B168" s="2" t="s">
        <v>481</v>
      </c>
      <c r="C168" s="1" t="s">
        <v>573</v>
      </c>
      <c r="D168" s="30" t="s">
        <v>261</v>
      </c>
      <c r="E168" s="1">
        <v>65.084459695416996</v>
      </c>
      <c r="F168" s="1"/>
      <c r="G168" s="55"/>
      <c r="H168" s="1">
        <v>7.0000000000000007E-2</v>
      </c>
      <c r="I168" s="1"/>
      <c r="J168" s="1"/>
      <c r="K168"/>
      <c r="L168" s="34">
        <v>4.0000000000000001E-3</v>
      </c>
      <c r="M168" s="29"/>
      <c r="N168" s="1"/>
      <c r="O168" s="1"/>
      <c r="P168" s="43">
        <v>108.543091</v>
      </c>
      <c r="Q168" s="3">
        <v>357822.41821312899</v>
      </c>
      <c r="R168" s="34">
        <f t="shared" si="14"/>
        <v>0.1374454131937449</v>
      </c>
      <c r="S168" t="s">
        <v>646</v>
      </c>
      <c r="T168" t="s">
        <v>647</v>
      </c>
    </row>
    <row r="169" spans="1:22" ht="30" x14ac:dyDescent="0.25">
      <c r="A169" s="29">
        <v>360</v>
      </c>
      <c r="B169" s="2" t="s">
        <v>482</v>
      </c>
      <c r="C169" s="29" t="s">
        <v>392</v>
      </c>
      <c r="D169" s="30" t="s">
        <v>261</v>
      </c>
      <c r="E169" s="1">
        <v>857.43382500168207</v>
      </c>
      <c r="F169" s="1"/>
      <c r="G169" s="55"/>
      <c r="H169" s="1">
        <v>1.83</v>
      </c>
      <c r="I169" s="1"/>
      <c r="J169" s="1"/>
      <c r="K169"/>
      <c r="L169" s="34">
        <f>20/2666</f>
        <v>7.5018754688672166E-3</v>
      </c>
      <c r="M169" s="29"/>
      <c r="N169" s="1"/>
      <c r="O169" s="1"/>
      <c r="P169" s="43">
        <v>238.86350300000001</v>
      </c>
      <c r="Q169" s="3">
        <v>6943459.6348051401</v>
      </c>
      <c r="R169" s="34">
        <f t="shared" si="14"/>
        <v>0.20244884888905332</v>
      </c>
      <c r="S169" t="s">
        <v>646</v>
      </c>
      <c r="T169" t="s">
        <v>647</v>
      </c>
    </row>
    <row r="170" spans="1:22" ht="30" x14ac:dyDescent="0.25">
      <c r="A170" s="29" t="s">
        <v>399</v>
      </c>
      <c r="B170" s="2" t="s">
        <v>413</v>
      </c>
      <c r="C170" s="29" t="s">
        <v>398</v>
      </c>
      <c r="D170" s="30" t="s">
        <v>261</v>
      </c>
      <c r="E170" s="1">
        <v>1399.86048749263</v>
      </c>
      <c r="F170" s="1">
        <v>101.65371822757602</v>
      </c>
      <c r="G170" s="6">
        <f>100*F170/E170</f>
        <v>7.2617035151591285</v>
      </c>
      <c r="H170" s="1">
        <v>22.3</v>
      </c>
      <c r="I170" s="1"/>
      <c r="J170" s="1"/>
      <c r="K170"/>
      <c r="L170" s="34">
        <f>5/836</f>
        <v>5.9808612440191387E-3</v>
      </c>
      <c r="M170" s="29"/>
      <c r="N170" s="1"/>
      <c r="O170" s="1"/>
      <c r="P170" s="43">
        <v>301.03063500000002</v>
      </c>
      <c r="Q170" s="3">
        <v>17149428.217026699</v>
      </c>
      <c r="R170" s="34">
        <f t="shared" si="14"/>
        <v>0.30627030997467503</v>
      </c>
      <c r="S170" t="s">
        <v>646</v>
      </c>
      <c r="T170" t="s">
        <v>648</v>
      </c>
    </row>
    <row r="171" spans="1:22" ht="30" x14ac:dyDescent="0.25">
      <c r="A171" s="1">
        <v>216</v>
      </c>
      <c r="B171" s="57" t="s">
        <v>80</v>
      </c>
      <c r="C171" s="1" t="s">
        <v>10</v>
      </c>
      <c r="D171" s="4" t="s">
        <v>36</v>
      </c>
      <c r="E171" s="43">
        <v>111.80800000000001</v>
      </c>
      <c r="F171" s="43"/>
      <c r="G171" s="55"/>
      <c r="H171" s="1">
        <v>1.6</v>
      </c>
      <c r="I171" s="1"/>
      <c r="J171" s="1"/>
      <c r="L171" s="34">
        <f>10/668</f>
        <v>1.4970059880239521E-2</v>
      </c>
      <c r="M171" s="43">
        <v>52.001125000000002</v>
      </c>
      <c r="N171" s="55">
        <v>2009089.3812589999</v>
      </c>
      <c r="O171" s="6">
        <f t="shared" ref="O171:O202" si="15">(25*N171)/(1000000*E171)</f>
        <v>0.44922755555483507</v>
      </c>
      <c r="P171" s="60">
        <v>43.258324000000002</v>
      </c>
      <c r="Q171" s="3">
        <v>937559.38971543103</v>
      </c>
      <c r="R171" s="56">
        <f t="shared" ref="R171:R218" si="16">(25*Q171)/(1000000*E171)</f>
        <v>0.20963602553382385</v>
      </c>
      <c r="S171" t="s">
        <v>636</v>
      </c>
      <c r="T171" s="54" t="s">
        <v>647</v>
      </c>
    </row>
    <row r="172" spans="1:22" ht="30" x14ac:dyDescent="0.25">
      <c r="A172" s="1">
        <v>139</v>
      </c>
      <c r="B172" s="2" t="s">
        <v>603</v>
      </c>
      <c r="C172" s="1" t="s">
        <v>572</v>
      </c>
      <c r="D172" s="4" t="s">
        <v>36</v>
      </c>
      <c r="E172" s="43">
        <v>31.405398999999999</v>
      </c>
      <c r="F172" s="69">
        <v>6.8129020000000002</v>
      </c>
      <c r="G172" s="55">
        <f>100*F172/E172</f>
        <v>21.693410104421854</v>
      </c>
      <c r="H172" s="1">
        <v>0.14000000000000001</v>
      </c>
      <c r="I172" s="1"/>
      <c r="J172" s="1"/>
      <c r="L172" s="34">
        <f>10/814</f>
        <v>1.2285012285012284E-2</v>
      </c>
      <c r="M172" s="43">
        <v>119.53255</v>
      </c>
      <c r="N172" s="55">
        <v>9764086.2403069995</v>
      </c>
      <c r="O172" s="6">
        <f t="shared" si="15"/>
        <v>7.7726175683255923</v>
      </c>
      <c r="P172" s="60">
        <v>123.67586</v>
      </c>
      <c r="Q172" s="3">
        <v>429634.87893272802</v>
      </c>
      <c r="R172" s="56">
        <f t="shared" si="16"/>
        <v>0.34200718078182035</v>
      </c>
      <c r="S172" s="64" t="s">
        <v>637</v>
      </c>
      <c r="T172" s="54" t="s">
        <v>647</v>
      </c>
      <c r="V172" s="52"/>
    </row>
    <row r="173" spans="1:22" ht="30" x14ac:dyDescent="0.25">
      <c r="A173" s="1">
        <v>140</v>
      </c>
      <c r="B173" s="2" t="s">
        <v>604</v>
      </c>
      <c r="C173" s="1" t="s">
        <v>22</v>
      </c>
      <c r="D173" s="4" t="s">
        <v>36</v>
      </c>
      <c r="E173" s="43">
        <v>130.97999999999999</v>
      </c>
      <c r="F173" s="58">
        <v>29.434186</v>
      </c>
      <c r="G173" s="55">
        <f>100*F173/E173</f>
        <v>22.472275156512445</v>
      </c>
      <c r="H173" s="1">
        <v>0.84</v>
      </c>
      <c r="I173" s="1"/>
      <c r="J173" s="1"/>
      <c r="L173" s="34">
        <f>10/661</f>
        <v>1.5128593040847202E-2</v>
      </c>
      <c r="M173" s="43">
        <v>114.84713000000001</v>
      </c>
      <c r="N173" s="55">
        <v>14282526.758192999</v>
      </c>
      <c r="O173" s="6">
        <f t="shared" si="15"/>
        <v>2.7260892422875633</v>
      </c>
      <c r="P173" s="60">
        <v>124.39761</v>
      </c>
      <c r="Q173" s="3">
        <v>1369309.13016978</v>
      </c>
      <c r="R173" s="56">
        <f t="shared" si="16"/>
        <v>0.26135843834359829</v>
      </c>
      <c r="S173" s="64" t="s">
        <v>637</v>
      </c>
      <c r="T173" s="54" t="s">
        <v>647</v>
      </c>
      <c r="V173" s="52"/>
    </row>
    <row r="174" spans="1:22" ht="30" x14ac:dyDescent="0.25">
      <c r="A174" s="1">
        <v>143</v>
      </c>
      <c r="B174" s="2" t="s">
        <v>607</v>
      </c>
      <c r="C174" s="1" t="s">
        <v>25</v>
      </c>
      <c r="D174" s="4" t="s">
        <v>36</v>
      </c>
      <c r="E174" s="43">
        <v>82.345100000000002</v>
      </c>
      <c r="F174" s="43"/>
      <c r="G174" s="55"/>
      <c r="H174" s="1">
        <v>0.19</v>
      </c>
      <c r="I174" s="1"/>
      <c r="J174" s="1"/>
      <c r="L174" s="34">
        <f>10/664</f>
        <v>1.5060240963855422E-2</v>
      </c>
      <c r="M174" s="43">
        <v>141.38327000000001</v>
      </c>
      <c r="N174" s="55">
        <v>12765328.293553</v>
      </c>
      <c r="O174" s="6">
        <f t="shared" si="15"/>
        <v>3.8755579547395653</v>
      </c>
      <c r="P174" s="60">
        <v>138.66721999999999</v>
      </c>
      <c r="Q174" s="3">
        <v>733518.38342985499</v>
      </c>
      <c r="R174" s="56">
        <f t="shared" si="16"/>
        <v>0.22269642742247411</v>
      </c>
      <c r="S174" s="64" t="s">
        <v>637</v>
      </c>
      <c r="T174" s="54" t="s">
        <v>647</v>
      </c>
      <c r="V174" s="52"/>
    </row>
    <row r="175" spans="1:22" ht="30" x14ac:dyDescent="0.25">
      <c r="A175" s="1">
        <v>144</v>
      </c>
      <c r="B175" s="2" t="s">
        <v>608</v>
      </c>
      <c r="C175" s="1" t="s">
        <v>573</v>
      </c>
      <c r="D175" s="4" t="s">
        <v>36</v>
      </c>
      <c r="E175" s="43">
        <v>18.285999</v>
      </c>
      <c r="F175" s="43"/>
      <c r="G175" s="55"/>
      <c r="H175" s="1">
        <v>0.04</v>
      </c>
      <c r="I175" s="1"/>
      <c r="J175" s="1"/>
      <c r="L175" s="34">
        <f>10/653</f>
        <v>1.5313935681470138E-2</v>
      </c>
      <c r="M175" s="43">
        <v>44.854571999999997</v>
      </c>
      <c r="N175" s="55">
        <v>1690532.8482290001</v>
      </c>
      <c r="O175" s="6">
        <f t="shared" si="15"/>
        <v>2.3112393917184946</v>
      </c>
      <c r="P175" s="60">
        <v>34.693053999999997</v>
      </c>
      <c r="Q175" s="3">
        <v>144798.76883564901</v>
      </c>
      <c r="R175" s="56">
        <f t="shared" si="16"/>
        <v>0.19796398440638793</v>
      </c>
      <c r="S175" s="64" t="s">
        <v>637</v>
      </c>
      <c r="T175" s="54" t="s">
        <v>647</v>
      </c>
      <c r="V175" s="52"/>
    </row>
    <row r="176" spans="1:22" ht="30" x14ac:dyDescent="0.25">
      <c r="A176" s="1">
        <v>148</v>
      </c>
      <c r="B176" s="2" t="s">
        <v>609</v>
      </c>
      <c r="C176" s="1" t="s">
        <v>26</v>
      </c>
      <c r="D176" s="4" t="s">
        <v>36</v>
      </c>
      <c r="E176" s="43">
        <v>103.55500000000001</v>
      </c>
      <c r="F176" s="43"/>
      <c r="G176" s="55"/>
      <c r="H176" s="1">
        <v>0.34</v>
      </c>
      <c r="I176" s="1"/>
      <c r="J176" s="1"/>
      <c r="L176" s="34">
        <f>10/994</f>
        <v>1.0060362173038229E-2</v>
      </c>
      <c r="M176" s="43">
        <v>134.02527000000001</v>
      </c>
      <c r="N176" s="55">
        <v>12186596.171192</v>
      </c>
      <c r="O176" s="6">
        <f t="shared" si="15"/>
        <v>2.9420588506571388</v>
      </c>
      <c r="P176" s="60">
        <v>139.75513000000001</v>
      </c>
      <c r="Q176" s="3">
        <v>941742.74814952398</v>
      </c>
      <c r="R176" s="56">
        <f t="shared" si="16"/>
        <v>0.22735327800432717</v>
      </c>
      <c r="S176" s="64" t="s">
        <v>637</v>
      </c>
      <c r="T176" s="54" t="s">
        <v>647</v>
      </c>
      <c r="V176" s="52"/>
    </row>
    <row r="177" spans="1:185" ht="30" x14ac:dyDescent="0.25">
      <c r="A177" s="1">
        <v>149</v>
      </c>
      <c r="B177" s="2" t="s">
        <v>610</v>
      </c>
      <c r="C177" s="1" t="s">
        <v>26</v>
      </c>
      <c r="D177" s="4" t="s">
        <v>36</v>
      </c>
      <c r="E177" s="43">
        <v>34.577300999999999</v>
      </c>
      <c r="F177" s="43"/>
      <c r="G177" s="55"/>
      <c r="H177" s="1">
        <v>0.1</v>
      </c>
      <c r="I177" s="1"/>
      <c r="J177" s="1"/>
      <c r="L177" s="34">
        <f>10/1281</f>
        <v>7.8064012490241998E-3</v>
      </c>
      <c r="M177" s="43">
        <v>57.199635000000001</v>
      </c>
      <c r="N177" s="55">
        <v>6629098.5966189997</v>
      </c>
      <c r="O177" s="6">
        <f t="shared" si="15"/>
        <v>4.7929554974656634</v>
      </c>
      <c r="P177" s="60">
        <v>47.363384000000003</v>
      </c>
      <c r="Q177" s="3">
        <v>214334.55837993501</v>
      </c>
      <c r="R177" s="56">
        <f t="shared" si="16"/>
        <v>0.1549676754555937</v>
      </c>
      <c r="S177" s="64" t="s">
        <v>637</v>
      </c>
      <c r="T177" s="54" t="s">
        <v>647</v>
      </c>
      <c r="V177" s="52"/>
    </row>
    <row r="178" spans="1:185" ht="30" x14ac:dyDescent="0.25">
      <c r="A178" s="1">
        <v>150</v>
      </c>
      <c r="B178" s="2" t="s">
        <v>611</v>
      </c>
      <c r="C178" s="1" t="s">
        <v>573</v>
      </c>
      <c r="D178" s="4" t="s">
        <v>36</v>
      </c>
      <c r="E178" s="43">
        <v>30.5396</v>
      </c>
      <c r="F178" s="43"/>
      <c r="G178" s="55"/>
      <c r="H178" s="1">
        <v>0.08</v>
      </c>
      <c r="I178" s="1"/>
      <c r="J178" s="1"/>
      <c r="L178" s="34">
        <f>10/799</f>
        <v>1.2515644555694618E-2</v>
      </c>
      <c r="M178" s="43">
        <v>77.568107999999995</v>
      </c>
      <c r="N178" s="55">
        <v>6150037.4180610003</v>
      </c>
      <c r="O178" s="6">
        <f t="shared" si="15"/>
        <v>5.0344777093192121</v>
      </c>
      <c r="P178" s="60">
        <v>73.297721999999993</v>
      </c>
      <c r="Q178" s="3">
        <v>196980.14995478801</v>
      </c>
      <c r="R178" s="56">
        <f t="shared" si="16"/>
        <v>0.16124977893848316</v>
      </c>
      <c r="S178" s="64" t="s">
        <v>637</v>
      </c>
      <c r="T178" s="54" t="s">
        <v>647</v>
      </c>
      <c r="V178" s="52"/>
    </row>
    <row r="179" spans="1:185" ht="30" x14ac:dyDescent="0.25">
      <c r="A179" s="1">
        <v>151</v>
      </c>
      <c r="B179" s="2" t="s">
        <v>612</v>
      </c>
      <c r="C179" s="1" t="s">
        <v>29</v>
      </c>
      <c r="D179" s="4" t="s">
        <v>36</v>
      </c>
      <c r="E179" s="43">
        <v>176.19399999999999</v>
      </c>
      <c r="F179" s="69">
        <v>26.947419</v>
      </c>
      <c r="G179" s="55">
        <f>100*F179/E179</f>
        <v>15.294175170550645</v>
      </c>
      <c r="H179" s="1">
        <v>0.15</v>
      </c>
      <c r="I179" s="1"/>
      <c r="J179" s="1"/>
      <c r="L179" s="34">
        <f>10/985</f>
        <v>1.015228426395939E-2</v>
      </c>
      <c r="M179" s="43">
        <v>219.58363</v>
      </c>
      <c r="N179" s="55">
        <v>13580338.284553999</v>
      </c>
      <c r="O179" s="6">
        <f t="shared" si="15"/>
        <v>1.9269013537001827</v>
      </c>
      <c r="P179" s="60">
        <v>220.89398</v>
      </c>
      <c r="Q179" s="3">
        <v>2023291.24910072</v>
      </c>
      <c r="R179" s="56">
        <f t="shared" si="16"/>
        <v>0.28708288152557976</v>
      </c>
      <c r="S179" s="64" t="s">
        <v>637</v>
      </c>
      <c r="T179" s="54" t="s">
        <v>647</v>
      </c>
      <c r="V179" s="5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</row>
    <row r="180" spans="1:185" ht="30" x14ac:dyDescent="0.25">
      <c r="A180" s="1">
        <v>153</v>
      </c>
      <c r="B180" s="2" t="s">
        <v>614</v>
      </c>
      <c r="C180" s="1" t="s">
        <v>30</v>
      </c>
      <c r="D180" s="4" t="s">
        <v>36</v>
      </c>
      <c r="E180" s="43">
        <v>72.225800000000007</v>
      </c>
      <c r="F180" s="40"/>
      <c r="G180" s="55"/>
      <c r="H180" s="1">
        <v>0.12</v>
      </c>
      <c r="I180" s="1"/>
      <c r="J180" s="1"/>
      <c r="L180" s="34">
        <f>10/408</f>
        <v>2.4509803921568627E-2</v>
      </c>
      <c r="M180" s="43">
        <v>116.80121</v>
      </c>
      <c r="N180" s="55">
        <v>8636924.2373910006</v>
      </c>
      <c r="O180" s="6">
        <f t="shared" si="15"/>
        <v>2.9895564456852681</v>
      </c>
      <c r="P180" s="60">
        <v>129.32964999999999</v>
      </c>
      <c r="Q180" s="3">
        <v>591419.89456346596</v>
      </c>
      <c r="R180" s="56">
        <f t="shared" si="16"/>
        <v>0.20471213007106392</v>
      </c>
      <c r="S180" s="64" t="s">
        <v>637</v>
      </c>
      <c r="T180" s="54" t="s">
        <v>647</v>
      </c>
      <c r="V180" s="52"/>
    </row>
    <row r="181" spans="1:185" ht="30" x14ac:dyDescent="0.25">
      <c r="A181" s="1">
        <v>156</v>
      </c>
      <c r="B181" s="2" t="s">
        <v>617</v>
      </c>
      <c r="C181" s="1" t="s">
        <v>34</v>
      </c>
      <c r="D181" s="4" t="s">
        <v>36</v>
      </c>
      <c r="E181" s="43">
        <v>79.601500999999999</v>
      </c>
      <c r="F181" s="40"/>
      <c r="G181" s="55"/>
      <c r="H181" s="1">
        <v>7.0000000000000007E-2</v>
      </c>
      <c r="I181" s="1"/>
      <c r="J181" s="1"/>
      <c r="L181" s="34">
        <f>10/453</f>
        <v>2.2075055187637971E-2</v>
      </c>
      <c r="M181" s="43">
        <v>213.83886999999999</v>
      </c>
      <c r="N181" s="55">
        <v>11044496.011628</v>
      </c>
      <c r="O181" s="6">
        <f t="shared" si="15"/>
        <v>3.4686833391583911</v>
      </c>
      <c r="P181" s="60">
        <v>200.24701999999999</v>
      </c>
      <c r="Q181" s="3">
        <v>828503.97677446704</v>
      </c>
      <c r="R181" s="56">
        <f t="shared" si="16"/>
        <v>0.2602036288155129</v>
      </c>
      <c r="S181" s="64" t="s">
        <v>637</v>
      </c>
      <c r="T181" s="54" t="s">
        <v>647</v>
      </c>
      <c r="V181" s="52"/>
    </row>
    <row r="182" spans="1:185" ht="30" x14ac:dyDescent="0.25">
      <c r="A182" s="1">
        <v>157</v>
      </c>
      <c r="B182" s="2" t="s">
        <v>618</v>
      </c>
      <c r="C182" s="1" t="s">
        <v>35</v>
      </c>
      <c r="D182" s="4" t="s">
        <v>36</v>
      </c>
      <c r="E182" s="43">
        <v>40.282001000000001</v>
      </c>
      <c r="F182" s="40"/>
      <c r="G182" s="55"/>
      <c r="H182" s="1">
        <v>0.08</v>
      </c>
      <c r="I182" s="1"/>
      <c r="J182" s="1"/>
      <c r="L182" s="34">
        <f>10/346</f>
        <v>2.8901734104046242E-2</v>
      </c>
      <c r="M182" s="43">
        <v>152.83198999999999</v>
      </c>
      <c r="N182" s="55">
        <v>9750618.288989</v>
      </c>
      <c r="O182" s="6">
        <f t="shared" si="15"/>
        <v>6.0514733919182664</v>
      </c>
      <c r="P182" s="60">
        <v>161.78917999999999</v>
      </c>
      <c r="Q182" s="3">
        <v>336516.33664222201</v>
      </c>
      <c r="R182" s="56">
        <f t="shared" si="16"/>
        <v>0.20885031049116828</v>
      </c>
      <c r="S182" s="64" t="s">
        <v>637</v>
      </c>
      <c r="T182" s="54" t="s">
        <v>647</v>
      </c>
      <c r="V182" s="52"/>
    </row>
    <row r="183" spans="1:185" ht="30" x14ac:dyDescent="0.25">
      <c r="A183" s="1">
        <v>158</v>
      </c>
      <c r="B183" s="2" t="s">
        <v>619</v>
      </c>
      <c r="C183" s="1" t="s">
        <v>573</v>
      </c>
      <c r="D183" s="4" t="s">
        <v>36</v>
      </c>
      <c r="E183" s="43">
        <v>30.988199000000002</v>
      </c>
      <c r="F183" s="40"/>
      <c r="G183" s="55"/>
      <c r="H183" s="1">
        <v>0.2</v>
      </c>
      <c r="I183" s="1"/>
      <c r="J183" s="1"/>
      <c r="L183" s="34">
        <f>10/1056</f>
        <v>9.46969696969697E-3</v>
      </c>
      <c r="M183" s="43">
        <v>108.27364</v>
      </c>
      <c r="N183" s="55">
        <v>7673098.1027279999</v>
      </c>
      <c r="O183" s="6">
        <f t="shared" si="15"/>
        <v>6.1903388631330269</v>
      </c>
      <c r="P183" s="60">
        <v>127.07743000000001</v>
      </c>
      <c r="Q183" s="3">
        <v>241847.93255962999</v>
      </c>
      <c r="R183" s="56">
        <f t="shared" si="16"/>
        <v>0.1951129303768428</v>
      </c>
      <c r="S183" s="64" t="s">
        <v>637</v>
      </c>
      <c r="T183" s="54" t="s">
        <v>647</v>
      </c>
      <c r="V183" s="52"/>
    </row>
    <row r="184" spans="1:185" ht="30" x14ac:dyDescent="0.25">
      <c r="A184" s="1">
        <v>160</v>
      </c>
      <c r="B184" s="2" t="s">
        <v>621</v>
      </c>
      <c r="C184" s="1" t="s">
        <v>38</v>
      </c>
      <c r="D184" s="4" t="s">
        <v>36</v>
      </c>
      <c r="E184" s="43">
        <v>187.55700999999999</v>
      </c>
      <c r="F184" s="69">
        <v>41.475712999999999</v>
      </c>
      <c r="G184" s="55">
        <f>100*F184/E184</f>
        <v>22.113656535684804</v>
      </c>
      <c r="H184" s="1">
        <v>0.96</v>
      </c>
      <c r="I184" s="1"/>
      <c r="J184" s="1"/>
      <c r="L184" s="34">
        <f>10/791</f>
        <v>1.2642225031605562E-2</v>
      </c>
      <c r="M184" s="43">
        <v>227.32525999999999</v>
      </c>
      <c r="N184" s="55">
        <v>14049100.177213</v>
      </c>
      <c r="O184" s="6">
        <f t="shared" si="15"/>
        <v>1.8726439733194991</v>
      </c>
      <c r="P184" s="60">
        <v>208.25101000000001</v>
      </c>
      <c r="Q184" s="3">
        <v>2382494.2334512998</v>
      </c>
      <c r="R184" s="56">
        <f t="shared" si="16"/>
        <v>0.31756933977718294</v>
      </c>
      <c r="S184" s="64" t="s">
        <v>637</v>
      </c>
      <c r="T184" s="54" t="s">
        <v>647</v>
      </c>
      <c r="V184" s="52"/>
    </row>
    <row r="185" spans="1:185" ht="30" x14ac:dyDescent="0.25">
      <c r="A185" s="1">
        <v>161</v>
      </c>
      <c r="B185" s="2" t="s">
        <v>622</v>
      </c>
      <c r="C185" s="1" t="s">
        <v>573</v>
      </c>
      <c r="D185" s="4" t="s">
        <v>36</v>
      </c>
      <c r="E185" s="43">
        <v>7.5934699999999999</v>
      </c>
      <c r="F185" s="43"/>
      <c r="G185" s="55"/>
      <c r="H185" s="1">
        <v>0.2</v>
      </c>
      <c r="I185" s="1"/>
      <c r="J185" s="1"/>
      <c r="L185" s="34">
        <f>10/612</f>
        <v>1.6339869281045753E-2</v>
      </c>
      <c r="M185" s="43">
        <v>28.138324999999998</v>
      </c>
      <c r="N185" s="55">
        <v>2464765.820355</v>
      </c>
      <c r="O185" s="6">
        <f t="shared" si="15"/>
        <v>8.1147545863584103</v>
      </c>
      <c r="P185" s="60">
        <v>43.246268999999998</v>
      </c>
      <c r="Q185" s="3">
        <v>40047.1014835928</v>
      </c>
      <c r="R185" s="56">
        <f t="shared" si="16"/>
        <v>0.13184717093632028</v>
      </c>
      <c r="S185" s="64" t="s">
        <v>637</v>
      </c>
      <c r="T185" s="54" t="s">
        <v>647</v>
      </c>
      <c r="V185" s="52"/>
    </row>
    <row r="186" spans="1:185" ht="30" x14ac:dyDescent="0.25">
      <c r="A186" s="78">
        <v>162</v>
      </c>
      <c r="B186" s="81" t="s">
        <v>623</v>
      </c>
      <c r="C186" s="78" t="s">
        <v>573</v>
      </c>
      <c r="D186" s="82" t="s">
        <v>36</v>
      </c>
      <c r="E186" s="45">
        <v>13.5802</v>
      </c>
      <c r="F186" s="45"/>
      <c r="G186" s="53"/>
      <c r="H186" s="78">
        <v>0.06</v>
      </c>
      <c r="I186" s="78"/>
      <c r="J186" s="78"/>
      <c r="K186" s="85"/>
      <c r="L186" s="86">
        <f>20/351</f>
        <v>5.6980056980056981E-2</v>
      </c>
      <c r="M186" s="45">
        <v>52.713852000000003</v>
      </c>
      <c r="N186" s="53">
        <v>5665900.8001539996</v>
      </c>
      <c r="O186" s="17">
        <f t="shared" si="15"/>
        <v>10.430444323636618</v>
      </c>
      <c r="P186" s="59">
        <v>58.538986000000001</v>
      </c>
      <c r="Q186" s="78">
        <v>97679.297180503199</v>
      </c>
      <c r="R186" s="79">
        <f t="shared" si="16"/>
        <v>0.17981932736723907</v>
      </c>
      <c r="S186" s="64" t="s">
        <v>637</v>
      </c>
      <c r="T186" s="22" t="s">
        <v>649</v>
      </c>
      <c r="V186" s="52"/>
    </row>
    <row r="187" spans="1:185" ht="30" x14ac:dyDescent="0.25">
      <c r="A187" s="1">
        <v>163</v>
      </c>
      <c r="B187" s="8" t="s">
        <v>624</v>
      </c>
      <c r="C187" s="1" t="s">
        <v>39</v>
      </c>
      <c r="D187" s="4" t="s">
        <v>36</v>
      </c>
      <c r="E187" s="43">
        <v>35.880198999999998</v>
      </c>
      <c r="F187" s="84"/>
      <c r="G187" s="53"/>
      <c r="H187" s="1">
        <v>0.25</v>
      </c>
      <c r="I187" s="1"/>
      <c r="J187" s="1"/>
      <c r="K187" s="6"/>
      <c r="L187" s="34">
        <f>20/978</f>
        <v>2.0449897750511249E-2</v>
      </c>
      <c r="M187" s="43">
        <v>131.43183999999999</v>
      </c>
      <c r="N187" s="55">
        <v>7687921.0759709999</v>
      </c>
      <c r="O187" s="6">
        <f t="shared" si="15"/>
        <v>5.3566600034541336</v>
      </c>
      <c r="P187" s="60">
        <v>127.25613</v>
      </c>
      <c r="Q187" s="1">
        <v>299807.13715007098</v>
      </c>
      <c r="R187" s="56">
        <f t="shared" si="16"/>
        <v>0.20889456128021403</v>
      </c>
      <c r="S187" s="64" t="s">
        <v>637</v>
      </c>
      <c r="T187" s="22" t="s">
        <v>649</v>
      </c>
      <c r="V187" s="52"/>
    </row>
    <row r="188" spans="1:185" ht="30" x14ac:dyDescent="0.25">
      <c r="A188" s="1">
        <v>186</v>
      </c>
      <c r="B188" s="2" t="s">
        <v>64</v>
      </c>
      <c r="C188" s="1" t="s">
        <v>66</v>
      </c>
      <c r="D188" s="4" t="s">
        <v>36</v>
      </c>
      <c r="E188" s="43">
        <v>69.924103000000002</v>
      </c>
      <c r="F188" s="43"/>
      <c r="G188" s="53"/>
      <c r="H188" s="1">
        <v>0.41</v>
      </c>
      <c r="I188" s="1"/>
      <c r="J188" s="1"/>
      <c r="K188" s="6"/>
      <c r="L188" s="34">
        <f>20/502</f>
        <v>3.9840637450199202E-2</v>
      </c>
      <c r="M188" s="43">
        <v>167.06111000000001</v>
      </c>
      <c r="N188" s="55">
        <v>11490735.635611</v>
      </c>
      <c r="O188" s="6">
        <f t="shared" si="15"/>
        <v>4.1082885380778498</v>
      </c>
      <c r="P188" s="60">
        <v>148.41295</v>
      </c>
      <c r="Q188" s="1">
        <v>589370.98640079703</v>
      </c>
      <c r="R188" s="56">
        <f t="shared" si="16"/>
        <v>0.21071810760332424</v>
      </c>
      <c r="S188" s="64" t="s">
        <v>637</v>
      </c>
      <c r="T188" t="s">
        <v>647</v>
      </c>
      <c r="V188" s="52"/>
    </row>
    <row r="189" spans="1:185" ht="30" x14ac:dyDescent="0.25">
      <c r="A189" s="1">
        <v>189</v>
      </c>
      <c r="B189" s="2" t="s">
        <v>73</v>
      </c>
      <c r="C189" s="1" t="s">
        <v>69</v>
      </c>
      <c r="D189" s="4" t="s">
        <v>36</v>
      </c>
      <c r="E189" s="43">
        <v>129.345</v>
      </c>
      <c r="F189" s="58">
        <v>6.2295280000000002</v>
      </c>
      <c r="G189" s="53">
        <f>100*F189/E189</f>
        <v>4.8162109088097722</v>
      </c>
      <c r="H189" s="1">
        <v>0.45</v>
      </c>
      <c r="I189" s="1"/>
      <c r="J189" s="1"/>
      <c r="K189" s="6"/>
      <c r="L189" s="34">
        <f>10/681</f>
        <v>1.4684287812041116E-2</v>
      </c>
      <c r="M189" s="43">
        <v>136.45840000000001</v>
      </c>
      <c r="N189" s="55">
        <v>15579153.279291</v>
      </c>
      <c r="O189" s="6">
        <f t="shared" si="15"/>
        <v>3.0111626424080948</v>
      </c>
      <c r="P189" s="60">
        <v>129.07491999999999</v>
      </c>
      <c r="Q189" s="1">
        <v>940479.44320400304</v>
      </c>
      <c r="R189" s="56">
        <f t="shared" si="16"/>
        <v>0.18177730936719683</v>
      </c>
      <c r="S189" s="64" t="s">
        <v>637</v>
      </c>
      <c r="T189" t="s">
        <v>647</v>
      </c>
      <c r="V189" s="52"/>
    </row>
    <row r="190" spans="1:185" ht="30" x14ac:dyDescent="0.25">
      <c r="A190" s="23">
        <v>191</v>
      </c>
      <c r="B190" s="8" t="s">
        <v>74</v>
      </c>
      <c r="C190" s="23" t="s">
        <v>70</v>
      </c>
      <c r="D190" s="24" t="s">
        <v>36</v>
      </c>
      <c r="E190" s="43">
        <v>80.765502999999995</v>
      </c>
      <c r="F190" s="83">
        <v>12.442199</v>
      </c>
      <c r="G190" s="53">
        <f>100*F190/E190</f>
        <v>15.405338341048902</v>
      </c>
      <c r="H190" s="23">
        <v>0.78</v>
      </c>
      <c r="I190" s="23"/>
      <c r="J190" s="23"/>
      <c r="K190" s="25"/>
      <c r="L190" s="36">
        <f>10/579</f>
        <v>1.7271157167530225E-2</v>
      </c>
      <c r="M190" s="43">
        <v>137.02876000000001</v>
      </c>
      <c r="N190" s="55">
        <v>12749216.363918001</v>
      </c>
      <c r="O190" s="6">
        <f t="shared" si="15"/>
        <v>3.9463681554481256</v>
      </c>
      <c r="P190" s="60">
        <v>134.70197999999999</v>
      </c>
      <c r="Q190" s="23">
        <v>658382.404799863</v>
      </c>
      <c r="R190" s="56">
        <f t="shared" si="16"/>
        <v>0.2037944358496297</v>
      </c>
      <c r="S190" s="64" t="s">
        <v>637</v>
      </c>
      <c r="T190" t="s">
        <v>647</v>
      </c>
      <c r="V190" s="52"/>
    </row>
    <row r="191" spans="1:185" ht="30" x14ac:dyDescent="0.25">
      <c r="A191" s="1">
        <v>192</v>
      </c>
      <c r="B191" s="2" t="s">
        <v>75</v>
      </c>
      <c r="C191" s="1" t="s">
        <v>71</v>
      </c>
      <c r="D191" s="4" t="s">
        <v>36</v>
      </c>
      <c r="E191" s="43">
        <v>204.74898999999999</v>
      </c>
      <c r="F191" s="58">
        <v>4.4891019999999999</v>
      </c>
      <c r="G191" s="53">
        <f>100*F191/E191</f>
        <v>2.1924904244948902</v>
      </c>
      <c r="H191" s="1">
        <v>0.39</v>
      </c>
      <c r="I191" s="1"/>
      <c r="J191" s="1"/>
      <c r="K191" s="6"/>
      <c r="L191" s="34">
        <f>10/938</f>
        <v>1.0660980810234541E-2</v>
      </c>
      <c r="M191" s="43">
        <v>83.478172000000001</v>
      </c>
      <c r="N191" s="55">
        <v>11052151.333814999</v>
      </c>
      <c r="O191" s="6">
        <f t="shared" si="15"/>
        <v>1.3494756840821291</v>
      </c>
      <c r="P191" s="60">
        <v>79.252540999999994</v>
      </c>
      <c r="Q191" s="1">
        <v>1733685.50385521</v>
      </c>
      <c r="R191" s="56">
        <f t="shared" si="16"/>
        <v>0.21168425590954196</v>
      </c>
      <c r="S191" s="64" t="s">
        <v>637</v>
      </c>
      <c r="T191" t="s">
        <v>647</v>
      </c>
      <c r="V191" s="52"/>
    </row>
    <row r="192" spans="1:185" ht="30" x14ac:dyDescent="0.25">
      <c r="A192" s="1">
        <v>194</v>
      </c>
      <c r="B192" s="2" t="s">
        <v>75</v>
      </c>
      <c r="C192" s="1" t="s">
        <v>573</v>
      </c>
      <c r="D192" s="4" t="s">
        <v>36</v>
      </c>
      <c r="E192" s="43">
        <v>20.1035</v>
      </c>
      <c r="F192" s="84"/>
      <c r="G192" s="53"/>
      <c r="H192" s="1">
        <v>0.14000000000000001</v>
      </c>
      <c r="I192" s="1"/>
      <c r="J192" s="1"/>
      <c r="K192" s="6"/>
      <c r="L192" s="34">
        <f>10/458</f>
        <v>2.1834061135371178E-2</v>
      </c>
      <c r="M192" s="43">
        <v>24.477360000000001</v>
      </c>
      <c r="N192" s="55">
        <v>930913.02026400005</v>
      </c>
      <c r="O192" s="6">
        <f t="shared" si="15"/>
        <v>1.1576504343323302</v>
      </c>
      <c r="P192" s="60">
        <v>21.199954999999999</v>
      </c>
      <c r="Q192" s="1">
        <v>163129.351997505</v>
      </c>
      <c r="R192" s="56">
        <f t="shared" si="16"/>
        <v>0.20286187976907627</v>
      </c>
      <c r="S192" s="64" t="s">
        <v>637</v>
      </c>
      <c r="T192" t="s">
        <v>647</v>
      </c>
      <c r="V192" s="52"/>
    </row>
    <row r="193" spans="1:185" ht="30" x14ac:dyDescent="0.25">
      <c r="A193" s="1">
        <v>195</v>
      </c>
      <c r="B193" s="2" t="s">
        <v>75</v>
      </c>
      <c r="C193" s="1" t="s">
        <v>573</v>
      </c>
      <c r="D193" s="4" t="s">
        <v>36</v>
      </c>
      <c r="E193" s="43">
        <v>16.783701000000001</v>
      </c>
      <c r="F193" s="43"/>
      <c r="G193" s="53"/>
      <c r="H193" s="1">
        <v>0.8</v>
      </c>
      <c r="I193" s="1"/>
      <c r="J193" s="1"/>
      <c r="K193" s="6"/>
      <c r="L193" s="34">
        <f>10/506</f>
        <v>1.9762845849802372E-2</v>
      </c>
      <c r="M193" s="43">
        <v>24.186754000000001</v>
      </c>
      <c r="N193" s="55">
        <v>906600.03844599996</v>
      </c>
      <c r="O193" s="6">
        <f t="shared" si="15"/>
        <v>1.3504173460400657</v>
      </c>
      <c r="P193" s="60">
        <v>25.741747</v>
      </c>
      <c r="Q193" s="1">
        <v>105049.59119005001</v>
      </c>
      <c r="R193" s="56">
        <f t="shared" si="16"/>
        <v>0.15647560569335989</v>
      </c>
      <c r="S193" s="64" t="s">
        <v>637</v>
      </c>
      <c r="T193" t="s">
        <v>647</v>
      </c>
      <c r="V193" s="52"/>
    </row>
    <row r="194" spans="1:185" ht="30" x14ac:dyDescent="0.25">
      <c r="A194" s="1">
        <v>197</v>
      </c>
      <c r="B194" s="2" t="s">
        <v>96</v>
      </c>
      <c r="C194" s="1" t="s">
        <v>573</v>
      </c>
      <c r="D194" s="4" t="s">
        <v>36</v>
      </c>
      <c r="E194" s="43">
        <v>11.481299999999999</v>
      </c>
      <c r="F194" s="20"/>
      <c r="G194" s="14"/>
      <c r="H194" s="1">
        <v>0.09</v>
      </c>
      <c r="I194" s="1"/>
      <c r="J194" s="1"/>
      <c r="K194" s="6"/>
      <c r="L194" s="34">
        <f>5/2482</f>
        <v>2.01450443190975E-3</v>
      </c>
      <c r="M194" s="43">
        <v>23.479548000000001</v>
      </c>
      <c r="N194" s="55">
        <v>100028.531103</v>
      </c>
      <c r="O194" s="6">
        <f t="shared" si="15"/>
        <v>0.21780750242350608</v>
      </c>
      <c r="P194" s="60">
        <v>16.330750999999999</v>
      </c>
      <c r="Q194" s="1">
        <v>40253.3143941323</v>
      </c>
      <c r="R194" s="56">
        <f t="shared" si="16"/>
        <v>8.764973128942781E-2</v>
      </c>
      <c r="S194" s="64" t="s">
        <v>639</v>
      </c>
      <c r="T194" s="20" t="s">
        <v>649</v>
      </c>
      <c r="U194" s="20"/>
      <c r="V194" s="62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</row>
    <row r="195" spans="1:185" ht="30" x14ac:dyDescent="0.25">
      <c r="A195" s="1">
        <v>198</v>
      </c>
      <c r="B195" s="2" t="s">
        <v>97</v>
      </c>
      <c r="C195" s="1" t="s">
        <v>580</v>
      </c>
      <c r="D195" s="4" t="s">
        <v>36</v>
      </c>
      <c r="E195" s="43">
        <v>11.2538</v>
      </c>
      <c r="F195" s="1"/>
      <c r="G195" s="14"/>
      <c r="H195" s="1">
        <v>0.27</v>
      </c>
      <c r="I195" s="1"/>
      <c r="J195" s="1"/>
      <c r="K195" s="6"/>
      <c r="L195" s="34">
        <f>5/2200</f>
        <v>2.2727272727272726E-3</v>
      </c>
      <c r="M195" s="43">
        <v>21.102709000000001</v>
      </c>
      <c r="N195" s="55">
        <v>85886.750706999999</v>
      </c>
      <c r="O195" s="6">
        <f t="shared" si="15"/>
        <v>0.19079499970454422</v>
      </c>
      <c r="P195" s="60">
        <v>15.894334000000001</v>
      </c>
      <c r="Q195" s="1">
        <v>43830.978505898303</v>
      </c>
      <c r="R195" s="56">
        <f t="shared" si="16"/>
        <v>9.7369285276747194E-2</v>
      </c>
      <c r="S195" s="64" t="s">
        <v>639</v>
      </c>
      <c r="T195" s="20" t="s">
        <v>649</v>
      </c>
      <c r="U195" s="20"/>
      <c r="V195" s="62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</row>
    <row r="196" spans="1:185" ht="30" x14ac:dyDescent="0.25">
      <c r="A196" s="1">
        <v>200</v>
      </c>
      <c r="B196" s="2" t="s">
        <v>99</v>
      </c>
      <c r="C196" s="1" t="s">
        <v>573</v>
      </c>
      <c r="D196" s="4" t="s">
        <v>36</v>
      </c>
      <c r="E196" s="43">
        <v>10.3919</v>
      </c>
      <c r="F196" s="20"/>
      <c r="G196" s="14"/>
      <c r="H196" s="1">
        <v>0.09</v>
      </c>
      <c r="I196" s="1"/>
      <c r="J196" s="1"/>
      <c r="K196" s="6"/>
      <c r="L196" s="34">
        <f>5/376</f>
        <v>1.3297872340425532E-2</v>
      </c>
      <c r="M196" s="43">
        <v>16.706365999999999</v>
      </c>
      <c r="N196" s="55">
        <v>97436.020334000001</v>
      </c>
      <c r="O196" s="6">
        <f t="shared" si="15"/>
        <v>0.23440376719849113</v>
      </c>
      <c r="P196" s="60">
        <v>11.745145000000001</v>
      </c>
      <c r="Q196" s="1">
        <v>15233.1037000497</v>
      </c>
      <c r="R196" s="56">
        <f t="shared" si="16"/>
        <v>3.6646579788223756E-2</v>
      </c>
      <c r="S196" s="64" t="s">
        <v>639</v>
      </c>
      <c r="T196" s="20" t="s">
        <v>649</v>
      </c>
      <c r="U196" s="20"/>
      <c r="V196" s="62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</row>
    <row r="197" spans="1:185" ht="30" x14ac:dyDescent="0.25">
      <c r="A197" s="1">
        <v>219</v>
      </c>
      <c r="B197" s="2" t="s">
        <v>106</v>
      </c>
      <c r="C197" s="1" t="s">
        <v>105</v>
      </c>
      <c r="D197" s="4" t="s">
        <v>36</v>
      </c>
      <c r="E197" s="43">
        <v>152.56100000000001</v>
      </c>
      <c r="F197" s="58">
        <v>1.60294</v>
      </c>
      <c r="G197" s="53">
        <f>100*F197/E197</f>
        <v>1.0506879215526905</v>
      </c>
      <c r="H197" s="1">
        <v>0.31</v>
      </c>
      <c r="I197" s="1"/>
      <c r="J197" s="1"/>
      <c r="K197" s="6"/>
      <c r="L197" s="34">
        <f>10/1048</f>
        <v>9.5419847328244278E-3</v>
      </c>
      <c r="M197" s="43">
        <v>76.934218999999999</v>
      </c>
      <c r="N197" s="55">
        <v>9094598.4073460009</v>
      </c>
      <c r="O197" s="6">
        <f t="shared" si="15"/>
        <v>1.4903216430388502</v>
      </c>
      <c r="P197" s="60">
        <v>80.496764999999996</v>
      </c>
      <c r="Q197" s="1">
        <v>1205274.65696612</v>
      </c>
      <c r="R197" s="56">
        <f t="shared" si="16"/>
        <v>0.19750700653609377</v>
      </c>
      <c r="S197" s="64" t="s">
        <v>640</v>
      </c>
      <c r="T197" s="61" t="s">
        <v>647</v>
      </c>
      <c r="U197" s="20"/>
      <c r="V197" s="52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</row>
    <row r="198" spans="1:185" ht="30" x14ac:dyDescent="0.25">
      <c r="A198" s="1">
        <v>220</v>
      </c>
      <c r="B198" s="2" t="s">
        <v>107</v>
      </c>
      <c r="C198" s="1" t="s">
        <v>110</v>
      </c>
      <c r="D198" s="4" t="s">
        <v>36</v>
      </c>
      <c r="E198" s="43">
        <v>69.948798999999994</v>
      </c>
      <c r="F198" s="43"/>
      <c r="G198" s="53"/>
      <c r="H198" s="1">
        <v>0.22</v>
      </c>
      <c r="I198" s="1"/>
      <c r="J198" s="1"/>
      <c r="K198" s="6"/>
      <c r="L198" s="34">
        <f>10/648</f>
        <v>1.5432098765432098E-2</v>
      </c>
      <c r="M198" s="43">
        <v>63.424934</v>
      </c>
      <c r="N198" s="55">
        <v>7544005.522349</v>
      </c>
      <c r="O198" s="6">
        <f t="shared" si="15"/>
        <v>2.6962598465589811</v>
      </c>
      <c r="P198" s="60">
        <v>66.833977000000004</v>
      </c>
      <c r="Q198" s="1">
        <v>508996.82438917598</v>
      </c>
      <c r="R198" s="56">
        <f t="shared" si="16"/>
        <v>0.18191764249918571</v>
      </c>
      <c r="S198" s="64" t="s">
        <v>640</v>
      </c>
      <c r="T198" s="61" t="s">
        <v>647</v>
      </c>
      <c r="U198" s="20"/>
      <c r="V198" s="52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</row>
    <row r="199" spans="1:185" ht="30" x14ac:dyDescent="0.25">
      <c r="A199" s="1">
        <v>221</v>
      </c>
      <c r="B199" s="2" t="s">
        <v>108</v>
      </c>
      <c r="C199" s="1" t="s">
        <v>111</v>
      </c>
      <c r="D199" s="4" t="s">
        <v>36</v>
      </c>
      <c r="E199" s="43">
        <v>75.109397999999999</v>
      </c>
      <c r="F199" s="43"/>
      <c r="G199" s="53"/>
      <c r="H199" s="1">
        <v>0.26</v>
      </c>
      <c r="I199" s="1"/>
      <c r="J199" s="1"/>
      <c r="K199" s="6"/>
      <c r="L199" s="34">
        <f>10/623</f>
        <v>1.6051364365971106E-2</v>
      </c>
      <c r="M199" s="43">
        <v>114.62958999999999</v>
      </c>
      <c r="N199" s="55">
        <v>7531888.6016819999</v>
      </c>
      <c r="O199" s="6">
        <f t="shared" si="15"/>
        <v>2.5069727631427696</v>
      </c>
      <c r="P199" s="60">
        <v>115.35550000000001</v>
      </c>
      <c r="Q199" s="1">
        <v>550990.56701072503</v>
      </c>
      <c r="R199" s="56">
        <f t="shared" si="16"/>
        <v>0.18339601357566634</v>
      </c>
      <c r="S199" s="64" t="s">
        <v>640</v>
      </c>
      <c r="T199" s="61" t="s">
        <v>647</v>
      </c>
      <c r="U199" s="20"/>
      <c r="V199" s="52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</row>
    <row r="200" spans="1:185" ht="30" x14ac:dyDescent="0.25">
      <c r="A200" s="1">
        <v>222</v>
      </c>
      <c r="B200" s="2" t="s">
        <v>109</v>
      </c>
      <c r="C200" s="1" t="s">
        <v>112</v>
      </c>
      <c r="D200" s="4" t="s">
        <v>36</v>
      </c>
      <c r="E200" s="43">
        <v>80.857299999999995</v>
      </c>
      <c r="F200" s="43"/>
      <c r="G200" s="53"/>
      <c r="H200" s="1">
        <v>0.37</v>
      </c>
      <c r="I200" s="1"/>
      <c r="J200" s="1"/>
      <c r="K200" s="6"/>
      <c r="L200" s="34">
        <f>10/447</f>
        <v>2.2371364653243849E-2</v>
      </c>
      <c r="M200" s="43">
        <v>88.945983999999996</v>
      </c>
      <c r="N200" s="55">
        <v>7521528.6892999997</v>
      </c>
      <c r="O200" s="6">
        <f t="shared" si="15"/>
        <v>2.3255564708752332</v>
      </c>
      <c r="P200" s="60">
        <v>87.992241000000007</v>
      </c>
      <c r="Q200" s="1">
        <v>659186.67880045704</v>
      </c>
      <c r="R200" s="56">
        <f t="shared" si="16"/>
        <v>0.20381173957096546</v>
      </c>
      <c r="S200" s="64" t="s">
        <v>640</v>
      </c>
      <c r="T200" s="61" t="s">
        <v>647</v>
      </c>
      <c r="U200" s="20"/>
      <c r="V200" s="52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</row>
    <row r="201" spans="1:185" ht="30" x14ac:dyDescent="0.25">
      <c r="A201" s="1">
        <v>226</v>
      </c>
      <c r="B201" s="2" t="s">
        <v>117</v>
      </c>
      <c r="C201" s="1" t="s">
        <v>118</v>
      </c>
      <c r="D201" s="4" t="s">
        <v>36</v>
      </c>
      <c r="E201" s="43">
        <v>58.781101</v>
      </c>
      <c r="F201" s="58">
        <v>12.680527999999999</v>
      </c>
      <c r="G201" s="53">
        <f>100*F201/E201</f>
        <v>21.572457446824618</v>
      </c>
      <c r="H201" s="1">
        <v>0.35</v>
      </c>
      <c r="I201" s="1"/>
      <c r="J201" s="1"/>
      <c r="K201" s="6"/>
      <c r="L201" s="34">
        <f>10/1520</f>
        <v>6.5789473684210523E-3</v>
      </c>
      <c r="M201" s="43">
        <v>137.56640999999999</v>
      </c>
      <c r="N201" s="55">
        <v>9706049.019514</v>
      </c>
      <c r="O201" s="6">
        <f t="shared" si="15"/>
        <v>4.1280483243729993</v>
      </c>
      <c r="P201" s="60">
        <v>135.14265</v>
      </c>
      <c r="Q201" s="1">
        <v>456357.12552425399</v>
      </c>
      <c r="R201" s="56">
        <f t="shared" si="16"/>
        <v>0.19409177344443326</v>
      </c>
      <c r="S201" s="64" t="s">
        <v>640</v>
      </c>
      <c r="T201" s="61" t="s">
        <v>647</v>
      </c>
      <c r="U201" s="20"/>
      <c r="V201" s="52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</row>
    <row r="202" spans="1:185" ht="30" x14ac:dyDescent="0.25">
      <c r="A202" s="1">
        <v>227</v>
      </c>
      <c r="B202" s="2" t="s">
        <v>119</v>
      </c>
      <c r="C202" s="1" t="s">
        <v>583</v>
      </c>
      <c r="D202" s="4" t="s">
        <v>36</v>
      </c>
      <c r="E202" s="43">
        <v>121.402</v>
      </c>
      <c r="F202" s="83">
        <v>65.312167999999986</v>
      </c>
      <c r="G202" s="53">
        <f>100*F202/E202</f>
        <v>53.798263620039194</v>
      </c>
      <c r="H202" s="1">
        <v>0.18</v>
      </c>
      <c r="I202" s="1"/>
      <c r="J202" s="1"/>
      <c r="K202" s="6"/>
      <c r="L202" s="34">
        <f>10/1515</f>
        <v>6.6006600660066007E-3</v>
      </c>
      <c r="M202" s="43">
        <v>274.79068000000001</v>
      </c>
      <c r="N202" s="55">
        <v>10127008.675401</v>
      </c>
      <c r="O202" s="6">
        <f t="shared" si="15"/>
        <v>2.0854287152190656</v>
      </c>
      <c r="P202" s="60">
        <v>293.66000000000003</v>
      </c>
      <c r="Q202" s="1">
        <v>1842652.1169958599</v>
      </c>
      <c r="R202" s="56">
        <f t="shared" si="16"/>
        <v>0.37945258665340353</v>
      </c>
      <c r="S202" s="64" t="s">
        <v>640</v>
      </c>
      <c r="T202" s="61" t="s">
        <v>647</v>
      </c>
      <c r="U202" s="20"/>
      <c r="V202" s="52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</row>
    <row r="203" spans="1:185" ht="30" x14ac:dyDescent="0.25">
      <c r="A203" s="23">
        <v>228</v>
      </c>
      <c r="B203" s="8" t="s">
        <v>120</v>
      </c>
      <c r="C203" s="23" t="s">
        <v>584</v>
      </c>
      <c r="D203" s="24" t="s">
        <v>36</v>
      </c>
      <c r="E203" s="43">
        <v>83.185897999999995</v>
      </c>
      <c r="F203" s="58">
        <v>57.285577000000004</v>
      </c>
      <c r="G203" s="53">
        <f>100*F203/E203</f>
        <v>68.864529177770024</v>
      </c>
      <c r="H203" s="23">
        <v>0.36</v>
      </c>
      <c r="I203" s="23"/>
      <c r="J203" s="23"/>
      <c r="K203" s="25"/>
      <c r="L203" s="36">
        <f>10/283</f>
        <v>3.5335689045936397E-2</v>
      </c>
      <c r="M203" s="43">
        <v>366.37112000000002</v>
      </c>
      <c r="N203" s="55">
        <v>11940073.095326999</v>
      </c>
      <c r="O203" s="6">
        <f t="shared" ref="O203:O222" si="17">(25*N203)/(1000000*E203)</f>
        <v>3.5883705599135922</v>
      </c>
      <c r="P203" s="60">
        <v>376.22185999999999</v>
      </c>
      <c r="Q203" s="23">
        <v>1562416.5359788199</v>
      </c>
      <c r="R203" s="56">
        <f t="shared" si="16"/>
        <v>0.46955571002515956</v>
      </c>
      <c r="S203" s="64" t="s">
        <v>640</v>
      </c>
      <c r="T203" s="61" t="s">
        <v>647</v>
      </c>
      <c r="U203" s="20"/>
      <c r="V203" s="52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</row>
    <row r="204" spans="1:185" ht="30" x14ac:dyDescent="0.25">
      <c r="A204" s="1">
        <v>5</v>
      </c>
      <c r="B204" s="2" t="s">
        <v>271</v>
      </c>
      <c r="C204" s="1" t="s">
        <v>529</v>
      </c>
      <c r="D204" s="30">
        <v>4</v>
      </c>
      <c r="E204" s="51">
        <v>684.05100000000004</v>
      </c>
      <c r="F204" s="1"/>
      <c r="G204" s="14"/>
      <c r="H204" s="1">
        <v>0.99</v>
      </c>
      <c r="I204" s="1"/>
      <c r="J204" s="1"/>
      <c r="K204" s="6"/>
      <c r="L204" s="34">
        <f>9/15282</f>
        <v>5.8892815076560655E-4</v>
      </c>
      <c r="M204" s="1">
        <v>93.030731000000003</v>
      </c>
      <c r="N204" s="42">
        <v>6268312.518982999</v>
      </c>
      <c r="O204" s="1">
        <f t="shared" si="17"/>
        <v>0.22908790861291772</v>
      </c>
      <c r="P204" s="51">
        <v>80.997230999999999</v>
      </c>
      <c r="Q204" s="1">
        <v>9799347.3658251297</v>
      </c>
      <c r="R204" s="51">
        <f t="shared" si="16"/>
        <v>0.35813657774877639</v>
      </c>
      <c r="S204" s="20" t="s">
        <v>641</v>
      </c>
      <c r="T204" s="65" t="s">
        <v>650</v>
      </c>
      <c r="U204" s="52"/>
      <c r="V204" s="52"/>
    </row>
    <row r="205" spans="1:185" ht="30" x14ac:dyDescent="0.25">
      <c r="A205" s="1">
        <v>7</v>
      </c>
      <c r="B205" s="2" t="s">
        <v>273</v>
      </c>
      <c r="C205" s="1" t="s">
        <v>530</v>
      </c>
      <c r="D205" s="30">
        <v>4</v>
      </c>
      <c r="E205" s="51">
        <v>81.498999999999995</v>
      </c>
      <c r="F205" s="1"/>
      <c r="G205" s="14"/>
      <c r="H205" s="1">
        <v>0.16</v>
      </c>
      <c r="I205" s="1"/>
      <c r="J205" s="1"/>
      <c r="K205" s="6"/>
      <c r="L205" s="34">
        <f>9/15282</f>
        <v>5.8892815076560655E-4</v>
      </c>
      <c r="M205" s="1">
        <v>85.838065999999998</v>
      </c>
      <c r="N205" s="42">
        <v>5312676.8238019999</v>
      </c>
      <c r="O205" s="28">
        <f t="shared" si="17"/>
        <v>1.6296754634418826</v>
      </c>
      <c r="P205" s="51">
        <v>82.166770999999997</v>
      </c>
      <c r="Q205" s="1">
        <v>897523.1</v>
      </c>
      <c r="R205" s="51">
        <f t="shared" si="16"/>
        <v>0.27531721248113472</v>
      </c>
      <c r="S205" s="20" t="s">
        <v>641</v>
      </c>
      <c r="T205" s="65" t="s">
        <v>650</v>
      </c>
      <c r="U205" s="52"/>
      <c r="V205" s="52"/>
    </row>
    <row r="206" spans="1:185" ht="30" x14ac:dyDescent="0.25">
      <c r="A206" s="1">
        <v>8</v>
      </c>
      <c r="B206" s="2" t="s">
        <v>274</v>
      </c>
      <c r="C206" s="1" t="s">
        <v>531</v>
      </c>
      <c r="D206" s="30">
        <v>4</v>
      </c>
      <c r="E206" s="51">
        <v>237.886</v>
      </c>
      <c r="F206" s="1"/>
      <c r="G206" s="14"/>
      <c r="H206" s="1">
        <v>0.1</v>
      </c>
      <c r="I206" s="1"/>
      <c r="J206" s="1"/>
      <c r="K206" s="6"/>
      <c r="L206" s="34">
        <f>9/15282</f>
        <v>5.8892815076560655E-4</v>
      </c>
      <c r="M206" s="1">
        <v>72.132728999999998</v>
      </c>
      <c r="N206" s="42">
        <v>6085135.2926519997</v>
      </c>
      <c r="O206" s="28">
        <f t="shared" si="17"/>
        <v>0.63950119938247729</v>
      </c>
      <c r="P206" s="51">
        <v>63.036762000000003</v>
      </c>
      <c r="Q206" s="1">
        <v>1968526.6801493401</v>
      </c>
      <c r="R206" s="51">
        <f t="shared" si="16"/>
        <v>0.20687710501556839</v>
      </c>
      <c r="S206" s="20" t="s">
        <v>641</v>
      </c>
      <c r="T206" s="65" t="s">
        <v>650</v>
      </c>
      <c r="U206" s="52"/>
      <c r="V206" s="52"/>
    </row>
    <row r="207" spans="1:185" ht="30" x14ac:dyDescent="0.25">
      <c r="A207" s="1">
        <v>9</v>
      </c>
      <c r="B207" s="2" t="s">
        <v>275</v>
      </c>
      <c r="C207" s="1" t="s">
        <v>318</v>
      </c>
      <c r="D207" s="30">
        <v>4</v>
      </c>
      <c r="E207" s="51">
        <v>1191.24</v>
      </c>
      <c r="F207" s="1"/>
      <c r="G207" s="14"/>
      <c r="H207" s="1">
        <v>15.3</v>
      </c>
      <c r="I207" s="1"/>
      <c r="J207" s="1"/>
      <c r="K207" s="6"/>
      <c r="L207" s="34">
        <f>9/15282</f>
        <v>5.8892815076560655E-4</v>
      </c>
      <c r="M207" s="1">
        <v>35.230549000000003</v>
      </c>
      <c r="N207" s="42">
        <v>4806329.434746</v>
      </c>
      <c r="O207" s="1">
        <f t="shared" si="17"/>
        <v>0.10086820109184548</v>
      </c>
      <c r="P207" s="51">
        <v>34.478855000000003</v>
      </c>
      <c r="Q207" s="1">
        <v>9312035.4174086601</v>
      </c>
      <c r="R207" s="51">
        <f t="shared" si="16"/>
        <v>0.19542735757296303</v>
      </c>
      <c r="S207" s="20" t="s">
        <v>641</v>
      </c>
      <c r="T207" t="s">
        <v>649</v>
      </c>
    </row>
    <row r="208" spans="1:185" ht="30" x14ac:dyDescent="0.25">
      <c r="A208" s="1">
        <v>10</v>
      </c>
      <c r="B208" s="2" t="s">
        <v>276</v>
      </c>
      <c r="C208" s="1" t="s">
        <v>532</v>
      </c>
      <c r="D208" s="30">
        <v>4</v>
      </c>
      <c r="E208" s="51">
        <v>31.244800000000001</v>
      </c>
      <c r="F208" s="1"/>
      <c r="G208" s="14"/>
      <c r="H208" s="1">
        <v>0.7</v>
      </c>
      <c r="I208" s="1"/>
      <c r="J208" s="1"/>
      <c r="K208" s="6"/>
      <c r="L208" s="34">
        <f>9/15282</f>
        <v>5.8892815076560655E-4</v>
      </c>
      <c r="M208" s="1">
        <v>63.252738999999998</v>
      </c>
      <c r="N208" s="42">
        <v>4864984.9600760005</v>
      </c>
      <c r="O208" s="1">
        <f t="shared" si="17"/>
        <v>3.8926357026417202</v>
      </c>
      <c r="P208" s="51">
        <v>59.569515000000003</v>
      </c>
      <c r="Q208" s="1">
        <v>207027.89658716199</v>
      </c>
      <c r="R208" s="51">
        <f t="shared" si="16"/>
        <v>0.1656498814099962</v>
      </c>
      <c r="S208" s="20" t="s">
        <v>641</v>
      </c>
      <c r="T208" t="s">
        <v>649</v>
      </c>
    </row>
    <row r="209" spans="1:20" ht="30" x14ac:dyDescent="0.25">
      <c r="A209" s="1">
        <v>11</v>
      </c>
      <c r="B209" s="2" t="s">
        <v>277</v>
      </c>
      <c r="C209" s="1" t="s">
        <v>533</v>
      </c>
      <c r="D209" s="30">
        <v>4</v>
      </c>
      <c r="E209" s="51">
        <v>172.4</v>
      </c>
      <c r="F209" s="1"/>
      <c r="G209" s="14"/>
      <c r="H209" s="28">
        <v>0.11</v>
      </c>
      <c r="I209" s="1"/>
      <c r="J209" s="1"/>
      <c r="K209" s="6"/>
      <c r="L209" s="34">
        <v>1E-3</v>
      </c>
      <c r="M209" s="1">
        <v>85.171417000000005</v>
      </c>
      <c r="N209" s="42">
        <v>5031623.8023669999</v>
      </c>
      <c r="O209" s="1">
        <f t="shared" si="17"/>
        <v>0.72964382284904294</v>
      </c>
      <c r="P209" s="51">
        <v>80.412621000000001</v>
      </c>
      <c r="Q209" s="1">
        <v>1255612.8305307201</v>
      </c>
      <c r="R209" s="51">
        <f t="shared" si="16"/>
        <v>0.18207842670109051</v>
      </c>
      <c r="S209" s="20" t="s">
        <v>641</v>
      </c>
      <c r="T209" t="s">
        <v>649</v>
      </c>
    </row>
    <row r="210" spans="1:20" ht="30" x14ac:dyDescent="0.25">
      <c r="A210" s="1">
        <v>12</v>
      </c>
      <c r="B210" s="2" t="s">
        <v>278</v>
      </c>
      <c r="C210" s="1" t="s">
        <v>534</v>
      </c>
      <c r="D210" s="30">
        <v>4</v>
      </c>
      <c r="E210" s="51">
        <v>133.25200000000001</v>
      </c>
      <c r="F210" s="1"/>
      <c r="G210" s="14"/>
      <c r="H210" s="28">
        <v>0.2</v>
      </c>
      <c r="I210" s="1"/>
      <c r="J210" s="1"/>
      <c r="K210" s="6"/>
      <c r="L210" s="34">
        <v>1E-3</v>
      </c>
      <c r="M210" s="1">
        <v>83.002471999999997</v>
      </c>
      <c r="N210" s="42">
        <v>5231334.3231610004</v>
      </c>
      <c r="O210" s="1">
        <f t="shared" si="17"/>
        <v>0.98147388466233154</v>
      </c>
      <c r="P210" s="51">
        <v>74.069205999999994</v>
      </c>
      <c r="Q210" s="1">
        <v>1016084.53526601</v>
      </c>
      <c r="R210" s="51">
        <f t="shared" si="16"/>
        <v>0.1906321359653157</v>
      </c>
      <c r="S210" s="20" t="s">
        <v>641</v>
      </c>
      <c r="T210" t="s">
        <v>649</v>
      </c>
    </row>
    <row r="211" spans="1:20" ht="30" x14ac:dyDescent="0.25">
      <c r="A211" s="1">
        <v>13</v>
      </c>
      <c r="B211" s="2" t="s">
        <v>279</v>
      </c>
      <c r="C211" s="1" t="s">
        <v>316</v>
      </c>
      <c r="D211" s="30">
        <v>4</v>
      </c>
      <c r="E211" s="51">
        <v>450.52499999999998</v>
      </c>
      <c r="F211" s="1"/>
      <c r="G211" s="14"/>
      <c r="H211" s="28">
        <v>10</v>
      </c>
      <c r="I211" s="1"/>
      <c r="J211" s="1"/>
      <c r="K211" s="6"/>
      <c r="L211" s="34">
        <v>1E-3</v>
      </c>
      <c r="M211" s="1">
        <v>60.574131000000001</v>
      </c>
      <c r="N211" s="42">
        <v>4915779.3707420006</v>
      </c>
      <c r="O211" s="1">
        <f t="shared" si="17"/>
        <v>0.272780609885245</v>
      </c>
      <c r="P211" s="51">
        <v>53.479922999999999</v>
      </c>
      <c r="Q211" s="1">
        <v>3417720.73624632</v>
      </c>
      <c r="R211" s="51">
        <f t="shared" si="16"/>
        <v>0.18965211343689695</v>
      </c>
      <c r="S211" s="20" t="s">
        <v>641</v>
      </c>
      <c r="T211" t="s">
        <v>649</v>
      </c>
    </row>
    <row r="212" spans="1:20" ht="30" x14ac:dyDescent="0.25">
      <c r="A212" s="1">
        <v>15</v>
      </c>
      <c r="B212" s="2" t="s">
        <v>281</v>
      </c>
      <c r="C212" s="1" t="s">
        <v>536</v>
      </c>
      <c r="D212" s="30">
        <v>4</v>
      </c>
      <c r="E212" s="51">
        <v>210.04900000000001</v>
      </c>
      <c r="F212" s="1"/>
      <c r="G212" s="14"/>
      <c r="H212" s="28">
        <v>1.65</v>
      </c>
      <c r="I212" s="1"/>
      <c r="J212" s="1"/>
      <c r="K212" s="6"/>
      <c r="L212" s="34">
        <v>1E-3</v>
      </c>
      <c r="M212" s="1">
        <v>82.064284999999998</v>
      </c>
      <c r="N212" s="42">
        <v>7102372.3065360002</v>
      </c>
      <c r="O212" s="1">
        <f t="shared" si="17"/>
        <v>0.84532327058638701</v>
      </c>
      <c r="P212" s="51">
        <v>79.984024000000005</v>
      </c>
      <c r="Q212" s="1">
        <v>1632533.95346157</v>
      </c>
      <c r="R212" s="51">
        <f t="shared" si="16"/>
        <v>0.1943039425873927</v>
      </c>
      <c r="S212" s="20" t="s">
        <v>641</v>
      </c>
      <c r="T212" t="s">
        <v>649</v>
      </c>
    </row>
    <row r="213" spans="1:20" ht="30" x14ac:dyDescent="0.25">
      <c r="A213" s="1">
        <v>17</v>
      </c>
      <c r="B213" s="2" t="s">
        <v>282</v>
      </c>
      <c r="C213" s="1" t="s">
        <v>537</v>
      </c>
      <c r="D213" s="30">
        <v>4</v>
      </c>
      <c r="E213" s="51">
        <v>113.854</v>
      </c>
      <c r="F213" s="1"/>
      <c r="G213" s="14"/>
      <c r="H213" s="28">
        <v>0.15</v>
      </c>
      <c r="I213" s="1"/>
      <c r="J213" s="1"/>
      <c r="K213" s="6"/>
      <c r="L213" s="34">
        <v>1E-3</v>
      </c>
      <c r="M213" s="1">
        <v>56.547916000000001</v>
      </c>
      <c r="N213" s="42">
        <v>9740902.2504999992</v>
      </c>
      <c r="O213" s="1">
        <f t="shared" si="17"/>
        <v>2.138902069865793</v>
      </c>
      <c r="P213" s="51">
        <v>52.216121999999999</v>
      </c>
      <c r="Q213" s="1">
        <v>825425.78505198297</v>
      </c>
      <c r="R213" s="51">
        <f t="shared" si="16"/>
        <v>0.18124654932017825</v>
      </c>
      <c r="S213" s="20" t="s">
        <v>641</v>
      </c>
      <c r="T213" t="s">
        <v>649</v>
      </c>
    </row>
    <row r="214" spans="1:20" ht="30" x14ac:dyDescent="0.25">
      <c r="A214" s="1">
        <v>18</v>
      </c>
      <c r="B214" s="2" t="s">
        <v>101</v>
      </c>
      <c r="C214" s="1" t="s">
        <v>234</v>
      </c>
      <c r="D214" s="30">
        <v>4</v>
      </c>
      <c r="E214" s="51">
        <v>489.16399999999999</v>
      </c>
      <c r="F214" s="1"/>
      <c r="G214" s="14"/>
      <c r="H214" s="28">
        <v>1.35</v>
      </c>
      <c r="I214" s="1"/>
      <c r="J214" s="1"/>
      <c r="K214" s="6"/>
      <c r="L214" s="34">
        <v>1E-3</v>
      </c>
      <c r="M214" s="1">
        <v>92.506775000000005</v>
      </c>
      <c r="N214" s="42">
        <v>6027239.2202369999</v>
      </c>
      <c r="O214" s="1">
        <f t="shared" si="17"/>
        <v>0.30803775524348687</v>
      </c>
      <c r="P214" s="51">
        <v>87.012092999999993</v>
      </c>
      <c r="Q214" s="1">
        <v>3565931.1884055901</v>
      </c>
      <c r="R214" s="51">
        <f t="shared" si="16"/>
        <v>0.1822461990460045</v>
      </c>
      <c r="S214" s="20" t="s">
        <v>641</v>
      </c>
      <c r="T214" t="s">
        <v>649</v>
      </c>
    </row>
    <row r="215" spans="1:20" ht="30" x14ac:dyDescent="0.25">
      <c r="A215" s="1">
        <v>19</v>
      </c>
      <c r="B215" s="2" t="s">
        <v>283</v>
      </c>
      <c r="C215" s="1" t="s">
        <v>538</v>
      </c>
      <c r="D215" s="30">
        <v>4</v>
      </c>
      <c r="E215" s="51">
        <v>382.54</v>
      </c>
      <c r="F215" s="1"/>
      <c r="G215" s="14"/>
      <c r="H215" s="28">
        <v>0.31</v>
      </c>
      <c r="I215" s="1"/>
      <c r="J215" s="1"/>
      <c r="K215" s="6"/>
      <c r="L215" s="34">
        <v>1E-3</v>
      </c>
      <c r="M215" s="1">
        <v>78.979156000000003</v>
      </c>
      <c r="N215" s="42">
        <v>7906298.7477739993</v>
      </c>
      <c r="O215" s="1">
        <f t="shared" si="17"/>
        <v>0.51669751841467548</v>
      </c>
      <c r="P215" s="51">
        <v>75.017066999999997</v>
      </c>
      <c r="Q215" s="1">
        <v>2645773.1253566202</v>
      </c>
      <c r="R215" s="51">
        <f t="shared" si="16"/>
        <v>0.17290826615233834</v>
      </c>
      <c r="S215" s="20" t="s">
        <v>641</v>
      </c>
      <c r="T215" t="s">
        <v>649</v>
      </c>
    </row>
    <row r="216" spans="1:20" ht="30" x14ac:dyDescent="0.25">
      <c r="A216" s="1">
        <v>21</v>
      </c>
      <c r="B216" s="2" t="s">
        <v>285</v>
      </c>
      <c r="C216" s="1" t="s">
        <v>540</v>
      </c>
      <c r="D216" s="30">
        <v>4</v>
      </c>
      <c r="E216" s="51">
        <v>143.90600000000001</v>
      </c>
      <c r="F216" s="1"/>
      <c r="G216" s="14"/>
      <c r="H216" s="1">
        <v>0.36</v>
      </c>
      <c r="I216" s="1"/>
      <c r="J216" s="1"/>
      <c r="K216" s="6"/>
      <c r="L216" s="34">
        <v>1E-3</v>
      </c>
      <c r="M216" s="1">
        <v>26.021045999999998</v>
      </c>
      <c r="N216" s="42">
        <v>5877745.0694949999</v>
      </c>
      <c r="O216" s="1">
        <f t="shared" si="17"/>
        <v>1.0211084092211236</v>
      </c>
      <c r="P216" s="51">
        <v>16.847584000000001</v>
      </c>
      <c r="Q216" s="1">
        <v>707883.11416502995</v>
      </c>
      <c r="R216" s="51">
        <f t="shared" si="16"/>
        <v>0.12297665041155859</v>
      </c>
      <c r="S216" s="20" t="s">
        <v>641</v>
      </c>
      <c r="T216" t="s">
        <v>649</v>
      </c>
    </row>
    <row r="217" spans="1:20" ht="30" x14ac:dyDescent="0.25">
      <c r="A217" s="1">
        <v>22</v>
      </c>
      <c r="B217" s="2" t="s">
        <v>286</v>
      </c>
      <c r="C217" s="1" t="s">
        <v>541</v>
      </c>
      <c r="D217" s="30">
        <v>4</v>
      </c>
      <c r="E217" s="51">
        <v>90.827500000000001</v>
      </c>
      <c r="F217" s="1"/>
      <c r="G217" s="14"/>
      <c r="H217" s="1">
        <v>0.4</v>
      </c>
      <c r="I217" s="1"/>
      <c r="J217" s="1"/>
      <c r="K217" s="6"/>
      <c r="L217" s="34">
        <v>1E-3</v>
      </c>
      <c r="M217" s="1">
        <v>22.314335</v>
      </c>
      <c r="N217" s="42">
        <v>5768691.033516</v>
      </c>
      <c r="O217" s="1">
        <f t="shared" si="17"/>
        <v>1.5878150982675954</v>
      </c>
      <c r="P217" s="51">
        <v>12.252231999999999</v>
      </c>
      <c r="Q217" s="1">
        <v>103778.0785241</v>
      </c>
      <c r="R217" s="51">
        <f t="shared" si="16"/>
        <v>2.8564608330103769E-2</v>
      </c>
      <c r="S217" s="20" t="s">
        <v>641</v>
      </c>
      <c r="T217" t="s">
        <v>649</v>
      </c>
    </row>
    <row r="218" spans="1:20" ht="30" x14ac:dyDescent="0.25">
      <c r="A218" s="1">
        <v>27</v>
      </c>
      <c r="B218" s="2" t="s">
        <v>102</v>
      </c>
      <c r="C218" s="1" t="s">
        <v>545</v>
      </c>
      <c r="D218" s="30">
        <v>4</v>
      </c>
      <c r="E218" s="51">
        <v>5851.22</v>
      </c>
      <c r="F218" s="1"/>
      <c r="G218" s="14"/>
      <c r="H218" s="1">
        <v>21.3</v>
      </c>
      <c r="I218" s="1"/>
      <c r="J218" s="1"/>
      <c r="K218" s="6"/>
      <c r="L218" s="34">
        <v>1E-3</v>
      </c>
      <c r="M218" s="1">
        <v>24.170867999999999</v>
      </c>
      <c r="N218" s="42">
        <v>433298.57812999998</v>
      </c>
      <c r="O218" s="1">
        <f t="shared" si="17"/>
        <v>1.8513172386698843E-3</v>
      </c>
      <c r="P218" s="51">
        <v>18.316212</v>
      </c>
      <c r="Q218" s="1">
        <v>48367152.641906001</v>
      </c>
      <c r="R218" s="51">
        <f t="shared" si="16"/>
        <v>0.20665413641046657</v>
      </c>
      <c r="S218" s="20" t="s">
        <v>641</v>
      </c>
      <c r="T218" t="s">
        <v>650</v>
      </c>
    </row>
    <row r="219" spans="1:20" ht="30" x14ac:dyDescent="0.25">
      <c r="A219" s="1">
        <v>75</v>
      </c>
      <c r="B219" s="2" t="s">
        <v>314</v>
      </c>
      <c r="C219" s="1" t="s">
        <v>568</v>
      </c>
      <c r="D219" s="50" t="s">
        <v>36</v>
      </c>
      <c r="E219" s="1">
        <v>46.798099999999998</v>
      </c>
      <c r="F219" s="1"/>
      <c r="G219" s="14"/>
      <c r="H219" s="1">
        <v>2.84</v>
      </c>
      <c r="I219" s="1"/>
      <c r="J219" s="1"/>
      <c r="K219" s="6"/>
      <c r="L219" s="34">
        <v>1E-3</v>
      </c>
      <c r="M219" s="51">
        <v>22.643899999999999</v>
      </c>
      <c r="N219" s="42">
        <v>366043.79059700004</v>
      </c>
      <c r="O219" s="51">
        <f t="shared" si="17"/>
        <v>0.19554415168404277</v>
      </c>
      <c r="P219" s="1"/>
      <c r="Q219" s="1"/>
      <c r="S219" s="64" t="s">
        <v>642</v>
      </c>
      <c r="T219" t="s">
        <v>650</v>
      </c>
    </row>
    <row r="220" spans="1:20" ht="30" x14ac:dyDescent="0.25">
      <c r="A220" s="1">
        <v>53</v>
      </c>
      <c r="B220" s="2" t="s">
        <v>522</v>
      </c>
      <c r="C220" s="1" t="s">
        <v>565</v>
      </c>
      <c r="D220" s="30">
        <v>4</v>
      </c>
      <c r="E220" s="1">
        <v>386.90899999999999</v>
      </c>
      <c r="F220" s="1"/>
      <c r="G220" s="14"/>
      <c r="H220" s="1">
        <v>0.12</v>
      </c>
      <c r="I220" s="1"/>
      <c r="J220" s="1"/>
      <c r="K220" s="6"/>
      <c r="L220" s="34">
        <f>10/7829</f>
        <v>1.2773023374632775E-3</v>
      </c>
      <c r="M220" s="51">
        <v>17.778780000000001</v>
      </c>
      <c r="N220" s="42">
        <v>847593.45521500008</v>
      </c>
      <c r="O220" s="51">
        <f t="shared" si="17"/>
        <v>5.4766977197157472E-2</v>
      </c>
      <c r="P220" s="1"/>
      <c r="Q220" s="1"/>
      <c r="S220" s="64" t="s">
        <v>644</v>
      </c>
      <c r="T220" t="s">
        <v>650</v>
      </c>
    </row>
    <row r="221" spans="1:20" ht="30" x14ac:dyDescent="0.25">
      <c r="A221" s="1">
        <v>56</v>
      </c>
      <c r="B221" s="2" t="s">
        <v>337</v>
      </c>
      <c r="C221" s="1" t="s">
        <v>566</v>
      </c>
      <c r="D221" s="30">
        <v>4</v>
      </c>
      <c r="E221" s="1">
        <v>132.73598999999999</v>
      </c>
      <c r="F221" s="1"/>
      <c r="G221" s="14"/>
      <c r="H221" s="1">
        <v>1.08</v>
      </c>
      <c r="I221" s="1"/>
      <c r="J221" s="1"/>
      <c r="K221" s="6"/>
      <c r="L221" s="34">
        <f>10/7829</f>
        <v>1.2773023374632775E-3</v>
      </c>
      <c r="M221" s="51">
        <v>20.646225000000001</v>
      </c>
      <c r="N221" s="42">
        <v>956499.536555</v>
      </c>
      <c r="O221" s="51">
        <f t="shared" si="17"/>
        <v>0.18015075198425839</v>
      </c>
      <c r="P221" s="1"/>
      <c r="Q221" s="1"/>
      <c r="S221" s="64" t="s">
        <v>644</v>
      </c>
      <c r="T221" t="s">
        <v>650</v>
      </c>
    </row>
    <row r="222" spans="1:20" ht="30" x14ac:dyDescent="0.25">
      <c r="A222" s="1">
        <v>57</v>
      </c>
      <c r="B222" s="2" t="s">
        <v>524</v>
      </c>
      <c r="C222" s="1" t="s">
        <v>523</v>
      </c>
      <c r="D222" s="30">
        <v>4</v>
      </c>
      <c r="E222" s="1">
        <v>125.316</v>
      </c>
      <c r="F222" s="1"/>
      <c r="G222" s="14"/>
      <c r="H222" s="1">
        <v>0.78</v>
      </c>
      <c r="I222" s="1"/>
      <c r="J222" s="1"/>
      <c r="K222" s="6"/>
      <c r="L222" s="34">
        <f>10/7829</f>
        <v>1.2773023374632775E-3</v>
      </c>
      <c r="M222" s="51">
        <v>20.269680000000001</v>
      </c>
      <c r="N222" s="42">
        <v>727402.48106899997</v>
      </c>
      <c r="O222" s="51">
        <f t="shared" si="17"/>
        <v>0.14511364890935713</v>
      </c>
      <c r="P222" s="1"/>
      <c r="Q222" s="1"/>
      <c r="S222" s="64" t="s">
        <v>644</v>
      </c>
      <c r="T222" t="s">
        <v>650</v>
      </c>
    </row>
    <row r="223" spans="1:20" ht="30" x14ac:dyDescent="0.25">
      <c r="A223" s="1">
        <v>2</v>
      </c>
      <c r="B223" s="2" t="s">
        <v>141</v>
      </c>
      <c r="C223" s="1" t="s">
        <v>573</v>
      </c>
      <c r="D223" s="4" t="s">
        <v>36</v>
      </c>
      <c r="E223" s="1">
        <v>417.62599999999998</v>
      </c>
      <c r="F223" s="70">
        <v>21.093970000000002</v>
      </c>
      <c r="G223" s="17">
        <f>100*F223/E223</f>
        <v>5.0509235536101693</v>
      </c>
      <c r="H223" s="1">
        <v>3.29</v>
      </c>
      <c r="I223" s="1"/>
      <c r="J223" s="1"/>
      <c r="K223" s="1"/>
      <c r="L223" s="34">
        <f>20/225</f>
        <v>8.8888888888888892E-2</v>
      </c>
      <c r="M223" s="43">
        <v>334.05939000000001</v>
      </c>
      <c r="N223" s="43">
        <v>1692950.8481198701</v>
      </c>
      <c r="O223" s="34">
        <f>(25*N223)/(E223*1000000)</f>
        <v>0.10134371711291144</v>
      </c>
      <c r="P223" s="43"/>
      <c r="Q223" s="1"/>
      <c r="S223" t="s">
        <v>645</v>
      </c>
      <c r="T223" t="s">
        <v>647</v>
      </c>
    </row>
    <row r="224" spans="1:20" ht="30" x14ac:dyDescent="0.25">
      <c r="A224" s="1">
        <v>22</v>
      </c>
      <c r="B224" s="2" t="s">
        <v>154</v>
      </c>
      <c r="C224" s="1" t="s">
        <v>573</v>
      </c>
      <c r="D224" s="4" t="s">
        <v>36</v>
      </c>
      <c r="E224" s="1">
        <v>1.8737699999999999</v>
      </c>
      <c r="F224" s="1"/>
      <c r="G224" s="53"/>
      <c r="H224" s="1">
        <v>1E-3</v>
      </c>
      <c r="I224" s="1"/>
      <c r="J224" s="1"/>
      <c r="K224" s="1"/>
      <c r="L224" s="34">
        <f>20/1420</f>
        <v>1.4084507042253521E-2</v>
      </c>
      <c r="M224" s="43">
        <v>45.338146000000002</v>
      </c>
      <c r="N224" s="43">
        <v>4676.4570660944</v>
      </c>
      <c r="O224" s="34">
        <f>(25*N224)/(E224*1000000)</f>
        <v>6.2393691142648242E-2</v>
      </c>
      <c r="P224" s="43"/>
      <c r="Q224" s="1"/>
      <c r="S224" t="s">
        <v>645</v>
      </c>
      <c r="T224" t="s">
        <v>647</v>
      </c>
    </row>
    <row r="225" spans="1:20" ht="30" x14ac:dyDescent="0.25">
      <c r="A225" s="1">
        <v>62</v>
      </c>
      <c r="B225" s="2" t="s">
        <v>202</v>
      </c>
      <c r="C225" s="1" t="s">
        <v>186</v>
      </c>
      <c r="D225" s="4" t="s">
        <v>36</v>
      </c>
      <c r="E225" s="1">
        <v>153.364</v>
      </c>
      <c r="F225" s="1">
        <v>41.885800000000003</v>
      </c>
      <c r="G225" s="17">
        <f>100*F225/E225</f>
        <v>27.311363814193683</v>
      </c>
      <c r="H225" s="1">
        <v>0.1</v>
      </c>
      <c r="I225" s="1"/>
      <c r="J225" s="1"/>
      <c r="K225" s="1"/>
      <c r="L225" s="34">
        <f>50/1418</f>
        <v>3.5260930888575459E-2</v>
      </c>
      <c r="M225" s="43">
        <v>324.14861999999999</v>
      </c>
      <c r="N225" s="43">
        <v>327308.996596365</v>
      </c>
      <c r="O225" s="34">
        <f>(25*N225)/(E225*1000000)</f>
        <v>5.3354926285889288E-2</v>
      </c>
      <c r="P225" s="43"/>
      <c r="Q225" s="1"/>
      <c r="S225" t="s">
        <v>645</v>
      </c>
      <c r="T225" t="s">
        <v>647</v>
      </c>
    </row>
    <row r="226" spans="1:20" ht="30" x14ac:dyDescent="0.25">
      <c r="A226" s="1">
        <v>67</v>
      </c>
      <c r="B226" s="2" t="s">
        <v>207</v>
      </c>
      <c r="C226" s="1" t="s">
        <v>573</v>
      </c>
      <c r="D226" s="4" t="s">
        <v>36</v>
      </c>
      <c r="E226" s="1">
        <v>65.007099999999994</v>
      </c>
      <c r="F226" s="1"/>
      <c r="G226" s="53"/>
      <c r="H226" s="1">
        <v>1.26</v>
      </c>
      <c r="I226" s="1"/>
      <c r="J226" s="1"/>
      <c r="K226" s="1"/>
      <c r="L226" s="34">
        <f>20/1520</f>
        <v>1.3157894736842105E-2</v>
      </c>
      <c r="M226" s="43">
        <v>129.74805000000001</v>
      </c>
      <c r="N226" s="43">
        <v>130540.54115751199</v>
      </c>
      <c r="O226" s="34">
        <f>(25*N226)/(E226*1000000)</f>
        <v>5.0202416796592993E-2</v>
      </c>
      <c r="P226" s="43"/>
      <c r="Q226" s="1"/>
      <c r="S226" t="s">
        <v>645</v>
      </c>
      <c r="T226" t="s">
        <v>647</v>
      </c>
    </row>
    <row r="227" spans="1:20" ht="30" x14ac:dyDescent="0.25">
      <c r="A227" s="29">
        <v>170</v>
      </c>
      <c r="B227" s="2" t="s">
        <v>425</v>
      </c>
      <c r="C227" s="29" t="s">
        <v>354</v>
      </c>
      <c r="D227" s="30">
        <v>4</v>
      </c>
      <c r="E227" s="1">
        <v>288.44211510973901</v>
      </c>
      <c r="F227" s="1"/>
      <c r="G227" s="53"/>
      <c r="H227" s="1">
        <v>0.03</v>
      </c>
      <c r="I227" s="1"/>
      <c r="J227" s="1"/>
      <c r="K227" s="1"/>
      <c r="L227" s="34">
        <f>10/1529</f>
        <v>6.5402223675604968E-3</v>
      </c>
      <c r="M227" s="29"/>
      <c r="N227" s="1"/>
      <c r="O227" s="1"/>
      <c r="P227" s="43">
        <v>78.202296000000004</v>
      </c>
      <c r="Q227" s="1">
        <v>1634430.5226706199</v>
      </c>
      <c r="R227" s="34">
        <f t="shared" ref="R227:R248" si="18">(25*Q227)/(E227*1000000)</f>
        <v>0.14166018388549068</v>
      </c>
      <c r="S227" t="s">
        <v>646</v>
      </c>
      <c r="T227" t="s">
        <v>648</v>
      </c>
    </row>
    <row r="228" spans="1:20" ht="30" x14ac:dyDescent="0.25">
      <c r="A228" s="29">
        <v>171</v>
      </c>
      <c r="B228" s="2" t="s">
        <v>426</v>
      </c>
      <c r="C228" s="1" t="s">
        <v>573</v>
      </c>
      <c r="D228" s="30">
        <v>4</v>
      </c>
      <c r="E228" s="1">
        <v>69.559296417835</v>
      </c>
      <c r="F228" s="1"/>
      <c r="G228" s="53"/>
      <c r="H228" s="1">
        <v>0.4</v>
      </c>
      <c r="I228" s="1"/>
      <c r="J228" s="1"/>
      <c r="K228" s="1"/>
      <c r="L228" s="34">
        <f>10/1494</f>
        <v>6.6934404283801874E-3</v>
      </c>
      <c r="M228" s="29"/>
      <c r="N228" s="1"/>
      <c r="O228" s="1"/>
      <c r="P228" s="43">
        <v>32.749234000000001</v>
      </c>
      <c r="Q228" s="1">
        <v>374481.61950528598</v>
      </c>
      <c r="R228" s="34">
        <f t="shared" si="18"/>
        <v>0.13459078756914689</v>
      </c>
      <c r="S228" t="s">
        <v>646</v>
      </c>
      <c r="T228" t="s">
        <v>648</v>
      </c>
    </row>
    <row r="229" spans="1:20" ht="30" x14ac:dyDescent="0.25">
      <c r="A229" s="29">
        <v>192</v>
      </c>
      <c r="B229" s="2" t="s">
        <v>431</v>
      </c>
      <c r="C229" s="29" t="s">
        <v>359</v>
      </c>
      <c r="D229" s="30">
        <v>4</v>
      </c>
      <c r="E229" s="1">
        <v>69.63369452489799</v>
      </c>
      <c r="F229" s="1"/>
      <c r="G229" s="53"/>
      <c r="H229" s="1">
        <v>0.08</v>
      </c>
      <c r="I229" s="1"/>
      <c r="J229" s="1"/>
      <c r="K229" s="1"/>
      <c r="L229" s="34">
        <f>10/5170</f>
        <v>1.9342359767891683E-3</v>
      </c>
      <c r="M229" s="29"/>
      <c r="N229" s="1"/>
      <c r="O229" s="1"/>
      <c r="P229" s="43">
        <v>28.499879</v>
      </c>
      <c r="Q229" s="1">
        <v>295045.94942569698</v>
      </c>
      <c r="R229" s="34">
        <f t="shared" si="18"/>
        <v>0.10592786704725302</v>
      </c>
      <c r="S229" t="s">
        <v>646</v>
      </c>
      <c r="T229" t="s">
        <v>648</v>
      </c>
    </row>
    <row r="230" spans="1:20" ht="30" x14ac:dyDescent="0.25">
      <c r="A230" s="29">
        <v>193</v>
      </c>
      <c r="B230" s="2" t="s">
        <v>432</v>
      </c>
      <c r="C230" s="29" t="s">
        <v>360</v>
      </c>
      <c r="D230" s="30">
        <v>4</v>
      </c>
      <c r="E230" s="1">
        <v>51.982898324086001</v>
      </c>
      <c r="F230" s="1"/>
      <c r="G230" s="53"/>
      <c r="H230" s="1">
        <v>0.2</v>
      </c>
      <c r="I230" s="1"/>
      <c r="J230" s="1"/>
      <c r="K230" s="1"/>
      <c r="L230" s="34">
        <f>10/902</f>
        <v>1.1086474501108648E-2</v>
      </c>
      <c r="M230" s="29"/>
      <c r="N230" s="1"/>
      <c r="O230" s="1"/>
      <c r="P230" s="43">
        <v>38.188183000000002</v>
      </c>
      <c r="Q230" s="1">
        <v>171768.60996437</v>
      </c>
      <c r="R230" s="34">
        <f t="shared" si="18"/>
        <v>8.2608230544150854E-2</v>
      </c>
      <c r="S230" t="s">
        <v>646</v>
      </c>
      <c r="T230" t="s">
        <v>648</v>
      </c>
    </row>
    <row r="231" spans="1:20" ht="30" x14ac:dyDescent="0.25">
      <c r="A231" s="29">
        <v>204</v>
      </c>
      <c r="B231" s="2" t="s">
        <v>437</v>
      </c>
      <c r="C231" s="1" t="s">
        <v>573</v>
      </c>
      <c r="D231" s="30">
        <v>4</v>
      </c>
      <c r="E231" s="1">
        <v>86.468033740964998</v>
      </c>
      <c r="F231" s="1"/>
      <c r="G231" s="53"/>
      <c r="H231" s="1">
        <v>0.05</v>
      </c>
      <c r="I231" s="1"/>
      <c r="J231" s="1"/>
      <c r="K231" s="1"/>
      <c r="L231" s="34">
        <f>5/419</f>
        <v>1.1933174224343675E-2</v>
      </c>
      <c r="M231" s="29"/>
      <c r="N231" s="1"/>
      <c r="O231" s="1"/>
      <c r="P231" s="43">
        <v>102.36349</v>
      </c>
      <c r="Q231" s="1">
        <v>681115.76948475803</v>
      </c>
      <c r="R231" s="34">
        <f t="shared" si="18"/>
        <v>0.19692704344509498</v>
      </c>
      <c r="S231" t="s">
        <v>646</v>
      </c>
      <c r="T231" t="s">
        <v>648</v>
      </c>
    </row>
    <row r="232" spans="1:20" ht="30" x14ac:dyDescent="0.25">
      <c r="A232" s="29">
        <v>215</v>
      </c>
      <c r="B232" s="2" t="s">
        <v>440</v>
      </c>
      <c r="C232" s="1" t="s">
        <v>573</v>
      </c>
      <c r="D232" s="30">
        <v>4</v>
      </c>
      <c r="E232" s="1">
        <v>51.588919183550999</v>
      </c>
      <c r="F232" s="1"/>
      <c r="G232" s="53"/>
      <c r="H232" s="1">
        <v>0.3</v>
      </c>
      <c r="I232" s="1"/>
      <c r="J232" s="1"/>
      <c r="K232" s="1"/>
      <c r="L232" s="34">
        <v>1E-3</v>
      </c>
      <c r="M232" s="29"/>
      <c r="N232" s="1"/>
      <c r="O232" s="1"/>
      <c r="P232" s="43">
        <v>61.178730999999999</v>
      </c>
      <c r="Q232" s="1">
        <v>269252.15133476199</v>
      </c>
      <c r="R232" s="34">
        <f t="shared" si="18"/>
        <v>0.13047964349513469</v>
      </c>
      <c r="S232" t="s">
        <v>646</v>
      </c>
      <c r="T232" t="s">
        <v>648</v>
      </c>
    </row>
    <row r="233" spans="1:20" ht="30" x14ac:dyDescent="0.25">
      <c r="A233" s="29">
        <v>245</v>
      </c>
      <c r="B233" s="2" t="s">
        <v>448</v>
      </c>
      <c r="C233" s="1" t="s">
        <v>573</v>
      </c>
      <c r="D233" s="30">
        <v>4</v>
      </c>
      <c r="E233" s="1">
        <v>54.009011818764996</v>
      </c>
      <c r="F233" s="1"/>
      <c r="G233" s="53"/>
      <c r="H233" s="1">
        <v>0.2</v>
      </c>
      <c r="I233" s="1"/>
      <c r="J233" s="1"/>
      <c r="K233" s="1"/>
      <c r="L233" s="34">
        <f>10/696</f>
        <v>1.4367816091954023E-2</v>
      </c>
      <c r="M233" s="29"/>
      <c r="N233" s="1"/>
      <c r="O233" s="1"/>
      <c r="P233" s="43">
        <v>67.541664999999995</v>
      </c>
      <c r="Q233" s="1">
        <v>297682.34520709497</v>
      </c>
      <c r="R233" s="34">
        <f t="shared" si="18"/>
        <v>0.13779290491650303</v>
      </c>
      <c r="S233" t="s">
        <v>646</v>
      </c>
      <c r="T233" t="s">
        <v>648</v>
      </c>
    </row>
    <row r="234" spans="1:20" ht="30" x14ac:dyDescent="0.25">
      <c r="A234" s="29">
        <v>247</v>
      </c>
      <c r="B234" s="2" t="s">
        <v>450</v>
      </c>
      <c r="C234" s="1" t="s">
        <v>573</v>
      </c>
      <c r="D234" s="30">
        <v>4</v>
      </c>
      <c r="E234" s="1">
        <v>106.46971776257101</v>
      </c>
      <c r="F234" s="1"/>
      <c r="G234" s="53"/>
      <c r="H234" s="1">
        <v>0.47</v>
      </c>
      <c r="I234" s="1"/>
      <c r="J234" s="1"/>
      <c r="K234" s="1"/>
      <c r="L234" s="34">
        <f>5/1496</f>
        <v>3.3422459893048127E-3</v>
      </c>
      <c r="M234" s="29"/>
      <c r="N234" s="1"/>
      <c r="O234" s="1"/>
      <c r="P234" s="43">
        <v>67.741039000000001</v>
      </c>
      <c r="Q234" s="1">
        <v>440565.14691567398</v>
      </c>
      <c r="R234" s="34">
        <f t="shared" si="18"/>
        <v>0.10344846313440517</v>
      </c>
      <c r="S234" t="s">
        <v>646</v>
      </c>
      <c r="T234" t="s">
        <v>648</v>
      </c>
    </row>
    <row r="235" spans="1:20" ht="30" x14ac:dyDescent="0.25">
      <c r="A235" s="29">
        <v>248</v>
      </c>
      <c r="B235" s="2" t="s">
        <v>451</v>
      </c>
      <c r="C235" s="29" t="s">
        <v>370</v>
      </c>
      <c r="D235" s="30">
        <v>4</v>
      </c>
      <c r="E235" s="1">
        <v>108.396541247161</v>
      </c>
      <c r="F235" s="1"/>
      <c r="G235" s="53"/>
      <c r="H235" s="1">
        <v>0.24</v>
      </c>
      <c r="I235" s="1"/>
      <c r="J235" s="1"/>
      <c r="K235" s="1"/>
      <c r="L235" s="34">
        <f>10/1038</f>
        <v>9.6339113680154135E-3</v>
      </c>
      <c r="M235" s="29"/>
      <c r="N235" s="1"/>
      <c r="O235" s="1"/>
      <c r="P235" s="43">
        <v>43.895879999999998</v>
      </c>
      <c r="Q235" s="1">
        <v>454492.49371814699</v>
      </c>
      <c r="R235" s="34">
        <f t="shared" si="18"/>
        <v>0.10482172412721022</v>
      </c>
      <c r="S235" t="s">
        <v>646</v>
      </c>
      <c r="T235" t="s">
        <v>648</v>
      </c>
    </row>
    <row r="236" spans="1:20" ht="30" x14ac:dyDescent="0.25">
      <c r="A236" s="29">
        <v>250</v>
      </c>
      <c r="B236" s="2" t="s">
        <v>453</v>
      </c>
      <c r="C236" s="1" t="s">
        <v>573</v>
      </c>
      <c r="D236" s="30">
        <v>4</v>
      </c>
      <c r="E236" s="1">
        <v>86.537273523962</v>
      </c>
      <c r="F236" s="1"/>
      <c r="G236" s="53"/>
      <c r="H236" s="1">
        <v>0.04</v>
      </c>
      <c r="I236" s="1"/>
      <c r="J236" s="1"/>
      <c r="K236" s="1"/>
      <c r="L236" s="34">
        <f>10/503</f>
        <v>1.9880715705765408E-2</v>
      </c>
      <c r="M236" s="29"/>
      <c r="N236" s="1"/>
      <c r="O236" s="1"/>
      <c r="P236" s="43">
        <v>42.295904999999998</v>
      </c>
      <c r="Q236" s="1">
        <v>436075.53075301601</v>
      </c>
      <c r="R236" s="34">
        <f t="shared" si="18"/>
        <v>0.12597910501313273</v>
      </c>
      <c r="S236" t="s">
        <v>646</v>
      </c>
      <c r="T236" t="s">
        <v>648</v>
      </c>
    </row>
    <row r="237" spans="1:20" ht="30" x14ac:dyDescent="0.25">
      <c r="A237" s="29">
        <v>257</v>
      </c>
      <c r="B237" s="2" t="s">
        <v>454</v>
      </c>
      <c r="C237" s="1" t="s">
        <v>573</v>
      </c>
      <c r="D237" s="30">
        <v>4</v>
      </c>
      <c r="E237" s="1">
        <v>57.800821075172003</v>
      </c>
      <c r="F237" s="1"/>
      <c r="G237" s="53"/>
      <c r="H237" s="1">
        <v>0.09</v>
      </c>
      <c r="I237" s="1"/>
      <c r="J237" s="1"/>
      <c r="K237" s="1"/>
      <c r="L237" s="34">
        <f>10/1756</f>
        <v>5.6947608200455585E-3</v>
      </c>
      <c r="M237" s="29"/>
      <c r="N237" s="1"/>
      <c r="O237" s="1"/>
      <c r="P237" s="43">
        <v>46.831904999999999</v>
      </c>
      <c r="Q237" s="1">
        <v>293794.22550916602</v>
      </c>
      <c r="R237" s="34">
        <f t="shared" si="18"/>
        <v>0.12707182183756363</v>
      </c>
      <c r="S237" t="s">
        <v>646</v>
      </c>
      <c r="T237" t="s">
        <v>648</v>
      </c>
    </row>
    <row r="238" spans="1:20" ht="30" x14ac:dyDescent="0.25">
      <c r="A238" s="29">
        <v>259</v>
      </c>
      <c r="B238" s="2" t="s">
        <v>455</v>
      </c>
      <c r="C238" s="29" t="s">
        <v>341</v>
      </c>
      <c r="D238" s="30">
        <v>4</v>
      </c>
      <c r="E238" s="1">
        <v>72.839803308057995</v>
      </c>
      <c r="F238" s="1"/>
      <c r="G238" s="53"/>
      <c r="H238" s="1">
        <v>0.15</v>
      </c>
      <c r="I238" s="1"/>
      <c r="J238" s="1"/>
      <c r="K238" s="1"/>
      <c r="L238" s="34">
        <f>10/966</f>
        <v>1.0351966873706004E-2</v>
      </c>
      <c r="M238" s="29"/>
      <c r="N238" s="1"/>
      <c r="O238" s="1"/>
      <c r="P238" s="43">
        <v>74.162807000000001</v>
      </c>
      <c r="Q238" s="1">
        <v>382765.84977030702</v>
      </c>
      <c r="R238" s="34">
        <f t="shared" si="18"/>
        <v>0.13137248879966534</v>
      </c>
      <c r="S238" t="s">
        <v>646</v>
      </c>
      <c r="T238" t="s">
        <v>648</v>
      </c>
    </row>
    <row r="239" spans="1:20" ht="30" x14ac:dyDescent="0.25">
      <c r="A239" s="29">
        <v>277</v>
      </c>
      <c r="B239" s="2" t="s">
        <v>461</v>
      </c>
      <c r="C239" s="1" t="s">
        <v>573</v>
      </c>
      <c r="D239" s="30">
        <v>4</v>
      </c>
      <c r="E239" s="1">
        <v>64.858528782215998</v>
      </c>
      <c r="F239" s="1"/>
      <c r="G239" s="53"/>
      <c r="H239" s="1">
        <v>0.8</v>
      </c>
      <c r="I239" s="1"/>
      <c r="J239" s="1"/>
      <c r="K239" s="1"/>
      <c r="L239" s="34">
        <f>5/627</f>
        <v>7.9744816586921844E-3</v>
      </c>
      <c r="M239" s="29"/>
      <c r="N239" s="1"/>
      <c r="O239" s="1"/>
      <c r="P239" s="43">
        <v>34.730908999999997</v>
      </c>
      <c r="Q239" s="1">
        <v>309652.71103173401</v>
      </c>
      <c r="R239" s="34">
        <f t="shared" si="18"/>
        <v>0.11935697465151253</v>
      </c>
      <c r="S239" t="s">
        <v>646</v>
      </c>
      <c r="T239" t="s">
        <v>648</v>
      </c>
    </row>
    <row r="240" spans="1:20" ht="30" x14ac:dyDescent="0.25">
      <c r="A240" s="29">
        <v>308</v>
      </c>
      <c r="B240" s="2" t="s">
        <v>464</v>
      </c>
      <c r="C240" s="29" t="s">
        <v>377</v>
      </c>
      <c r="D240" s="30">
        <v>4</v>
      </c>
      <c r="E240" s="1">
        <v>183.66804033401297</v>
      </c>
      <c r="F240" s="1"/>
      <c r="G240" s="53"/>
      <c r="H240" s="1">
        <v>0.36</v>
      </c>
      <c r="I240" s="1"/>
      <c r="J240" s="1"/>
      <c r="K240" s="1"/>
      <c r="L240" s="34">
        <v>6.3051702395964691E-3</v>
      </c>
      <c r="M240" s="29"/>
      <c r="N240" s="1"/>
      <c r="O240" s="1"/>
      <c r="P240" s="43">
        <v>35.630220999999999</v>
      </c>
      <c r="Q240" s="1">
        <v>1358984.36320018</v>
      </c>
      <c r="R240" s="34">
        <f t="shared" si="18"/>
        <v>0.1849783392811255</v>
      </c>
      <c r="S240" t="s">
        <v>646</v>
      </c>
      <c r="T240" t="s">
        <v>647</v>
      </c>
    </row>
    <row r="241" spans="1:22" ht="30" x14ac:dyDescent="0.25">
      <c r="A241" s="29">
        <v>309</v>
      </c>
      <c r="B241" s="2" t="s">
        <v>465</v>
      </c>
      <c r="C241" s="29" t="s">
        <v>92</v>
      </c>
      <c r="D241" s="30">
        <v>4</v>
      </c>
      <c r="E241" s="1">
        <v>95.927319832178995</v>
      </c>
      <c r="F241" s="1"/>
      <c r="G241" s="53"/>
      <c r="H241" s="1">
        <v>0.96</v>
      </c>
      <c r="I241" s="1"/>
      <c r="J241" s="1"/>
      <c r="K241" s="1"/>
      <c r="L241" s="34">
        <v>6.3051702395964691E-3</v>
      </c>
      <c r="M241" s="29"/>
      <c r="N241" s="1"/>
      <c r="O241" s="1"/>
      <c r="P241" s="43">
        <v>23.339506</v>
      </c>
      <c r="Q241" s="1">
        <v>658978.26350128604</v>
      </c>
      <c r="R241" s="34">
        <f t="shared" si="18"/>
        <v>0.17173894377903556</v>
      </c>
      <c r="S241" t="s">
        <v>646</v>
      </c>
      <c r="T241" t="s">
        <v>647</v>
      </c>
    </row>
    <row r="242" spans="1:22" ht="30" x14ac:dyDescent="0.25">
      <c r="A242" s="29">
        <v>340</v>
      </c>
      <c r="B242" s="2" t="s">
        <v>474</v>
      </c>
      <c r="C242" s="29" t="s">
        <v>33</v>
      </c>
      <c r="D242" s="30">
        <v>4</v>
      </c>
      <c r="E242" s="1">
        <v>48.871350416032001</v>
      </c>
      <c r="F242" s="1"/>
      <c r="G242" s="53"/>
      <c r="H242" s="1">
        <v>0.02</v>
      </c>
      <c r="I242" s="1"/>
      <c r="J242" s="1"/>
      <c r="K242" s="1"/>
      <c r="L242" s="34">
        <f>20/1682</f>
        <v>1.1890606420927468E-2</v>
      </c>
      <c r="M242" s="29"/>
      <c r="N242" s="1"/>
      <c r="O242" s="1"/>
      <c r="P242" s="43">
        <v>84.116960000000006</v>
      </c>
      <c r="Q242" s="1">
        <v>240955.52997207601</v>
      </c>
      <c r="R242" s="34">
        <f t="shared" si="18"/>
        <v>0.12326011452562183</v>
      </c>
      <c r="S242" t="s">
        <v>646</v>
      </c>
      <c r="T242" t="s">
        <v>647</v>
      </c>
    </row>
    <row r="243" spans="1:22" ht="30" x14ac:dyDescent="0.25">
      <c r="A243" s="29">
        <v>352</v>
      </c>
      <c r="B243" s="2" t="s">
        <v>477</v>
      </c>
      <c r="C243" s="29" t="s">
        <v>388</v>
      </c>
      <c r="D243" s="30">
        <v>4</v>
      </c>
      <c r="E243" s="1">
        <v>69.526229064517011</v>
      </c>
      <c r="F243" s="1"/>
      <c r="G243" s="53"/>
      <c r="H243" s="1">
        <v>0.6</v>
      </c>
      <c r="I243" s="1"/>
      <c r="J243" s="1"/>
      <c r="K243" s="1"/>
      <c r="L243" s="34">
        <f>10/1494</f>
        <v>6.6934404283801874E-3</v>
      </c>
      <c r="M243" s="29"/>
      <c r="N243" s="1"/>
      <c r="O243" s="1"/>
      <c r="P243" s="43">
        <v>40.296591999999997</v>
      </c>
      <c r="Q243" s="1">
        <v>354415.28496599098</v>
      </c>
      <c r="R243" s="34">
        <f t="shared" si="18"/>
        <v>0.1274394173733738</v>
      </c>
      <c r="S243" t="s">
        <v>646</v>
      </c>
      <c r="T243" t="s">
        <v>647</v>
      </c>
    </row>
    <row r="244" spans="1:22" ht="30" x14ac:dyDescent="0.25">
      <c r="A244" s="29">
        <v>354</v>
      </c>
      <c r="B244" s="2" t="s">
        <v>478</v>
      </c>
      <c r="C244" s="29" t="s">
        <v>389</v>
      </c>
      <c r="D244" s="30">
        <v>4</v>
      </c>
      <c r="E244" s="1">
        <v>110.641579719513</v>
      </c>
      <c r="F244" s="1"/>
      <c r="G244" s="53"/>
      <c r="H244" s="1">
        <v>0.27</v>
      </c>
      <c r="I244" s="1"/>
      <c r="J244" s="1"/>
      <c r="K244" s="1"/>
      <c r="L244" s="34">
        <f>10/551</f>
        <v>1.8148820326678767E-2</v>
      </c>
      <c r="M244" s="29"/>
      <c r="N244" s="1"/>
      <c r="O244" s="1"/>
      <c r="P244" s="43">
        <v>65.702352000000005</v>
      </c>
      <c r="Q244" s="1">
        <v>559207.57502603496</v>
      </c>
      <c r="R244" s="34">
        <f t="shared" si="18"/>
        <v>0.12635565590343154</v>
      </c>
      <c r="S244" t="s">
        <v>646</v>
      </c>
      <c r="T244" t="s">
        <v>647</v>
      </c>
    </row>
    <row r="245" spans="1:22" ht="30" x14ac:dyDescent="0.25">
      <c r="A245" s="29">
        <v>355</v>
      </c>
      <c r="B245" s="2" t="s">
        <v>479</v>
      </c>
      <c r="C245" s="29" t="s">
        <v>390</v>
      </c>
      <c r="D245" s="30">
        <v>4</v>
      </c>
      <c r="E245" s="1">
        <v>119.12259056888699</v>
      </c>
      <c r="F245" s="1"/>
      <c r="G245" s="53"/>
      <c r="H245" s="1">
        <v>0.17</v>
      </c>
      <c r="I245" s="1"/>
      <c r="J245" s="1"/>
      <c r="K245" s="1"/>
      <c r="L245" s="34">
        <f>10/432</f>
        <v>2.3148148148148147E-2</v>
      </c>
      <c r="M245" s="29"/>
      <c r="N245" s="1"/>
      <c r="O245" s="1"/>
      <c r="P245" s="43">
        <v>93.097547000000006</v>
      </c>
      <c r="Q245" s="1">
        <v>693288.26291060401</v>
      </c>
      <c r="R245" s="34">
        <f t="shared" si="18"/>
        <v>0.14549890570707594</v>
      </c>
      <c r="S245" t="s">
        <v>646</v>
      </c>
      <c r="T245" t="s">
        <v>647</v>
      </c>
    </row>
    <row r="246" spans="1:22" ht="31.5" x14ac:dyDescent="0.25">
      <c r="A246" s="29">
        <v>365</v>
      </c>
      <c r="B246" s="2" t="s">
        <v>484</v>
      </c>
      <c r="C246" s="31" t="s">
        <v>393</v>
      </c>
      <c r="D246" s="30">
        <v>4</v>
      </c>
      <c r="E246" s="1">
        <v>101.61705110211</v>
      </c>
      <c r="F246" s="1"/>
      <c r="G246" s="53"/>
      <c r="H246" s="1">
        <v>0.38</v>
      </c>
      <c r="I246" s="1"/>
      <c r="J246" s="1"/>
      <c r="K246" s="1"/>
      <c r="L246" s="34">
        <f>20/8285</f>
        <v>2.4140012070006035E-3</v>
      </c>
      <c r="M246" s="29"/>
      <c r="N246" s="1"/>
      <c r="O246" s="1"/>
      <c r="P246" s="43">
        <v>231.637573</v>
      </c>
      <c r="Q246" s="1">
        <v>777842.61548805202</v>
      </c>
      <c r="R246" s="34">
        <f t="shared" si="18"/>
        <v>0.19136616518876248</v>
      </c>
      <c r="S246" t="s">
        <v>646</v>
      </c>
      <c r="T246" t="s">
        <v>647</v>
      </c>
    </row>
    <row r="247" spans="1:22" ht="30" x14ac:dyDescent="0.25">
      <c r="A247" s="29">
        <v>373</v>
      </c>
      <c r="B247" s="2" t="s">
        <v>490</v>
      </c>
      <c r="C247" s="1" t="s">
        <v>573</v>
      </c>
      <c r="D247" s="30">
        <v>4</v>
      </c>
      <c r="E247" s="1">
        <v>111.62993138386101</v>
      </c>
      <c r="F247" s="1"/>
      <c r="G247" s="53"/>
      <c r="H247" s="1">
        <v>1.34</v>
      </c>
      <c r="I247" s="1"/>
      <c r="J247" s="1"/>
      <c r="K247" s="1"/>
      <c r="L247" s="34">
        <f>10/2349</f>
        <v>4.2571306939123031E-3</v>
      </c>
      <c r="M247" s="29"/>
      <c r="N247" s="1"/>
      <c r="O247" s="1"/>
      <c r="P247" s="43">
        <v>271.13024899999999</v>
      </c>
      <c r="Q247" s="1">
        <v>1061060.2532474899</v>
      </c>
      <c r="R247" s="34">
        <f t="shared" si="18"/>
        <v>0.23762897640750805</v>
      </c>
      <c r="S247" t="s">
        <v>646</v>
      </c>
      <c r="T247" t="s">
        <v>647</v>
      </c>
    </row>
    <row r="248" spans="1:22" ht="30" x14ac:dyDescent="0.25">
      <c r="A248" s="29">
        <v>374</v>
      </c>
      <c r="B248" s="2" t="s">
        <v>491</v>
      </c>
      <c r="C248" s="1" t="s">
        <v>573</v>
      </c>
      <c r="D248" s="30">
        <v>4</v>
      </c>
      <c r="E248" s="1">
        <v>96.497893539017014</v>
      </c>
      <c r="F248" s="1"/>
      <c r="G248" s="53"/>
      <c r="H248" s="1">
        <v>1.46</v>
      </c>
      <c r="I248" s="1"/>
      <c r="J248" s="1"/>
      <c r="K248" s="1"/>
      <c r="L248" s="34">
        <v>1.4892032762472078E-3</v>
      </c>
      <c r="M248" s="29"/>
      <c r="N248" s="1"/>
      <c r="O248" s="1"/>
      <c r="P248" s="43">
        <v>218.96164899999999</v>
      </c>
      <c r="Q248" s="1">
        <v>987924.92652994301</v>
      </c>
      <c r="R248" s="34">
        <f t="shared" si="18"/>
        <v>0.25594468705435919</v>
      </c>
      <c r="S248" t="s">
        <v>646</v>
      </c>
      <c r="T248" t="s">
        <v>647</v>
      </c>
    </row>
    <row r="249" spans="1:22" ht="30" x14ac:dyDescent="0.25">
      <c r="A249" s="1">
        <v>207</v>
      </c>
      <c r="B249" s="2" t="s">
        <v>590</v>
      </c>
      <c r="C249" s="1" t="s">
        <v>570</v>
      </c>
      <c r="D249" s="4" t="s">
        <v>262</v>
      </c>
      <c r="E249" s="43">
        <v>54.456099999999999</v>
      </c>
      <c r="F249" s="58">
        <v>19.674977999999999</v>
      </c>
      <c r="G249" s="53">
        <f>100*F249/E249</f>
        <v>36.129979928786675</v>
      </c>
      <c r="H249" s="1">
        <v>1.0900000000000001</v>
      </c>
      <c r="I249" s="1"/>
      <c r="J249" s="1"/>
      <c r="K249" s="6"/>
      <c r="L249" s="34">
        <f>10/238</f>
        <v>4.2016806722689079E-2</v>
      </c>
      <c r="M249" s="43">
        <v>72.367767000000001</v>
      </c>
      <c r="N249" s="55">
        <v>1460434.8707389999</v>
      </c>
      <c r="O249" s="6">
        <f t="shared" ref="O249:O279" si="19">(25*N249)/(1000000*E249)</f>
        <v>0.67046431471359491</v>
      </c>
      <c r="P249" s="60">
        <v>74.010116999999994</v>
      </c>
      <c r="Q249" s="6">
        <v>758822.94442615099</v>
      </c>
      <c r="R249" s="56">
        <f t="shared" ref="R249:R276" si="20">(25*Q249)/(1000000*E249)</f>
        <v>0.34836452868739726</v>
      </c>
      <c r="S249" t="s">
        <v>636</v>
      </c>
      <c r="T249" s="54" t="s">
        <v>647</v>
      </c>
    </row>
    <row r="250" spans="1:22" ht="30" x14ac:dyDescent="0.25">
      <c r="A250" s="1">
        <v>208</v>
      </c>
      <c r="B250" s="2" t="s">
        <v>591</v>
      </c>
      <c r="C250" s="1" t="s">
        <v>4</v>
      </c>
      <c r="D250" s="4" t="s">
        <v>262</v>
      </c>
      <c r="E250" s="43">
        <v>124.387</v>
      </c>
      <c r="F250" s="58">
        <v>46.506259</v>
      </c>
      <c r="G250" s="53">
        <f>100*F250/E250</f>
        <v>37.388359716047496</v>
      </c>
      <c r="H250" s="1">
        <v>2.44</v>
      </c>
      <c r="I250" s="1"/>
      <c r="J250" s="1"/>
      <c r="K250" s="6"/>
      <c r="L250" s="34">
        <f>10/188</f>
        <v>5.3191489361702128E-2</v>
      </c>
      <c r="M250" s="43">
        <v>108.31609</v>
      </c>
      <c r="N250" s="55">
        <v>1134024.5662509999</v>
      </c>
      <c r="O250" s="6">
        <f t="shared" si="19"/>
        <v>0.22792264590572164</v>
      </c>
      <c r="P250" s="60">
        <v>97.930603000000005</v>
      </c>
      <c r="Q250" s="1">
        <v>2034893.3340726399</v>
      </c>
      <c r="R250" s="56">
        <f t="shared" si="20"/>
        <v>0.40898432594898182</v>
      </c>
      <c r="S250" t="s">
        <v>636</v>
      </c>
      <c r="T250" s="54" t="s">
        <v>647</v>
      </c>
    </row>
    <row r="251" spans="1:22" ht="30" x14ac:dyDescent="0.25">
      <c r="A251" s="1">
        <v>209</v>
      </c>
      <c r="B251" s="2" t="s">
        <v>592</v>
      </c>
      <c r="C251" s="1" t="s">
        <v>5</v>
      </c>
      <c r="D251" s="4" t="s">
        <v>262</v>
      </c>
      <c r="E251" s="43">
        <v>50.037497999999999</v>
      </c>
      <c r="F251" s="43"/>
      <c r="G251" s="53"/>
      <c r="H251" s="1">
        <v>0.37</v>
      </c>
      <c r="I251" s="1"/>
      <c r="J251" s="1"/>
      <c r="K251" s="6"/>
      <c r="L251" s="34">
        <f>10/498</f>
        <v>2.0080321285140562E-2</v>
      </c>
      <c r="M251" s="43">
        <v>42.535248000000003</v>
      </c>
      <c r="N251" s="55">
        <v>962139.443478</v>
      </c>
      <c r="O251" s="6">
        <f t="shared" si="19"/>
        <v>0.48070920906057296</v>
      </c>
      <c r="P251" s="60">
        <v>36.543911000000001</v>
      </c>
      <c r="Q251" s="1">
        <v>339407.99764654803</v>
      </c>
      <c r="R251" s="56">
        <f t="shared" si="20"/>
        <v>0.16957682298910509</v>
      </c>
      <c r="S251" t="s">
        <v>636</v>
      </c>
      <c r="T251" s="54" t="s">
        <v>647</v>
      </c>
    </row>
    <row r="252" spans="1:22" ht="30" x14ac:dyDescent="0.25">
      <c r="A252" s="1">
        <v>210</v>
      </c>
      <c r="B252" s="2" t="s">
        <v>593</v>
      </c>
      <c r="C252" s="1" t="s">
        <v>6</v>
      </c>
      <c r="D252" s="4" t="s">
        <v>262</v>
      </c>
      <c r="E252" s="43">
        <v>43.373100000000001</v>
      </c>
      <c r="F252" s="43"/>
      <c r="G252" s="53"/>
      <c r="H252" s="1">
        <v>0.2</v>
      </c>
      <c r="I252" s="1"/>
      <c r="J252" s="1"/>
      <c r="K252" s="6"/>
      <c r="L252" s="34">
        <f>10/192</f>
        <v>5.2083333333333336E-2</v>
      </c>
      <c r="M252" s="43">
        <v>30.567046999999999</v>
      </c>
      <c r="N252" s="55">
        <v>555927.72963099997</v>
      </c>
      <c r="O252" s="6">
        <f t="shared" si="19"/>
        <v>0.32043347698861735</v>
      </c>
      <c r="P252" s="60">
        <v>32.013119000000003</v>
      </c>
      <c r="Q252" s="1">
        <v>327100.73915017798</v>
      </c>
      <c r="R252" s="56">
        <f t="shared" si="20"/>
        <v>0.18853894415558145</v>
      </c>
      <c r="S252" t="s">
        <v>636</v>
      </c>
      <c r="T252" s="54" t="s">
        <v>647</v>
      </c>
    </row>
    <row r="253" spans="1:22" ht="30" x14ac:dyDescent="0.25">
      <c r="A253" s="1">
        <v>213</v>
      </c>
      <c r="B253" s="2" t="s">
        <v>596</v>
      </c>
      <c r="C253" s="1" t="s">
        <v>8</v>
      </c>
      <c r="D253" s="4" t="s">
        <v>262</v>
      </c>
      <c r="E253" s="43">
        <v>113.15900000000001</v>
      </c>
      <c r="F253" s="58">
        <v>26.155686999999997</v>
      </c>
      <c r="G253" s="53">
        <f>100*F253/E253</f>
        <v>23.114102280861442</v>
      </c>
      <c r="H253" s="1">
        <v>1.21</v>
      </c>
      <c r="I253" s="1"/>
      <c r="J253" s="1"/>
      <c r="K253" s="6"/>
      <c r="L253" s="34">
        <f>5/779</f>
        <v>6.4184852374839542E-3</v>
      </c>
      <c r="M253" s="43">
        <v>98.340362999999996</v>
      </c>
      <c r="N253" s="55">
        <v>1429141.2667100001</v>
      </c>
      <c r="O253" s="6">
        <f t="shared" si="19"/>
        <v>0.31573742846569869</v>
      </c>
      <c r="P253" s="60">
        <v>99.464043000000004</v>
      </c>
      <c r="Q253" s="1">
        <v>1261145.92195666</v>
      </c>
      <c r="R253" s="56">
        <f t="shared" si="20"/>
        <v>0.27862254039816986</v>
      </c>
      <c r="S253" t="s">
        <v>636</v>
      </c>
      <c r="T253" s="54" t="s">
        <v>647</v>
      </c>
    </row>
    <row r="254" spans="1:22" ht="30" x14ac:dyDescent="0.25">
      <c r="A254" s="1">
        <v>214</v>
      </c>
      <c r="B254" s="2" t="s">
        <v>597</v>
      </c>
      <c r="C254" s="1" t="s">
        <v>571</v>
      </c>
      <c r="D254" s="4" t="s">
        <v>262</v>
      </c>
      <c r="E254" s="43">
        <v>72.551102</v>
      </c>
      <c r="F254" s="43"/>
      <c r="G254" s="53"/>
      <c r="H254" s="1">
        <v>4.49</v>
      </c>
      <c r="I254" s="1"/>
      <c r="J254" s="1"/>
      <c r="K254" s="6"/>
      <c r="L254" s="34">
        <f>5/813</f>
        <v>6.1500615006150061E-3</v>
      </c>
      <c r="M254" s="43">
        <v>64.314186000000007</v>
      </c>
      <c r="N254" s="55">
        <v>803851.039704</v>
      </c>
      <c r="O254" s="6">
        <f t="shared" si="19"/>
        <v>0.27699477249291127</v>
      </c>
      <c r="P254" s="60">
        <v>67.171074000000004</v>
      </c>
      <c r="Q254" s="1">
        <v>576872.65988418204</v>
      </c>
      <c r="R254" s="56">
        <f t="shared" si="20"/>
        <v>0.19878149469190076</v>
      </c>
      <c r="S254" t="s">
        <v>636</v>
      </c>
      <c r="T254" s="54" t="s">
        <v>647</v>
      </c>
    </row>
    <row r="255" spans="1:22" ht="30" x14ac:dyDescent="0.25">
      <c r="A255" s="1">
        <v>141</v>
      </c>
      <c r="B255" s="2" t="s">
        <v>605</v>
      </c>
      <c r="C255" s="1" t="s">
        <v>23</v>
      </c>
      <c r="D255" s="4" t="s">
        <v>262</v>
      </c>
      <c r="E255" s="43">
        <v>417.69799999999998</v>
      </c>
      <c r="F255" s="58">
        <v>109.16173099999999</v>
      </c>
      <c r="G255" s="53">
        <f t="shared" ref="G255:G267" si="21">100*F255/E255</f>
        <v>26.134128245766078</v>
      </c>
      <c r="H255" s="1">
        <v>1.1399999999999999</v>
      </c>
      <c r="I255" s="1">
        <v>2.36</v>
      </c>
      <c r="J255" s="1">
        <f>4.89-I255</f>
        <v>2.5299999999999998</v>
      </c>
      <c r="K255" s="6">
        <f>I255/J255</f>
        <v>0.93280632411067199</v>
      </c>
      <c r="L255" s="34">
        <f>10/216</f>
        <v>4.6296296296296294E-2</v>
      </c>
      <c r="M255" s="43">
        <v>235.05208999999999</v>
      </c>
      <c r="N255" s="55">
        <v>16411748.054161999</v>
      </c>
      <c r="O255" s="6">
        <f t="shared" si="19"/>
        <v>0.98227355973466468</v>
      </c>
      <c r="P255" s="60">
        <v>218.66713999999999</v>
      </c>
      <c r="Q255" s="1">
        <v>3707565.5433556298</v>
      </c>
      <c r="R255" s="56">
        <f t="shared" si="20"/>
        <v>0.22190467415187706</v>
      </c>
      <c r="S255" s="64" t="s">
        <v>637</v>
      </c>
      <c r="T255" s="54" t="s">
        <v>647</v>
      </c>
      <c r="V255" s="52"/>
    </row>
    <row r="256" spans="1:22" ht="30" x14ac:dyDescent="0.25">
      <c r="A256" s="1">
        <v>154</v>
      </c>
      <c r="B256" s="2" t="s">
        <v>615</v>
      </c>
      <c r="C256" s="1" t="s">
        <v>31</v>
      </c>
      <c r="D256" s="4" t="s">
        <v>262</v>
      </c>
      <c r="E256" s="43">
        <v>501.77399000000003</v>
      </c>
      <c r="F256" s="58">
        <v>225.05179400000003</v>
      </c>
      <c r="G256" s="53">
        <f t="shared" si="21"/>
        <v>44.851227541706585</v>
      </c>
      <c r="H256" s="1">
        <v>1.25</v>
      </c>
      <c r="I256" s="1">
        <v>2.29</v>
      </c>
      <c r="J256" s="1">
        <f>4.83-I256</f>
        <v>2.54</v>
      </c>
      <c r="K256" s="6">
        <f>I256/J256</f>
        <v>0.90157480314960625</v>
      </c>
      <c r="L256" s="34">
        <f>10/296</f>
        <v>3.3783783783783786E-2</v>
      </c>
      <c r="M256" s="43">
        <v>424.53424000000001</v>
      </c>
      <c r="N256" s="55">
        <v>17491413.580040999</v>
      </c>
      <c r="O256" s="6">
        <f t="shared" si="19"/>
        <v>0.87147869003936407</v>
      </c>
      <c r="P256" s="60">
        <v>413.14514000000003</v>
      </c>
      <c r="Q256" s="1">
        <v>4699161.5992480898</v>
      </c>
      <c r="R256" s="56">
        <f t="shared" si="20"/>
        <v>0.23412740062752604</v>
      </c>
      <c r="S256" s="64" t="s">
        <v>637</v>
      </c>
      <c r="T256" s="54" t="s">
        <v>647</v>
      </c>
      <c r="V256" s="52"/>
    </row>
    <row r="257" spans="1:185" ht="30" x14ac:dyDescent="0.25">
      <c r="A257" s="23">
        <v>155</v>
      </c>
      <c r="B257" s="8" t="s">
        <v>616</v>
      </c>
      <c r="C257" s="23" t="s">
        <v>33</v>
      </c>
      <c r="D257" s="24" t="s">
        <v>262</v>
      </c>
      <c r="E257" s="43">
        <v>410.44400000000002</v>
      </c>
      <c r="F257" s="58">
        <v>96.345256999999989</v>
      </c>
      <c r="G257" s="53">
        <f t="shared" si="21"/>
        <v>23.473423171005052</v>
      </c>
      <c r="H257" s="23">
        <v>0.36</v>
      </c>
      <c r="I257" s="23"/>
      <c r="J257" s="23"/>
      <c r="K257" s="25"/>
      <c r="L257" s="36">
        <f>10/294</f>
        <v>3.4013605442176874E-2</v>
      </c>
      <c r="M257" s="43">
        <v>367.52352999999999</v>
      </c>
      <c r="N257" s="55">
        <v>18525550.567084</v>
      </c>
      <c r="O257" s="6">
        <f t="shared" si="19"/>
        <v>1.1283847837393164</v>
      </c>
      <c r="P257" s="60">
        <v>352.07736</v>
      </c>
      <c r="Q257" s="23">
        <v>3857488.4482526002</v>
      </c>
      <c r="R257" s="56">
        <f t="shared" si="20"/>
        <v>0.23495826764751102</v>
      </c>
      <c r="S257" s="64" t="s">
        <v>637</v>
      </c>
      <c r="T257" s="54" t="s">
        <v>647</v>
      </c>
      <c r="V257" s="52"/>
    </row>
    <row r="258" spans="1:185" ht="30" x14ac:dyDescent="0.25">
      <c r="A258" s="1">
        <v>172</v>
      </c>
      <c r="B258" s="2" t="s">
        <v>48</v>
      </c>
      <c r="C258" s="1" t="s">
        <v>12</v>
      </c>
      <c r="D258" s="4" t="s">
        <v>262</v>
      </c>
      <c r="E258" s="43">
        <v>450.27802000000003</v>
      </c>
      <c r="F258" s="58">
        <v>234.327609</v>
      </c>
      <c r="G258" s="53">
        <f t="shared" si="21"/>
        <v>52.040650129890864</v>
      </c>
      <c r="H258" s="1">
        <v>5.0599999999999996</v>
      </c>
      <c r="I258" s="1">
        <v>4.55</v>
      </c>
      <c r="J258" s="1">
        <f>11.5-I258</f>
        <v>6.95</v>
      </c>
      <c r="K258" s="6">
        <f>I258/J258</f>
        <v>0.65467625899280568</v>
      </c>
      <c r="L258" s="34">
        <f>10/175</f>
        <v>5.7142857142857141E-2</v>
      </c>
      <c r="M258" s="43">
        <v>466.70102000000003</v>
      </c>
      <c r="N258" s="55">
        <v>17514420.625836998</v>
      </c>
      <c r="O258" s="6">
        <f t="shared" si="19"/>
        <v>0.97242258382038038</v>
      </c>
      <c r="P258" s="60">
        <v>443.78332999999998</v>
      </c>
      <c r="Q258" s="1">
        <v>7428185.7302145502</v>
      </c>
      <c r="R258" s="56">
        <f t="shared" si="20"/>
        <v>0.41242218142329878</v>
      </c>
      <c r="S258" s="64" t="s">
        <v>637</v>
      </c>
      <c r="T258" s="22" t="s">
        <v>649</v>
      </c>
      <c r="U258" s="22"/>
      <c r="V258" s="52"/>
    </row>
    <row r="259" spans="1:185" ht="30" x14ac:dyDescent="0.25">
      <c r="A259" s="1">
        <v>174</v>
      </c>
      <c r="B259" s="2" t="s">
        <v>13</v>
      </c>
      <c r="C259" s="1" t="s">
        <v>573</v>
      </c>
      <c r="D259" s="4" t="s">
        <v>262</v>
      </c>
      <c r="E259" s="43">
        <v>95.251801</v>
      </c>
      <c r="F259" s="58">
        <v>43.655372</v>
      </c>
      <c r="G259" s="53">
        <f t="shared" si="21"/>
        <v>45.831544959449111</v>
      </c>
      <c r="H259" s="1">
        <v>2.29</v>
      </c>
      <c r="I259" s="1"/>
      <c r="J259" s="1"/>
      <c r="K259" s="6"/>
      <c r="L259" s="34">
        <f>10/436</f>
        <v>2.2935779816513763E-2</v>
      </c>
      <c r="M259" s="43">
        <v>382.09942999999998</v>
      </c>
      <c r="N259" s="55">
        <v>16808825.412154</v>
      </c>
      <c r="O259" s="6">
        <f t="shared" si="19"/>
        <v>4.4116817833591409</v>
      </c>
      <c r="P259" s="60">
        <v>353.61792000000003</v>
      </c>
      <c r="Q259" s="1">
        <v>1143476.4761042399</v>
      </c>
      <c r="R259" s="56">
        <f t="shared" si="20"/>
        <v>0.30011938464665883</v>
      </c>
      <c r="S259" s="64" t="s">
        <v>637</v>
      </c>
      <c r="T259" s="22" t="s">
        <v>649</v>
      </c>
      <c r="V259" s="52"/>
    </row>
    <row r="260" spans="1:185" ht="30" x14ac:dyDescent="0.25">
      <c r="A260" s="1">
        <v>176</v>
      </c>
      <c r="B260" s="2" t="s">
        <v>49</v>
      </c>
      <c r="C260" s="1" t="s">
        <v>16</v>
      </c>
      <c r="D260" s="4" t="str">
        <f>D258</f>
        <v>5.а</v>
      </c>
      <c r="E260" s="43">
        <v>327.11200000000002</v>
      </c>
      <c r="F260" s="58">
        <v>61.629109999999997</v>
      </c>
      <c r="G260" s="53">
        <f t="shared" si="21"/>
        <v>18.840369659321578</v>
      </c>
      <c r="H260" s="1">
        <v>0.91</v>
      </c>
      <c r="I260" s="1">
        <v>2.33</v>
      </c>
      <c r="J260" s="1">
        <f>4.18-I260</f>
        <v>1.8499999999999996</v>
      </c>
      <c r="K260" s="6">
        <f>I260/J260</f>
        <v>1.2594594594594597</v>
      </c>
      <c r="L260" s="34">
        <f>10/407</f>
        <v>2.4570024570024569E-2</v>
      </c>
      <c r="M260" s="43">
        <v>281.14269999999999</v>
      </c>
      <c r="N260" s="55">
        <v>18270148.489507999</v>
      </c>
      <c r="O260" s="6">
        <f t="shared" si="19"/>
        <v>1.396322092242718</v>
      </c>
      <c r="P260" s="60">
        <v>264.07580999999999</v>
      </c>
      <c r="Q260" s="1">
        <v>3949787.4143080702</v>
      </c>
      <c r="R260" s="56">
        <f t="shared" si="20"/>
        <v>0.3018681227154667</v>
      </c>
      <c r="S260" s="64" t="s">
        <v>637</v>
      </c>
      <c r="T260" s="22" t="s">
        <v>649</v>
      </c>
      <c r="V260" s="52"/>
    </row>
    <row r="261" spans="1:185" ht="30" x14ac:dyDescent="0.25">
      <c r="A261" s="1">
        <v>180</v>
      </c>
      <c r="B261" s="2" t="s">
        <v>56</v>
      </c>
      <c r="C261" s="1" t="s">
        <v>53</v>
      </c>
      <c r="D261" s="4" t="s">
        <v>262</v>
      </c>
      <c r="E261" s="43">
        <v>83.822502</v>
      </c>
      <c r="F261" s="58">
        <v>26.451011000000005</v>
      </c>
      <c r="G261" s="53">
        <f t="shared" si="21"/>
        <v>31.555978846825646</v>
      </c>
      <c r="H261" s="1">
        <v>0.4</v>
      </c>
      <c r="I261" s="1"/>
      <c r="J261" s="1"/>
      <c r="K261" s="6"/>
      <c r="L261" s="34">
        <f>10/150</f>
        <v>6.6666666666666666E-2</v>
      </c>
      <c r="M261" s="43">
        <v>258.59859999999998</v>
      </c>
      <c r="N261" s="55">
        <v>6678360.3790920004</v>
      </c>
      <c r="O261" s="6">
        <f t="shared" si="19"/>
        <v>1.9918161053854013</v>
      </c>
      <c r="P261" s="60">
        <v>245.85509999999999</v>
      </c>
      <c r="Q261" s="1">
        <v>1022008.54145675</v>
      </c>
      <c r="R261" s="56">
        <f t="shared" si="20"/>
        <v>0.30481330104437532</v>
      </c>
      <c r="S261" s="64" t="s">
        <v>637</v>
      </c>
      <c r="T261" s="22" t="s">
        <v>649</v>
      </c>
      <c r="V261" s="52"/>
    </row>
    <row r="262" spans="1:185" ht="30" x14ac:dyDescent="0.25">
      <c r="A262" s="1">
        <v>188</v>
      </c>
      <c r="B262" s="2" t="s">
        <v>72</v>
      </c>
      <c r="C262" s="1" t="s">
        <v>68</v>
      </c>
      <c r="D262" s="4" t="s">
        <v>262</v>
      </c>
      <c r="E262" s="43">
        <v>276.89899000000003</v>
      </c>
      <c r="F262" s="58">
        <v>55.944941</v>
      </c>
      <c r="G262" s="53">
        <f t="shared" si="21"/>
        <v>20.204097169151826</v>
      </c>
      <c r="H262" s="1">
        <v>0.25</v>
      </c>
      <c r="I262" s="1"/>
      <c r="J262" s="1"/>
      <c r="K262" s="6"/>
      <c r="L262" s="34">
        <f>20/728</f>
        <v>2.7472527472527472E-2</v>
      </c>
      <c r="M262" s="43">
        <v>248.05275</v>
      </c>
      <c r="N262" s="55">
        <v>14081555.652086001</v>
      </c>
      <c r="O262" s="6">
        <f t="shared" si="19"/>
        <v>1.2713621357093068</v>
      </c>
      <c r="P262" s="60">
        <v>227.23952</v>
      </c>
      <c r="Q262" s="1">
        <v>1986864.87128905</v>
      </c>
      <c r="R262" s="56">
        <f t="shared" si="20"/>
        <v>0.17938534836196496</v>
      </c>
      <c r="S262" s="64" t="s">
        <v>637</v>
      </c>
      <c r="T262" t="s">
        <v>647</v>
      </c>
      <c r="V262" s="52"/>
    </row>
    <row r="263" spans="1:185" ht="30" x14ac:dyDescent="0.25">
      <c r="A263" s="1">
        <v>204</v>
      </c>
      <c r="B263" s="2" t="s">
        <v>82</v>
      </c>
      <c r="C263" s="1" t="s">
        <v>578</v>
      </c>
      <c r="D263" s="4" t="s">
        <v>262</v>
      </c>
      <c r="E263" s="43">
        <v>549.85699</v>
      </c>
      <c r="F263" s="58">
        <v>268.80879800000002</v>
      </c>
      <c r="G263" s="53">
        <f t="shared" si="21"/>
        <v>48.887038427937419</v>
      </c>
      <c r="H263" s="1">
        <v>6.9</v>
      </c>
      <c r="I263" s="1">
        <v>6.21</v>
      </c>
      <c r="J263" s="1">
        <f>10.6-I263</f>
        <v>4.3899999999999997</v>
      </c>
      <c r="K263" s="6">
        <f>I263/J263</f>
        <v>1.4145785876993167</v>
      </c>
      <c r="L263" s="34">
        <f>10/287</f>
        <v>3.484320557491289E-2</v>
      </c>
      <c r="M263" s="43">
        <v>224.47441000000001</v>
      </c>
      <c r="N263" s="55">
        <v>9603793.8589639999</v>
      </c>
      <c r="O263" s="6">
        <f t="shared" si="19"/>
        <v>0.43664962133899576</v>
      </c>
      <c r="P263" s="60">
        <v>209.37024</v>
      </c>
      <c r="Q263" s="1">
        <v>5643960.6281613996</v>
      </c>
      <c r="R263" s="56">
        <f t="shared" si="20"/>
        <v>0.25661038828302424</v>
      </c>
      <c r="S263" s="64" t="s">
        <v>638</v>
      </c>
      <c r="T263" s="64" t="s">
        <v>647</v>
      </c>
      <c r="V263" s="52"/>
    </row>
    <row r="264" spans="1:185" ht="30" x14ac:dyDescent="0.25">
      <c r="A264" s="1">
        <v>263</v>
      </c>
      <c r="B264" s="2" t="s">
        <v>89</v>
      </c>
      <c r="C264" s="1" t="s">
        <v>51</v>
      </c>
      <c r="D264" s="4" t="s">
        <v>262</v>
      </c>
      <c r="E264" s="43">
        <v>160.66900999999999</v>
      </c>
      <c r="F264" s="58">
        <v>58.016466000000001</v>
      </c>
      <c r="G264" s="53">
        <f t="shared" si="21"/>
        <v>36.10930695346913</v>
      </c>
      <c r="H264" s="1">
        <v>7.72</v>
      </c>
      <c r="I264" s="1"/>
      <c r="J264" s="1"/>
      <c r="K264" s="6"/>
      <c r="L264" s="34">
        <f>20/1578</f>
        <v>1.2674271229404309E-2</v>
      </c>
      <c r="M264" s="43">
        <v>174.07714999999999</v>
      </c>
      <c r="N264" s="55">
        <v>8694292.0117189996</v>
      </c>
      <c r="O264" s="6">
        <f t="shared" si="19"/>
        <v>1.3528265363244285</v>
      </c>
      <c r="P264" s="60">
        <v>154.51785000000001</v>
      </c>
      <c r="Q264" s="1">
        <v>1458098.64229987</v>
      </c>
      <c r="R264" s="56">
        <f t="shared" si="20"/>
        <v>0.22687925977446893</v>
      </c>
      <c r="S264" s="64" t="s">
        <v>638</v>
      </c>
      <c r="T264" s="54" t="s">
        <v>649</v>
      </c>
      <c r="V264" s="52"/>
    </row>
    <row r="265" spans="1:185" ht="30" x14ac:dyDescent="0.25">
      <c r="A265" s="1">
        <v>217</v>
      </c>
      <c r="B265" s="2" t="s">
        <v>103</v>
      </c>
      <c r="C265" s="1" t="s">
        <v>582</v>
      </c>
      <c r="D265" s="4" t="s">
        <v>262</v>
      </c>
      <c r="E265" s="43">
        <v>646.84198000000004</v>
      </c>
      <c r="F265" s="58">
        <v>473.50778500000001</v>
      </c>
      <c r="G265" s="53">
        <f t="shared" si="21"/>
        <v>73.203007788702891</v>
      </c>
      <c r="H265" s="1">
        <v>10.6</v>
      </c>
      <c r="I265" s="1"/>
      <c r="J265" s="1"/>
      <c r="K265" s="6"/>
      <c r="L265" s="34">
        <f>5/979</f>
        <v>5.1072522982635342E-3</v>
      </c>
      <c r="M265" s="43">
        <v>411.73482999999999</v>
      </c>
      <c r="N265" s="55">
        <v>13259017.158237001</v>
      </c>
      <c r="O265" s="6">
        <f t="shared" si="19"/>
        <v>0.51245194221303481</v>
      </c>
      <c r="P265" s="60">
        <v>362.86603000000002</v>
      </c>
      <c r="Q265" s="1">
        <v>15684867.420816399</v>
      </c>
      <c r="R265" s="56">
        <f t="shared" si="20"/>
        <v>0.60620939525355177</v>
      </c>
      <c r="S265" s="64" t="s">
        <v>640</v>
      </c>
      <c r="T265" s="61" t="s">
        <v>647</v>
      </c>
      <c r="U265" s="20"/>
      <c r="V265" s="62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</row>
    <row r="266" spans="1:185" ht="30" x14ac:dyDescent="0.25">
      <c r="A266" s="1">
        <v>225</v>
      </c>
      <c r="B266" s="2" t="s">
        <v>116</v>
      </c>
      <c r="C266" s="1" t="s">
        <v>115</v>
      </c>
      <c r="D266" s="4" t="s">
        <v>262</v>
      </c>
      <c r="E266" s="43">
        <v>2062.6201000000001</v>
      </c>
      <c r="F266" s="58">
        <v>968.23059299999989</v>
      </c>
      <c r="G266" s="53">
        <f t="shared" si="21"/>
        <v>46.94178016591615</v>
      </c>
      <c r="H266" s="1">
        <v>6.86</v>
      </c>
      <c r="I266" s="1"/>
      <c r="J266" s="1"/>
      <c r="K266" s="6"/>
      <c r="L266" s="34">
        <f>20/7105</f>
        <v>2.8149190710767065E-3</v>
      </c>
      <c r="M266" s="43">
        <v>310.49380000000002</v>
      </c>
      <c r="N266" s="55">
        <v>32072723.014113002</v>
      </c>
      <c r="O266" s="6">
        <f t="shared" si="19"/>
        <v>0.38873764264821481</v>
      </c>
      <c r="P266" s="60">
        <v>301.86682000000002</v>
      </c>
      <c r="Q266" s="1">
        <v>23476146.7311766</v>
      </c>
      <c r="R266" s="56">
        <f t="shared" si="20"/>
        <v>0.28454278530467875</v>
      </c>
      <c r="S266" s="64" t="s">
        <v>640</v>
      </c>
      <c r="T266" s="61" t="s">
        <v>647</v>
      </c>
      <c r="U266" s="20"/>
      <c r="V266" s="52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</row>
    <row r="267" spans="1:185" ht="30" x14ac:dyDescent="0.25">
      <c r="A267" s="1">
        <v>229</v>
      </c>
      <c r="B267" s="8" t="s">
        <v>121</v>
      </c>
      <c r="C267" s="2" t="s">
        <v>585</v>
      </c>
      <c r="D267" s="4" t="s">
        <v>262</v>
      </c>
      <c r="E267" s="43">
        <v>200.59398999999999</v>
      </c>
      <c r="F267" s="58">
        <v>151.511156</v>
      </c>
      <c r="G267" s="53">
        <f t="shared" si="21"/>
        <v>75.531253952324292</v>
      </c>
      <c r="H267" s="1">
        <v>0.98</v>
      </c>
      <c r="I267" s="1"/>
      <c r="J267" s="1"/>
      <c r="K267" s="6"/>
      <c r="L267" s="34">
        <f>5/621</f>
        <v>8.0515297906602248E-3</v>
      </c>
      <c r="M267" s="43">
        <v>392.69033999999999</v>
      </c>
      <c r="N267" s="55">
        <v>10333650.285425</v>
      </c>
      <c r="O267" s="6">
        <f t="shared" si="19"/>
        <v>1.2878813424850117</v>
      </c>
      <c r="P267" s="60">
        <v>408.61099000000002</v>
      </c>
      <c r="Q267" s="1">
        <v>4334465.8341648197</v>
      </c>
      <c r="R267" s="56">
        <f t="shared" si="20"/>
        <v>0.54020385084378897</v>
      </c>
      <c r="S267" s="64" t="s">
        <v>640</v>
      </c>
      <c r="T267" s="61" t="s">
        <v>647</v>
      </c>
      <c r="U267" s="20"/>
      <c r="V267" s="52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</row>
    <row r="268" spans="1:185" ht="30" x14ac:dyDescent="0.25">
      <c r="A268" s="1">
        <v>234</v>
      </c>
      <c r="B268" s="8" t="s">
        <v>127</v>
      </c>
      <c r="C268" s="1" t="s">
        <v>573</v>
      </c>
      <c r="D268" s="4" t="s">
        <v>262</v>
      </c>
      <c r="E268" s="43">
        <v>30.961500000000001</v>
      </c>
      <c r="F268" s="43"/>
      <c r="G268" s="53"/>
      <c r="H268" s="1">
        <v>0.05</v>
      </c>
      <c r="I268" s="1"/>
      <c r="J268" s="1"/>
      <c r="K268" s="6"/>
      <c r="L268" s="34">
        <f>5/3801</f>
        <v>1.3154433043935806E-3</v>
      </c>
      <c r="M268" s="43">
        <v>76.388717999999997</v>
      </c>
      <c r="N268" s="55">
        <v>8021706.795992</v>
      </c>
      <c r="O268" s="6">
        <f t="shared" si="19"/>
        <v>6.4771626019346611</v>
      </c>
      <c r="P268" s="60">
        <v>69.341904</v>
      </c>
      <c r="Q268" s="1">
        <v>250163.31557079201</v>
      </c>
      <c r="R268" s="56">
        <f t="shared" si="20"/>
        <v>0.20199547467886891</v>
      </c>
      <c r="S268" s="64" t="s">
        <v>640</v>
      </c>
      <c r="T268" s="61" t="s">
        <v>647</v>
      </c>
      <c r="V268" s="52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</row>
    <row r="269" spans="1:185" ht="30" x14ac:dyDescent="0.25">
      <c r="A269" s="1">
        <v>242</v>
      </c>
      <c r="B269" s="8" t="s">
        <v>136</v>
      </c>
      <c r="C269" s="1" t="s">
        <v>573</v>
      </c>
      <c r="D269" s="4" t="s">
        <v>262</v>
      </c>
      <c r="E269" s="43">
        <v>68.888000000000005</v>
      </c>
      <c r="F269" s="58">
        <v>58.966037999999998</v>
      </c>
      <c r="G269" s="53">
        <f>100*F269/E269</f>
        <v>85.596966089885029</v>
      </c>
      <c r="H269" s="1">
        <v>0.26</v>
      </c>
      <c r="I269" s="1">
        <v>1.22</v>
      </c>
      <c r="J269" s="1">
        <f>2.21-I269</f>
        <v>0.99</v>
      </c>
      <c r="K269" s="6">
        <f>I269/J269</f>
        <v>1.2323232323232323</v>
      </c>
      <c r="L269" s="34">
        <f>10/183</f>
        <v>5.4644808743169397E-2</v>
      </c>
      <c r="M269" s="43">
        <v>446.70546999999999</v>
      </c>
      <c r="N269" s="55">
        <v>12160751.577094</v>
      </c>
      <c r="O269" s="6">
        <f t="shared" si="19"/>
        <v>4.4132329204992162</v>
      </c>
      <c r="P269" s="60">
        <v>454.45657</v>
      </c>
      <c r="Q269" s="1">
        <v>802458.84605419205</v>
      </c>
      <c r="R269" s="56">
        <f t="shared" si="20"/>
        <v>0.29121866147013703</v>
      </c>
      <c r="S269" s="64" t="s">
        <v>640</v>
      </c>
      <c r="T269" s="61" t="s">
        <v>647</v>
      </c>
      <c r="V269" s="52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  <c r="FX269" s="26"/>
      <c r="FY269" s="26"/>
      <c r="FZ269" s="26"/>
      <c r="GA269" s="26"/>
      <c r="GB269" s="26"/>
      <c r="GC269" s="26"/>
    </row>
    <row r="270" spans="1:185" ht="30" x14ac:dyDescent="0.25">
      <c r="A270" s="1">
        <v>28</v>
      </c>
      <c r="B270" s="2" t="s">
        <v>291</v>
      </c>
      <c r="C270" s="1" t="s">
        <v>546</v>
      </c>
      <c r="D270" s="30" t="s">
        <v>262</v>
      </c>
      <c r="E270" s="51">
        <v>182.71600000000001</v>
      </c>
      <c r="F270" s="1"/>
      <c r="G270" s="14"/>
      <c r="H270" s="1">
        <v>1.98</v>
      </c>
      <c r="I270" s="1"/>
      <c r="J270" s="1"/>
      <c r="K270" s="6"/>
      <c r="L270" s="34">
        <v>1E-3</v>
      </c>
      <c r="M270" s="1">
        <v>24.461714000000001</v>
      </c>
      <c r="N270" s="42">
        <v>484298.72754200001</v>
      </c>
      <c r="O270" s="1">
        <f t="shared" si="19"/>
        <v>6.626386407621665E-2</v>
      </c>
      <c r="P270" s="51">
        <v>12.025022</v>
      </c>
      <c r="Q270" s="1">
        <v>1012619.02312873</v>
      </c>
      <c r="R270" s="51">
        <f t="shared" si="20"/>
        <v>0.13855095108374882</v>
      </c>
      <c r="S270" s="20" t="s">
        <v>641</v>
      </c>
      <c r="T270" t="s">
        <v>650</v>
      </c>
    </row>
    <row r="271" spans="1:185" ht="30" x14ac:dyDescent="0.25">
      <c r="A271" s="1">
        <v>30</v>
      </c>
      <c r="B271" s="2" t="s">
        <v>293</v>
      </c>
      <c r="C271" s="1" t="s">
        <v>547</v>
      </c>
      <c r="D271" s="30" t="s">
        <v>262</v>
      </c>
      <c r="E271" s="51">
        <v>155.87899999999999</v>
      </c>
      <c r="F271" s="1"/>
      <c r="G271" s="14"/>
      <c r="H271" s="1">
        <v>0.6</v>
      </c>
      <c r="I271" s="1"/>
      <c r="J271" s="1"/>
      <c r="K271" s="6"/>
      <c r="L271" s="34">
        <v>1E-3</v>
      </c>
      <c r="M271" s="1">
        <v>24.920131999999999</v>
      </c>
      <c r="N271" s="42">
        <v>690929.355002</v>
      </c>
      <c r="O271" s="1">
        <f t="shared" si="19"/>
        <v>0.11081180835808545</v>
      </c>
      <c r="P271" s="51">
        <v>12.988579</v>
      </c>
      <c r="Q271" s="1">
        <v>233872.494336387</v>
      </c>
      <c r="R271" s="51">
        <f t="shared" si="20"/>
        <v>3.7508659655307482E-2</v>
      </c>
      <c r="S271" s="20" t="s">
        <v>641</v>
      </c>
      <c r="T271" t="s">
        <v>650</v>
      </c>
    </row>
    <row r="272" spans="1:185" ht="30" x14ac:dyDescent="0.25">
      <c r="A272" s="1">
        <v>31</v>
      </c>
      <c r="B272" s="2" t="s">
        <v>294</v>
      </c>
      <c r="C272" s="1" t="s">
        <v>328</v>
      </c>
      <c r="D272" s="30" t="s">
        <v>262</v>
      </c>
      <c r="E272" s="51">
        <v>112.92400000000001</v>
      </c>
      <c r="F272" s="1"/>
      <c r="G272" s="14"/>
      <c r="H272" s="28">
        <v>0.28999999999999998</v>
      </c>
      <c r="I272" s="1"/>
      <c r="J272" s="1"/>
      <c r="K272" s="6"/>
      <c r="L272" s="34">
        <v>1E-3</v>
      </c>
      <c r="M272" s="1">
        <v>24.209755000000001</v>
      </c>
      <c r="N272" s="42">
        <v>387371.27429500001</v>
      </c>
      <c r="O272" s="1">
        <f t="shared" si="19"/>
        <v>8.5759288170583758E-2</v>
      </c>
      <c r="P272" s="51">
        <v>13.734332</v>
      </c>
      <c r="Q272" s="1">
        <v>167131.42351441001</v>
      </c>
      <c r="R272" s="51">
        <f t="shared" si="20"/>
        <v>3.7000864190608287E-2</v>
      </c>
      <c r="S272" s="20" t="s">
        <v>641</v>
      </c>
      <c r="T272" t="s">
        <v>650</v>
      </c>
    </row>
    <row r="273" spans="1:20" ht="30" x14ac:dyDescent="0.25">
      <c r="A273" s="1">
        <v>32</v>
      </c>
      <c r="B273" s="2" t="s">
        <v>295</v>
      </c>
      <c r="C273" s="1" t="s">
        <v>327</v>
      </c>
      <c r="D273" s="30" t="s">
        <v>262</v>
      </c>
      <c r="E273" s="51">
        <v>118.092</v>
      </c>
      <c r="F273" s="1"/>
      <c r="G273" s="14"/>
      <c r="H273" s="28">
        <v>0.83</v>
      </c>
      <c r="I273" s="1"/>
      <c r="J273" s="1"/>
      <c r="K273" s="6"/>
      <c r="L273" s="34">
        <v>1E-3</v>
      </c>
      <c r="M273" s="1">
        <v>24.166508</v>
      </c>
      <c r="N273" s="42">
        <v>397657.7586559999</v>
      </c>
      <c r="O273" s="1">
        <f t="shared" si="19"/>
        <v>8.4183890241506604E-2</v>
      </c>
      <c r="P273" s="51">
        <v>14.007315</v>
      </c>
      <c r="Q273" s="1">
        <v>166088.69637344699</v>
      </c>
      <c r="R273" s="51">
        <f t="shared" si="20"/>
        <v>3.5160869570641323E-2</v>
      </c>
      <c r="S273" s="20" t="s">
        <v>641</v>
      </c>
      <c r="T273" t="s">
        <v>650</v>
      </c>
    </row>
    <row r="274" spans="1:20" ht="30" x14ac:dyDescent="0.25">
      <c r="A274" s="1">
        <v>33</v>
      </c>
      <c r="B274" s="2" t="s">
        <v>296</v>
      </c>
      <c r="C274" s="28" t="s">
        <v>548</v>
      </c>
      <c r="D274" s="30" t="s">
        <v>262</v>
      </c>
      <c r="E274" s="51">
        <v>162.65799999999999</v>
      </c>
      <c r="F274" s="1"/>
      <c r="G274" s="14"/>
      <c r="H274" s="28">
        <v>0.56999999999999995</v>
      </c>
      <c r="I274" s="1"/>
      <c r="J274" s="1"/>
      <c r="K274" s="6"/>
      <c r="L274" s="34">
        <v>1E-3</v>
      </c>
      <c r="M274" s="1">
        <v>24.266504000000001</v>
      </c>
      <c r="N274" s="42">
        <v>418039.96881600004</v>
      </c>
      <c r="O274" s="1">
        <f t="shared" si="19"/>
        <v>6.4251369255739044E-2</v>
      </c>
      <c r="P274" s="51">
        <v>14.875723000000001</v>
      </c>
      <c r="Q274" s="1">
        <v>244429.593494164</v>
      </c>
      <c r="R274" s="51">
        <f t="shared" si="20"/>
        <v>3.756802516540287E-2</v>
      </c>
      <c r="S274" s="20" t="s">
        <v>641</v>
      </c>
      <c r="T274" t="s">
        <v>650</v>
      </c>
    </row>
    <row r="275" spans="1:20" ht="30" x14ac:dyDescent="0.25">
      <c r="A275" s="1">
        <v>34</v>
      </c>
      <c r="B275" s="2" t="s">
        <v>297</v>
      </c>
      <c r="C275" s="1" t="s">
        <v>549</v>
      </c>
      <c r="D275" s="30" t="s">
        <v>262</v>
      </c>
      <c r="E275" s="51">
        <v>190.411</v>
      </c>
      <c r="F275" s="1"/>
      <c r="G275" s="14"/>
      <c r="H275" s="28">
        <v>3.54</v>
      </c>
      <c r="I275" s="1"/>
      <c r="J275" s="1"/>
      <c r="K275" s="6"/>
      <c r="L275" s="34">
        <v>1E-3</v>
      </c>
      <c r="M275" s="1">
        <v>21.977195999999999</v>
      </c>
      <c r="N275" s="42">
        <v>345979.82406299998</v>
      </c>
      <c r="O275" s="1">
        <f t="shared" si="19"/>
        <v>4.5425398750991275E-2</v>
      </c>
      <c r="P275" s="51">
        <v>12.556673</v>
      </c>
      <c r="Q275" s="1">
        <v>572422.61959436501</v>
      </c>
      <c r="R275" s="51">
        <f t="shared" si="20"/>
        <v>7.5156191028139779E-2</v>
      </c>
      <c r="S275" s="20" t="s">
        <v>641</v>
      </c>
      <c r="T275" t="s">
        <v>650</v>
      </c>
    </row>
    <row r="276" spans="1:20" ht="30" x14ac:dyDescent="0.25">
      <c r="A276" s="1">
        <v>36</v>
      </c>
      <c r="B276" s="2" t="s">
        <v>299</v>
      </c>
      <c r="C276" s="1" t="s">
        <v>21</v>
      </c>
      <c r="D276" s="30" t="s">
        <v>262</v>
      </c>
      <c r="E276" s="51">
        <v>539.43399999999997</v>
      </c>
      <c r="F276" s="1"/>
      <c r="G276" s="14"/>
      <c r="H276" s="28">
        <v>6.63</v>
      </c>
      <c r="I276" s="1"/>
      <c r="J276" s="1"/>
      <c r="K276" s="6"/>
      <c r="L276" s="34">
        <v>1E-3</v>
      </c>
      <c r="M276" s="1">
        <v>14.833228999999999</v>
      </c>
      <c r="N276" s="42">
        <v>33283.772059000003</v>
      </c>
      <c r="O276" s="1">
        <f t="shared" si="19"/>
        <v>1.5425321753448986E-3</v>
      </c>
      <c r="P276" s="51">
        <v>11.115386000000001</v>
      </c>
      <c r="Q276" s="1">
        <v>1624813.8055734399</v>
      </c>
      <c r="R276" s="51">
        <f t="shared" si="20"/>
        <v>7.5301788799623307E-2</v>
      </c>
      <c r="S276" s="20" t="s">
        <v>641</v>
      </c>
      <c r="T276" t="s">
        <v>650</v>
      </c>
    </row>
    <row r="277" spans="1:20" ht="30" x14ac:dyDescent="0.25">
      <c r="A277" s="28">
        <v>67</v>
      </c>
      <c r="B277" s="2" t="s">
        <v>509</v>
      </c>
      <c r="C277" s="1" t="s">
        <v>508</v>
      </c>
      <c r="D277" s="50" t="s">
        <v>262</v>
      </c>
      <c r="E277" s="1">
        <v>214.76401000000001</v>
      </c>
      <c r="F277" s="1"/>
      <c r="G277" s="14"/>
      <c r="H277" s="1">
        <v>1.31</v>
      </c>
      <c r="I277" s="1"/>
      <c r="J277" s="1"/>
      <c r="K277" s="6"/>
      <c r="L277" s="34">
        <v>1E-3</v>
      </c>
      <c r="M277" s="51">
        <v>32.480365999999997</v>
      </c>
      <c r="N277" s="42">
        <v>1823782.8031870001</v>
      </c>
      <c r="O277" s="51">
        <f t="shared" si="19"/>
        <v>0.21230079508980579</v>
      </c>
      <c r="P277" s="1"/>
      <c r="Q277" s="1"/>
      <c r="S277" s="64" t="s">
        <v>643</v>
      </c>
      <c r="T277" t="s">
        <v>650</v>
      </c>
    </row>
    <row r="278" spans="1:20" ht="30" x14ac:dyDescent="0.25">
      <c r="A278" s="28">
        <v>68</v>
      </c>
      <c r="B278" s="2" t="s">
        <v>312</v>
      </c>
      <c r="C278" s="1" t="s">
        <v>561</v>
      </c>
      <c r="D278" s="50" t="s">
        <v>262</v>
      </c>
      <c r="E278" s="1">
        <v>316.48000999999999</v>
      </c>
      <c r="F278" s="1"/>
      <c r="G278" s="14"/>
      <c r="H278" s="1">
        <v>13.01</v>
      </c>
      <c r="I278" s="1"/>
      <c r="J278" s="1"/>
      <c r="K278" s="6"/>
      <c r="L278" s="34">
        <v>1E-3</v>
      </c>
      <c r="M278" s="51">
        <v>23.698629</v>
      </c>
      <c r="N278" s="42">
        <v>1844274.2424299996</v>
      </c>
      <c r="O278" s="51">
        <f t="shared" si="19"/>
        <v>0.14568647182724115</v>
      </c>
      <c r="P278" s="1"/>
      <c r="Q278" s="1"/>
      <c r="S278" s="64" t="s">
        <v>643</v>
      </c>
      <c r="T278" t="s">
        <v>650</v>
      </c>
    </row>
    <row r="279" spans="1:20" ht="30" x14ac:dyDescent="0.25">
      <c r="A279" s="1">
        <v>50</v>
      </c>
      <c r="B279" s="2" t="s">
        <v>335</v>
      </c>
      <c r="C279" s="1" t="s">
        <v>339</v>
      </c>
      <c r="D279" s="30" t="s">
        <v>262</v>
      </c>
      <c r="E279" s="1">
        <v>911.255</v>
      </c>
      <c r="F279" s="1"/>
      <c r="G279" s="14"/>
      <c r="H279" s="1">
        <v>1.43</v>
      </c>
      <c r="I279" s="1"/>
      <c r="J279" s="1"/>
      <c r="K279" s="6"/>
      <c r="L279" s="34">
        <f>10/7829</f>
        <v>1.2773023374632775E-3</v>
      </c>
      <c r="M279" s="51">
        <v>21.371382000000001</v>
      </c>
      <c r="N279" s="42">
        <v>1468122.423123</v>
      </c>
      <c r="O279" s="51">
        <f t="shared" si="19"/>
        <v>4.0277486080268418E-2</v>
      </c>
      <c r="P279" s="1"/>
      <c r="Q279" s="1"/>
      <c r="S279" s="64" t="s">
        <v>644</v>
      </c>
      <c r="T279" t="s">
        <v>650</v>
      </c>
    </row>
    <row r="280" spans="1:20" ht="30" x14ac:dyDescent="0.25">
      <c r="A280" s="1">
        <v>12</v>
      </c>
      <c r="B280" s="2" t="s">
        <v>147</v>
      </c>
      <c r="C280" s="1" t="s">
        <v>573</v>
      </c>
      <c r="D280" s="4" t="s">
        <v>262</v>
      </c>
      <c r="E280" s="1">
        <v>4.2178699999999996</v>
      </c>
      <c r="F280" s="1"/>
      <c r="G280" s="53"/>
      <c r="H280" s="1">
        <v>0.4</v>
      </c>
      <c r="I280" s="1">
        <v>0.13</v>
      </c>
      <c r="J280" s="1">
        <f>0.8-I280</f>
        <v>0.67</v>
      </c>
      <c r="K280" s="6">
        <f>I280/J280</f>
        <v>0.19402985074626866</v>
      </c>
      <c r="L280" s="34">
        <f>20/247</f>
        <v>8.0971659919028341E-2</v>
      </c>
      <c r="M280" s="43">
        <v>269.08710000000002</v>
      </c>
      <c r="N280" s="43">
        <v>16740.488510414001</v>
      </c>
      <c r="O280" s="34">
        <f t="shared" ref="O280:O296" si="22">(25*N280)/(E280*1000000)</f>
        <v>9.9223592182867193E-2</v>
      </c>
      <c r="P280" s="43"/>
      <c r="Q280" s="1"/>
      <c r="S280" t="s">
        <v>645</v>
      </c>
      <c r="T280" t="s">
        <v>647</v>
      </c>
    </row>
    <row r="281" spans="1:20" ht="30" x14ac:dyDescent="0.25">
      <c r="A281" s="9">
        <v>14</v>
      </c>
      <c r="B281" s="10" t="s">
        <v>150</v>
      </c>
      <c r="C281" s="1" t="s">
        <v>573</v>
      </c>
      <c r="D281" s="11" t="s">
        <v>262</v>
      </c>
      <c r="E281" s="9">
        <v>14.639900000000001</v>
      </c>
      <c r="F281" s="9"/>
      <c r="G281" s="53"/>
      <c r="H281" s="9">
        <v>0.14000000000000001</v>
      </c>
      <c r="I281" s="9">
        <v>0.71</v>
      </c>
      <c r="J281" s="9">
        <f>1.77-I281</f>
        <v>1.06</v>
      </c>
      <c r="K281" s="12">
        <f>I281/J281</f>
        <v>0.66981132075471694</v>
      </c>
      <c r="L281" s="46">
        <f>20/155</f>
        <v>0.12903225806451613</v>
      </c>
      <c r="M281" s="47">
        <v>552.93597</v>
      </c>
      <c r="N281" s="47">
        <v>114863.960905649</v>
      </c>
      <c r="O281" s="46">
        <f t="shared" si="22"/>
        <v>0.19614881403843093</v>
      </c>
      <c r="P281" s="47"/>
      <c r="Q281" s="9"/>
      <c r="R281" s="9"/>
      <c r="S281" t="s">
        <v>645</v>
      </c>
      <c r="T281" t="s">
        <v>647</v>
      </c>
    </row>
    <row r="282" spans="1:20" ht="30" x14ac:dyDescent="0.25">
      <c r="A282" s="14">
        <v>20</v>
      </c>
      <c r="B282" s="15" t="s">
        <v>152</v>
      </c>
      <c r="C282" s="14" t="s">
        <v>573</v>
      </c>
      <c r="D282" s="16" t="s">
        <v>262</v>
      </c>
      <c r="E282" s="14">
        <v>24.392700000000001</v>
      </c>
      <c r="F282" s="14"/>
      <c r="G282" s="53"/>
      <c r="H282" s="14">
        <v>0.61</v>
      </c>
      <c r="I282" s="14"/>
      <c r="J282" s="14"/>
      <c r="K282" s="14"/>
      <c r="L282" s="38">
        <f>20/842</f>
        <v>2.3752969121140142E-2</v>
      </c>
      <c r="M282" s="45">
        <v>383.03516000000002</v>
      </c>
      <c r="N282" s="45">
        <v>102820.55477320999</v>
      </c>
      <c r="O282" s="38">
        <f t="shared" si="22"/>
        <v>0.1053804568305374</v>
      </c>
      <c r="P282" s="45"/>
      <c r="Q282" s="14"/>
      <c r="R282" s="14"/>
      <c r="S282" t="s">
        <v>645</v>
      </c>
      <c r="T282" t="s">
        <v>647</v>
      </c>
    </row>
    <row r="283" spans="1:20" ht="30" x14ac:dyDescent="0.25">
      <c r="A283" s="1">
        <v>25</v>
      </c>
      <c r="B283" s="2" t="s">
        <v>158</v>
      </c>
      <c r="C283" s="1" t="s">
        <v>573</v>
      </c>
      <c r="D283" s="4" t="s">
        <v>262</v>
      </c>
      <c r="E283" s="1">
        <v>37.357100000000003</v>
      </c>
      <c r="F283" s="1"/>
      <c r="G283" s="53"/>
      <c r="H283" s="1">
        <v>0.78</v>
      </c>
      <c r="I283" s="1">
        <v>2.14</v>
      </c>
      <c r="J283" s="1">
        <f>4.6-I283</f>
        <v>2.4599999999999995</v>
      </c>
      <c r="K283" s="1">
        <f>I283/J283</f>
        <v>0.86991869918699205</v>
      </c>
      <c r="L283" s="34">
        <f>20/180</f>
        <v>0.1111111111111111</v>
      </c>
      <c r="M283" s="43">
        <v>371.44225999999998</v>
      </c>
      <c r="N283" s="43">
        <v>167145.614326182</v>
      </c>
      <c r="O283" s="34">
        <f t="shared" si="22"/>
        <v>0.11185665798883077</v>
      </c>
      <c r="P283" s="43"/>
      <c r="Q283" s="1"/>
      <c r="R283" s="14"/>
      <c r="S283" t="s">
        <v>645</v>
      </c>
      <c r="T283" t="s">
        <v>647</v>
      </c>
    </row>
    <row r="284" spans="1:20" ht="30" x14ac:dyDescent="0.25">
      <c r="A284" s="1">
        <v>26</v>
      </c>
      <c r="B284" s="2" t="s">
        <v>159</v>
      </c>
      <c r="C284" s="1" t="s">
        <v>573</v>
      </c>
      <c r="D284" s="4" t="s">
        <v>262</v>
      </c>
      <c r="E284" s="1">
        <v>15.422599999999999</v>
      </c>
      <c r="F284" s="1"/>
      <c r="G284" s="53"/>
      <c r="H284" s="1">
        <v>0.15</v>
      </c>
      <c r="I284" s="1"/>
      <c r="J284" s="1"/>
      <c r="K284" s="1"/>
      <c r="L284" s="34">
        <f>20/241</f>
        <v>8.2987551867219914E-2</v>
      </c>
      <c r="M284" s="43">
        <v>334.13126</v>
      </c>
      <c r="N284" s="43">
        <v>51189.857197827703</v>
      </c>
      <c r="O284" s="34">
        <f t="shared" si="22"/>
        <v>8.2978643675235872E-2</v>
      </c>
      <c r="P284" s="43"/>
      <c r="Q284" s="1"/>
      <c r="R284" s="14"/>
      <c r="S284" t="s">
        <v>645</v>
      </c>
      <c r="T284" t="s">
        <v>647</v>
      </c>
    </row>
    <row r="285" spans="1:20" ht="30" x14ac:dyDescent="0.25">
      <c r="A285" s="1">
        <v>32</v>
      </c>
      <c r="B285" s="2" t="s">
        <v>166</v>
      </c>
      <c r="C285" s="1" t="s">
        <v>573</v>
      </c>
      <c r="D285" s="4" t="s">
        <v>262</v>
      </c>
      <c r="E285" s="1">
        <v>18.2849</v>
      </c>
      <c r="F285" s="1">
        <v>4.7370809999999999</v>
      </c>
      <c r="G285" s="45">
        <f t="shared" ref="G285:G293" si="23">100*F285/E285</f>
        <v>25.907065392755772</v>
      </c>
      <c r="H285" s="1">
        <v>0.51</v>
      </c>
      <c r="I285" s="1">
        <v>1.79</v>
      </c>
      <c r="J285" s="1">
        <f>3.21-I285</f>
        <v>1.42</v>
      </c>
      <c r="K285" s="1">
        <f>I285/J285</f>
        <v>1.2605633802816902</v>
      </c>
      <c r="L285" s="34">
        <f>30/299</f>
        <v>0.10033444816053512</v>
      </c>
      <c r="M285" s="43">
        <v>384.45177999999999</v>
      </c>
      <c r="N285" s="43">
        <v>123396.968031643</v>
      </c>
      <c r="O285" s="34">
        <f t="shared" si="22"/>
        <v>0.16871430528966933</v>
      </c>
      <c r="P285" s="43"/>
      <c r="Q285" s="1"/>
      <c r="R285" s="14"/>
      <c r="S285" t="s">
        <v>645</v>
      </c>
      <c r="T285" t="s">
        <v>647</v>
      </c>
    </row>
    <row r="286" spans="1:20" ht="30" x14ac:dyDescent="0.25">
      <c r="A286" s="1">
        <v>33</v>
      </c>
      <c r="B286" s="2" t="s">
        <v>167</v>
      </c>
      <c r="C286" s="1" t="s">
        <v>573</v>
      </c>
      <c r="D286" s="4" t="s">
        <v>262</v>
      </c>
      <c r="E286" s="1">
        <v>10.5861</v>
      </c>
      <c r="F286" s="1">
        <v>0.62540899999999999</v>
      </c>
      <c r="G286" s="45">
        <f t="shared" si="23"/>
        <v>5.9078319683358362</v>
      </c>
      <c r="H286" s="1">
        <v>7.0000000000000007E-2</v>
      </c>
      <c r="I286" s="1"/>
      <c r="J286" s="1"/>
      <c r="K286" s="1"/>
      <c r="L286" s="34">
        <f>20/224</f>
        <v>8.9285714285714288E-2</v>
      </c>
      <c r="M286" s="43">
        <v>360.56198000000001</v>
      </c>
      <c r="N286" s="43">
        <v>52707.995019850503</v>
      </c>
      <c r="O286" s="34">
        <f t="shared" si="22"/>
        <v>0.12447453505032663</v>
      </c>
      <c r="P286" s="43"/>
      <c r="Q286" s="1"/>
      <c r="R286" s="14"/>
      <c r="S286" t="s">
        <v>645</v>
      </c>
      <c r="T286" t="s">
        <v>647</v>
      </c>
    </row>
    <row r="287" spans="1:20" ht="30" x14ac:dyDescent="0.25">
      <c r="A287" s="1">
        <v>35</v>
      </c>
      <c r="B287" s="2" t="s">
        <v>169</v>
      </c>
      <c r="C287" s="1" t="s">
        <v>573</v>
      </c>
      <c r="D287" s="4" t="s">
        <v>262</v>
      </c>
      <c r="E287" s="1">
        <v>316.56799999999998</v>
      </c>
      <c r="F287" s="1">
        <v>87.621890000000008</v>
      </c>
      <c r="G287" s="45">
        <f t="shared" si="23"/>
        <v>27.678694624851534</v>
      </c>
      <c r="H287" s="1">
        <v>0.4</v>
      </c>
      <c r="I287" s="1"/>
      <c r="J287" s="1"/>
      <c r="K287" s="1"/>
      <c r="L287" s="34"/>
      <c r="M287" s="43">
        <v>463.83118000000002</v>
      </c>
      <c r="N287" s="43">
        <v>399231.02243977698</v>
      </c>
      <c r="O287" s="34">
        <f t="shared" si="22"/>
        <v>3.1528062094066438E-2</v>
      </c>
      <c r="P287" s="43"/>
      <c r="Q287" s="1"/>
      <c r="R287" s="14"/>
      <c r="S287" t="s">
        <v>645</v>
      </c>
      <c r="T287" t="s">
        <v>647</v>
      </c>
    </row>
    <row r="288" spans="1:20" ht="30" x14ac:dyDescent="0.25">
      <c r="A288" s="1">
        <v>47</v>
      </c>
      <c r="B288" s="2" t="s">
        <v>188</v>
      </c>
      <c r="C288" s="1" t="s">
        <v>573</v>
      </c>
      <c r="D288" s="4" t="s">
        <v>262</v>
      </c>
      <c r="E288" s="1">
        <v>243.584</v>
      </c>
      <c r="F288" s="1">
        <v>211.3398</v>
      </c>
      <c r="G288" s="45">
        <f t="shared" si="23"/>
        <v>86.762595244351019</v>
      </c>
      <c r="H288" s="1">
        <v>2.11</v>
      </c>
      <c r="I288" s="1"/>
      <c r="J288" s="1"/>
      <c r="K288" s="1"/>
      <c r="L288" s="34">
        <f>50/3718</f>
        <v>1.3448090371167294E-2</v>
      </c>
      <c r="M288" s="43">
        <v>522.72277999999994</v>
      </c>
      <c r="N288" s="43">
        <v>253208.411810928</v>
      </c>
      <c r="O288" s="34">
        <f t="shared" si="22"/>
        <v>2.5987791871687795E-2</v>
      </c>
      <c r="P288" s="43"/>
      <c r="Q288" s="1"/>
      <c r="R288" s="14"/>
      <c r="S288" t="s">
        <v>645</v>
      </c>
      <c r="T288" t="s">
        <v>647</v>
      </c>
    </row>
    <row r="289" spans="1:185" ht="30" x14ac:dyDescent="0.25">
      <c r="A289" s="1">
        <v>98</v>
      </c>
      <c r="B289" s="2" t="s">
        <v>177</v>
      </c>
      <c r="C289" s="1" t="s">
        <v>51</v>
      </c>
      <c r="D289" s="4" t="s">
        <v>262</v>
      </c>
      <c r="E289" s="1">
        <v>440.363</v>
      </c>
      <c r="F289" s="1">
        <v>138.43069699999992</v>
      </c>
      <c r="G289" s="45">
        <f t="shared" si="23"/>
        <v>31.435587685613896</v>
      </c>
      <c r="H289" s="1">
        <v>8.15</v>
      </c>
      <c r="I289" s="1"/>
      <c r="J289" s="1"/>
      <c r="K289" s="1"/>
      <c r="L289" s="34">
        <f>3/235</f>
        <v>1.276595744680851E-2</v>
      </c>
      <c r="M289" s="43">
        <v>50.545493999999998</v>
      </c>
      <c r="N289" s="43">
        <v>4721.1765456611301</v>
      </c>
      <c r="O289" s="34">
        <f t="shared" si="22"/>
        <v>2.6802754464277939E-4</v>
      </c>
      <c r="P289" s="43"/>
      <c r="Q289" s="1"/>
      <c r="R289" s="14"/>
      <c r="S289" t="s">
        <v>645</v>
      </c>
      <c r="T289" t="s">
        <v>648</v>
      </c>
    </row>
    <row r="290" spans="1:185" ht="30" x14ac:dyDescent="0.25">
      <c r="A290" s="1">
        <v>114</v>
      </c>
      <c r="B290" s="2" t="s">
        <v>239</v>
      </c>
      <c r="C290" s="1" t="s">
        <v>235</v>
      </c>
      <c r="D290" s="4" t="s">
        <v>262</v>
      </c>
      <c r="E290" s="1">
        <v>243.345</v>
      </c>
      <c r="F290" s="1">
        <v>28.240437000000004</v>
      </c>
      <c r="G290" s="45">
        <f t="shared" si="23"/>
        <v>11.605102632065586</v>
      </c>
      <c r="H290" s="1">
        <v>2.83</v>
      </c>
      <c r="I290" s="1"/>
      <c r="J290" s="1"/>
      <c r="K290" s="1"/>
      <c r="L290" s="34">
        <f>10/3612</f>
        <v>2.7685492801771874E-3</v>
      </c>
      <c r="M290" s="43">
        <v>402.57272</v>
      </c>
      <c r="N290" s="43">
        <v>5991964.1975162299</v>
      </c>
      <c r="O290" s="34">
        <f t="shared" si="22"/>
        <v>0.61558324575358347</v>
      </c>
      <c r="P290" s="43"/>
      <c r="Q290" s="1"/>
      <c r="R290" s="14"/>
      <c r="S290" t="s">
        <v>645</v>
      </c>
      <c r="T290" t="s">
        <v>648</v>
      </c>
    </row>
    <row r="291" spans="1:185" ht="30" x14ac:dyDescent="0.25">
      <c r="A291" s="1">
        <v>128</v>
      </c>
      <c r="B291" s="39" t="s">
        <v>255</v>
      </c>
      <c r="C291" s="1" t="s">
        <v>246</v>
      </c>
      <c r="D291" s="4" t="s">
        <v>262</v>
      </c>
      <c r="E291" s="1">
        <v>353.37799999999999</v>
      </c>
      <c r="F291" s="1">
        <v>31.286587999999998</v>
      </c>
      <c r="G291" s="17">
        <f t="shared" si="23"/>
        <v>8.853575491400143</v>
      </c>
      <c r="H291" s="1">
        <v>2.16</v>
      </c>
      <c r="I291" s="1">
        <v>3.93</v>
      </c>
      <c r="J291" s="1">
        <f>6.57-I291</f>
        <v>2.64</v>
      </c>
      <c r="K291" s="1">
        <f>I291/J291</f>
        <v>1.4886363636363635</v>
      </c>
      <c r="L291" s="34">
        <f>5/112</f>
        <v>4.4642857142857144E-2</v>
      </c>
      <c r="M291" s="43">
        <v>105.98251</v>
      </c>
      <c r="N291" s="43">
        <v>28598.5638343229</v>
      </c>
      <c r="O291" s="34">
        <f t="shared" si="22"/>
        <v>2.0232275236660813E-3</v>
      </c>
      <c r="P291" s="43"/>
      <c r="Q291" s="1"/>
      <c r="R291" s="14"/>
      <c r="S291" t="s">
        <v>645</v>
      </c>
      <c r="T291" t="s">
        <v>647</v>
      </c>
    </row>
    <row r="292" spans="1:185" ht="30" x14ac:dyDescent="0.25">
      <c r="A292" s="1">
        <v>129</v>
      </c>
      <c r="B292" s="39" t="s">
        <v>256</v>
      </c>
      <c r="C292" s="1" t="s">
        <v>247</v>
      </c>
      <c r="D292" s="4" t="s">
        <v>262</v>
      </c>
      <c r="E292" s="1">
        <v>109.90600000000001</v>
      </c>
      <c r="F292" s="1">
        <v>2.5978949999999998</v>
      </c>
      <c r="G292" s="17">
        <f t="shared" si="23"/>
        <v>2.363742652812403</v>
      </c>
      <c r="H292" s="1">
        <v>2.34</v>
      </c>
      <c r="I292" s="1"/>
      <c r="J292" s="1"/>
      <c r="K292" s="1"/>
      <c r="L292" s="34">
        <f>20/449</f>
        <v>4.4543429844097995E-2</v>
      </c>
      <c r="M292" s="43">
        <v>403.34460000000001</v>
      </c>
      <c r="N292" s="43">
        <v>1061897.10390279</v>
      </c>
      <c r="O292" s="34">
        <f t="shared" si="22"/>
        <v>0.24154666349034401</v>
      </c>
      <c r="P292" s="43"/>
      <c r="Q292" s="1"/>
      <c r="R292" s="14"/>
      <c r="S292" t="s">
        <v>645</v>
      </c>
      <c r="T292" t="s">
        <v>647</v>
      </c>
    </row>
    <row r="293" spans="1:185" ht="30" x14ac:dyDescent="0.25">
      <c r="A293" s="1">
        <v>130</v>
      </c>
      <c r="B293" s="39" t="s">
        <v>258</v>
      </c>
      <c r="C293" s="1" t="s">
        <v>257</v>
      </c>
      <c r="D293" s="4" t="s">
        <v>262</v>
      </c>
      <c r="E293" s="1">
        <v>37.932600000000001</v>
      </c>
      <c r="F293" s="1">
        <v>4.445538</v>
      </c>
      <c r="G293" s="17">
        <f t="shared" si="23"/>
        <v>11.71957102861391</v>
      </c>
      <c r="H293" s="1">
        <v>0.72</v>
      </c>
      <c r="I293" s="1"/>
      <c r="J293" s="1"/>
      <c r="K293" s="1"/>
      <c r="L293" s="34">
        <f>10/138</f>
        <v>7.2463768115942032E-2</v>
      </c>
      <c r="M293" s="43">
        <v>458.26013</v>
      </c>
      <c r="N293" s="43">
        <v>338352.91989097401</v>
      </c>
      <c r="O293" s="34">
        <f t="shared" si="22"/>
        <v>0.22299612990605311</v>
      </c>
      <c r="P293" s="43"/>
      <c r="Q293" s="1"/>
      <c r="R293" s="14"/>
      <c r="S293" t="s">
        <v>645</v>
      </c>
      <c r="T293" t="s">
        <v>647</v>
      </c>
    </row>
    <row r="294" spans="1:185" ht="30" x14ac:dyDescent="0.25">
      <c r="A294" s="1">
        <v>133</v>
      </c>
      <c r="B294" s="39" t="s">
        <v>260</v>
      </c>
      <c r="C294" s="1" t="s">
        <v>573</v>
      </c>
      <c r="D294" s="4" t="s">
        <v>262</v>
      </c>
      <c r="E294" s="1">
        <v>25.2118</v>
      </c>
      <c r="F294" s="1"/>
      <c r="G294" s="53"/>
      <c r="H294" s="1">
        <v>0.47</v>
      </c>
      <c r="I294" s="1"/>
      <c r="J294" s="1"/>
      <c r="K294" s="1"/>
      <c r="L294" s="34">
        <f>10/274</f>
        <v>3.6496350364963501E-2</v>
      </c>
      <c r="M294" s="43">
        <v>345.60663</v>
      </c>
      <c r="N294" s="43">
        <v>199660.36000317</v>
      </c>
      <c r="O294" s="34">
        <f t="shared" si="22"/>
        <v>0.197983047623702</v>
      </c>
      <c r="P294" s="43"/>
      <c r="Q294" s="1"/>
      <c r="R294" s="14"/>
      <c r="S294" t="s">
        <v>645</v>
      </c>
      <c r="T294" t="s">
        <v>647</v>
      </c>
    </row>
    <row r="295" spans="1:185" ht="30" x14ac:dyDescent="0.25">
      <c r="A295" s="1">
        <v>273</v>
      </c>
      <c r="B295" s="2" t="s">
        <v>157</v>
      </c>
      <c r="C295" s="1" t="s">
        <v>573</v>
      </c>
      <c r="D295" s="4" t="s">
        <v>262</v>
      </c>
      <c r="E295" s="1">
        <v>12.0205</v>
      </c>
      <c r="F295" s="1"/>
      <c r="G295" s="53"/>
      <c r="H295" s="1">
        <v>0.28999999999999998</v>
      </c>
      <c r="I295" s="1"/>
      <c r="J295" s="1"/>
      <c r="K295" s="1"/>
      <c r="L295" s="34">
        <f>20/150</f>
        <v>0.13333333333333333</v>
      </c>
      <c r="M295" s="43">
        <v>248.0712</v>
      </c>
      <c r="N295" s="43">
        <v>50833.848229778698</v>
      </c>
      <c r="O295" s="34">
        <f t="shared" si="22"/>
        <v>0.10572323994380163</v>
      </c>
      <c r="P295" s="43"/>
      <c r="Q295" s="1"/>
      <c r="R295" s="14"/>
      <c r="S295" t="s">
        <v>645</v>
      </c>
      <c r="T295" t="s">
        <v>647</v>
      </c>
    </row>
    <row r="296" spans="1:185" ht="30" x14ac:dyDescent="0.25">
      <c r="A296" s="1">
        <v>277</v>
      </c>
      <c r="B296" s="2" t="s">
        <v>241</v>
      </c>
      <c r="C296" s="1" t="s">
        <v>573</v>
      </c>
      <c r="D296" s="4" t="s">
        <v>262</v>
      </c>
      <c r="E296" s="1">
        <v>45.453600000000002</v>
      </c>
      <c r="F296" s="1">
        <v>15.78417</v>
      </c>
      <c r="G296" s="17">
        <f>100*F296/E296</f>
        <v>34.725896298643008</v>
      </c>
      <c r="H296" s="1">
        <v>2.33</v>
      </c>
      <c r="I296" s="1">
        <v>3.84</v>
      </c>
      <c r="J296" s="1">
        <f>5.98-I296</f>
        <v>2.1400000000000006</v>
      </c>
      <c r="K296" s="1">
        <f>I296/J296</f>
        <v>1.7943925233644855</v>
      </c>
      <c r="L296" s="34">
        <f>10/216</f>
        <v>4.6296296296296294E-2</v>
      </c>
      <c r="M296" s="43">
        <v>396.21001999999999</v>
      </c>
      <c r="N296" s="43">
        <v>261585.887786976</v>
      </c>
      <c r="O296" s="34">
        <f t="shared" si="22"/>
        <v>0.14387523088763926</v>
      </c>
      <c r="P296" s="43"/>
      <c r="Q296" s="1"/>
      <c r="R296" s="14"/>
      <c r="S296" t="s">
        <v>645</v>
      </c>
      <c r="T296" t="s">
        <v>648</v>
      </c>
    </row>
    <row r="297" spans="1:185" ht="30" x14ac:dyDescent="0.25">
      <c r="A297" s="29">
        <v>4</v>
      </c>
      <c r="B297" s="2" t="s">
        <v>403</v>
      </c>
      <c r="C297" s="29" t="s">
        <v>344</v>
      </c>
      <c r="D297" s="30" t="s">
        <v>262</v>
      </c>
      <c r="E297" s="1">
        <v>759.54970400729803</v>
      </c>
      <c r="F297" s="1">
        <v>71.505107608934978</v>
      </c>
      <c r="G297" s="17">
        <f>100*F297/E297</f>
        <v>9.4141446216991653</v>
      </c>
      <c r="H297" s="1">
        <v>3.21</v>
      </c>
      <c r="I297" s="1"/>
      <c r="J297" s="1"/>
      <c r="K297" s="1"/>
      <c r="L297" s="34">
        <f>10/268</f>
        <v>3.7313432835820892E-2</v>
      </c>
      <c r="M297" s="29"/>
      <c r="N297" s="1"/>
      <c r="O297" s="1"/>
      <c r="P297" s="43">
        <v>420.39972999999998</v>
      </c>
      <c r="Q297" s="1">
        <v>11649158.746077999</v>
      </c>
      <c r="R297" s="38">
        <f>(25*Q297)/(E297*1000000)</f>
        <v>0.38342318760109972</v>
      </c>
      <c r="S297" t="s">
        <v>646</v>
      </c>
      <c r="T297" t="s">
        <v>647</v>
      </c>
    </row>
    <row r="298" spans="1:185" ht="30" x14ac:dyDescent="0.25">
      <c r="A298" s="29">
        <v>7</v>
      </c>
      <c r="B298" s="2" t="s">
        <v>405</v>
      </c>
      <c r="C298" s="29" t="s">
        <v>345</v>
      </c>
      <c r="D298" s="30" t="s">
        <v>262</v>
      </c>
      <c r="E298" s="1">
        <v>289.21134123916602</v>
      </c>
      <c r="F298" s="1">
        <v>17.058960068063001</v>
      </c>
      <c r="G298" s="17">
        <f>100*F298/E298</f>
        <v>5.8984409100180946</v>
      </c>
      <c r="H298" s="1">
        <v>2.97</v>
      </c>
      <c r="I298" s="1"/>
      <c r="J298" s="1"/>
      <c r="K298" s="1"/>
      <c r="L298" s="34">
        <f>10/131</f>
        <v>7.6335877862595422E-2</v>
      </c>
      <c r="M298" s="29"/>
      <c r="N298" s="1"/>
      <c r="O298" s="1"/>
      <c r="P298" s="43">
        <v>363.68708900000001</v>
      </c>
      <c r="Q298" s="1">
        <v>4300772.2192369103</v>
      </c>
      <c r="R298" s="38">
        <f>(25*Q298)/(E298*1000000)</f>
        <v>0.37176725165839419</v>
      </c>
      <c r="S298" t="s">
        <v>646</v>
      </c>
      <c r="T298" t="s">
        <v>647</v>
      </c>
    </row>
    <row r="299" spans="1:185" ht="30" x14ac:dyDescent="0.25">
      <c r="A299" s="29">
        <v>15</v>
      </c>
      <c r="B299" s="2" t="s">
        <v>404</v>
      </c>
      <c r="C299" s="1" t="s">
        <v>573</v>
      </c>
      <c r="D299" s="30" t="s">
        <v>262</v>
      </c>
      <c r="E299" s="1">
        <v>65.252841371180992</v>
      </c>
      <c r="F299" s="1">
        <v>7.1419095159419994</v>
      </c>
      <c r="G299" s="17">
        <f>100*F299/E299</f>
        <v>10.944978587700602</v>
      </c>
      <c r="H299" s="1">
        <v>0.37</v>
      </c>
      <c r="I299" s="1"/>
      <c r="J299" s="1"/>
      <c r="K299" s="1"/>
      <c r="L299" s="34">
        <f>10/109</f>
        <v>9.1743119266055051E-2</v>
      </c>
      <c r="M299" s="29"/>
      <c r="N299" s="1"/>
      <c r="O299" s="1"/>
      <c r="P299" s="43">
        <v>452.61878899999999</v>
      </c>
      <c r="Q299" s="1">
        <v>1083639.5797870101</v>
      </c>
      <c r="R299" s="38">
        <f>(25*Q299)/(E299*1000000)</f>
        <v>0.41516949952527321</v>
      </c>
      <c r="S299" t="s">
        <v>646</v>
      </c>
      <c r="T299" t="s">
        <v>647</v>
      </c>
    </row>
    <row r="300" spans="1:185" ht="30" x14ac:dyDescent="0.25">
      <c r="A300" s="29">
        <v>131</v>
      </c>
      <c r="B300" s="2" t="s">
        <v>415</v>
      </c>
      <c r="C300" s="29" t="s">
        <v>348</v>
      </c>
      <c r="D300" s="30" t="s">
        <v>262</v>
      </c>
      <c r="E300" s="1">
        <v>55.467441577745994</v>
      </c>
      <c r="F300" s="1"/>
      <c r="G300" s="53"/>
      <c r="H300" s="1">
        <v>0.08</v>
      </c>
      <c r="I300" s="1"/>
      <c r="J300" s="1"/>
      <c r="K300" s="1"/>
      <c r="L300" s="34">
        <f>10/136</f>
        <v>7.3529411764705885E-2</v>
      </c>
      <c r="M300" s="29"/>
      <c r="N300" s="1"/>
      <c r="O300" s="1"/>
      <c r="P300" s="43">
        <v>147.66294400000001</v>
      </c>
      <c r="Q300" s="1">
        <v>444441.523608207</v>
      </c>
      <c r="R300" s="38">
        <f>(25*Q300)/(E300*1000000)</f>
        <v>0.20031639776699234</v>
      </c>
      <c r="S300" t="s">
        <v>646</v>
      </c>
      <c r="T300" t="s">
        <v>648</v>
      </c>
    </row>
    <row r="301" spans="1:185" ht="30" x14ac:dyDescent="0.25">
      <c r="A301" s="1">
        <v>159</v>
      </c>
      <c r="B301" s="2" t="s">
        <v>620</v>
      </c>
      <c r="C301" s="1" t="s">
        <v>37</v>
      </c>
      <c r="D301" s="4" t="s">
        <v>265</v>
      </c>
      <c r="E301" s="43">
        <v>313.99399</v>
      </c>
      <c r="F301" s="58">
        <v>103.78040099999998</v>
      </c>
      <c r="G301" s="53">
        <f>100*F301/E301</f>
        <v>33.051715735068683</v>
      </c>
      <c r="H301" s="1">
        <v>0.61</v>
      </c>
      <c r="I301" s="1"/>
      <c r="J301" s="1"/>
      <c r="K301" s="6"/>
      <c r="L301" s="34">
        <f>10/775</f>
        <v>1.2903225806451613E-2</v>
      </c>
      <c r="M301" s="43">
        <v>295.24930000000001</v>
      </c>
      <c r="N301" s="55">
        <v>18040930.959956001</v>
      </c>
      <c r="O301" s="6">
        <f t="shared" ref="O301:O314" si="24">(25*N301)/(1000000*E301)</f>
        <v>1.4364073465192759</v>
      </c>
      <c r="P301" s="60">
        <v>279.34014999999999</v>
      </c>
      <c r="Q301" s="1">
        <v>3539071.3637597398</v>
      </c>
      <c r="R301" s="79">
        <f t="shared" ref="R301:R313" si="25">(25*Q301)/(1000000*E301)</f>
        <v>0.28177859102969932</v>
      </c>
      <c r="S301" s="64" t="s">
        <v>637</v>
      </c>
      <c r="T301" s="54" t="s">
        <v>647</v>
      </c>
      <c r="V301" s="52"/>
    </row>
    <row r="302" spans="1:185" ht="30" x14ac:dyDescent="0.25">
      <c r="A302" s="1">
        <v>170</v>
      </c>
      <c r="B302" s="2" t="s">
        <v>45</v>
      </c>
      <c r="C302" s="1" t="s">
        <v>46</v>
      </c>
      <c r="D302" s="4" t="s">
        <v>265</v>
      </c>
      <c r="E302" s="43">
        <v>48.633999000000003</v>
      </c>
      <c r="F302" s="58">
        <v>4.0500459999999991</v>
      </c>
      <c r="G302" s="53">
        <f>100*F302/E302</f>
        <v>8.3276022603035358</v>
      </c>
      <c r="H302" s="1">
        <v>0.85</v>
      </c>
      <c r="I302" s="1"/>
      <c r="J302" s="1"/>
      <c r="K302" s="6"/>
      <c r="L302" s="34">
        <f>10/3650</f>
        <v>2.7397260273972603E-3</v>
      </c>
      <c r="M302" s="43">
        <v>221.31700000000001</v>
      </c>
      <c r="N302" s="55">
        <v>4885531.5679390002</v>
      </c>
      <c r="O302" s="6">
        <f t="shared" si="24"/>
        <v>2.5113766441142338</v>
      </c>
      <c r="P302" s="60">
        <v>199.61165</v>
      </c>
      <c r="Q302" s="1">
        <v>637290.92809576599</v>
      </c>
      <c r="R302" s="79">
        <f t="shared" si="25"/>
        <v>0.32759537627975338</v>
      </c>
      <c r="S302" s="64" t="s">
        <v>637</v>
      </c>
      <c r="T302" s="22" t="s">
        <v>649</v>
      </c>
      <c r="V302" s="52"/>
    </row>
    <row r="303" spans="1:185" ht="30" x14ac:dyDescent="0.25">
      <c r="A303" s="1">
        <v>179</v>
      </c>
      <c r="B303" s="2" t="s">
        <v>55</v>
      </c>
      <c r="C303" s="1" t="s">
        <v>54</v>
      </c>
      <c r="D303" s="4" t="s">
        <v>265</v>
      </c>
      <c r="E303" s="43">
        <v>37.316101000000003</v>
      </c>
      <c r="F303" s="43"/>
      <c r="G303" s="53"/>
      <c r="H303" s="1">
        <v>1.1399999999999999</v>
      </c>
      <c r="I303" s="1"/>
      <c r="J303" s="1"/>
      <c r="K303" s="6"/>
      <c r="L303" s="34">
        <f>10/618</f>
        <v>1.6181229773462782E-2</v>
      </c>
      <c r="M303" s="43">
        <v>61.450839999999999</v>
      </c>
      <c r="N303" s="55">
        <v>5850399.6580069996</v>
      </c>
      <c r="O303" s="6">
        <f t="shared" si="24"/>
        <v>3.9194875008558636</v>
      </c>
      <c r="P303" s="60">
        <v>56.420608999999999</v>
      </c>
      <c r="Q303" s="1">
        <v>464910.44896876998</v>
      </c>
      <c r="R303" s="79">
        <f t="shared" si="25"/>
        <v>0.31146772874848982</v>
      </c>
      <c r="S303" s="64" t="s">
        <v>637</v>
      </c>
      <c r="T303" s="22" t="s">
        <v>649</v>
      </c>
      <c r="V303" s="5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22"/>
      <c r="FO303" s="22"/>
      <c r="FP303" s="22"/>
      <c r="FQ303" s="22"/>
      <c r="FR303" s="22"/>
      <c r="FS303" s="22"/>
      <c r="FT303" s="22"/>
      <c r="FU303" s="22"/>
      <c r="FV303" s="22"/>
      <c r="FW303" s="22"/>
      <c r="FX303" s="22"/>
      <c r="FY303" s="22"/>
      <c r="FZ303" s="22"/>
      <c r="GA303" s="22"/>
      <c r="GB303" s="22"/>
      <c r="GC303" s="22"/>
    </row>
    <row r="304" spans="1:185" ht="30" x14ac:dyDescent="0.25">
      <c r="A304" s="1">
        <v>184</v>
      </c>
      <c r="B304" s="2" t="s">
        <v>61</v>
      </c>
      <c r="C304" s="1" t="s">
        <v>59</v>
      </c>
      <c r="D304" s="4" t="s">
        <v>265</v>
      </c>
      <c r="E304" s="43">
        <v>42.895499999999998</v>
      </c>
      <c r="F304" s="58">
        <v>12.263344999999999</v>
      </c>
      <c r="G304" s="53">
        <f>100*F304/E304</f>
        <v>28.588884614936298</v>
      </c>
      <c r="H304" s="1">
        <v>1.52</v>
      </c>
      <c r="I304" s="1"/>
      <c r="J304" s="1"/>
      <c r="K304" s="6"/>
      <c r="L304" s="34">
        <f>20/1347</f>
        <v>1.4847809948032665E-2</v>
      </c>
      <c r="M304" s="43">
        <v>213.87003000000001</v>
      </c>
      <c r="N304" s="55">
        <v>9957733.1345300004</v>
      </c>
      <c r="O304" s="6">
        <f t="shared" si="24"/>
        <v>5.8034835440372534</v>
      </c>
      <c r="P304" s="60">
        <v>195.00695999999999</v>
      </c>
      <c r="Q304" s="1">
        <v>637963.55144493096</v>
      </c>
      <c r="R304" s="79">
        <f t="shared" si="25"/>
        <v>0.37181263270327364</v>
      </c>
      <c r="S304" s="64" t="s">
        <v>637</v>
      </c>
      <c r="T304" t="s">
        <v>647</v>
      </c>
      <c r="V304" s="52"/>
    </row>
    <row r="305" spans="1:185" ht="30" x14ac:dyDescent="0.25">
      <c r="A305" s="1">
        <v>185</v>
      </c>
      <c r="B305" s="2" t="s">
        <v>63</v>
      </c>
      <c r="C305" s="1" t="s">
        <v>62</v>
      </c>
      <c r="D305" s="4" t="s">
        <v>265</v>
      </c>
      <c r="E305" s="43">
        <v>562.81299000000001</v>
      </c>
      <c r="F305" s="58">
        <v>61.786528999999994</v>
      </c>
      <c r="G305" s="53">
        <f>100*F305/E305</f>
        <v>10.978163279422528</v>
      </c>
      <c r="H305" s="1">
        <v>4.45</v>
      </c>
      <c r="I305" s="1"/>
      <c r="J305" s="1"/>
      <c r="K305" s="6"/>
      <c r="L305" s="34">
        <f>20/1060</f>
        <v>1.8867924528301886E-2</v>
      </c>
      <c r="M305" s="43">
        <v>278.30795000000001</v>
      </c>
      <c r="N305" s="55">
        <v>15204947.509183999</v>
      </c>
      <c r="O305" s="6">
        <f t="shared" si="24"/>
        <v>0.67539963448533757</v>
      </c>
      <c r="P305" s="60">
        <v>259.63979999999998</v>
      </c>
      <c r="Q305" s="1">
        <v>5021369.8233874496</v>
      </c>
      <c r="R305" s="79">
        <f t="shared" si="25"/>
        <v>0.2230478823608642</v>
      </c>
      <c r="S305" s="64" t="s">
        <v>637</v>
      </c>
      <c r="T305" t="s">
        <v>647</v>
      </c>
      <c r="V305" s="52"/>
    </row>
    <row r="306" spans="1:185" ht="30" x14ac:dyDescent="0.25">
      <c r="A306" s="1">
        <v>203</v>
      </c>
      <c r="B306" s="2" t="s">
        <v>81</v>
      </c>
      <c r="C306" s="1" t="s">
        <v>573</v>
      </c>
      <c r="D306" s="4" t="s">
        <v>265</v>
      </c>
      <c r="E306" s="43">
        <v>32.388900999999997</v>
      </c>
      <c r="F306" s="43"/>
      <c r="G306" s="53"/>
      <c r="H306" s="1">
        <v>7.2</v>
      </c>
      <c r="I306" s="1"/>
      <c r="J306" s="1"/>
      <c r="K306" s="6"/>
      <c r="L306" s="34">
        <f>20/21521</f>
        <v>9.2932484549974447E-4</v>
      </c>
      <c r="M306" s="43">
        <v>24.985464</v>
      </c>
      <c r="N306" s="55">
        <v>3583980.3396339999</v>
      </c>
      <c r="O306" s="6">
        <f t="shared" si="24"/>
        <v>2.7663645793616158</v>
      </c>
      <c r="P306" s="60">
        <v>14.506384000000001</v>
      </c>
      <c r="Q306" s="1">
        <v>45762.4167648851</v>
      </c>
      <c r="R306" s="79">
        <f t="shared" si="25"/>
        <v>3.5322606936312152E-2</v>
      </c>
      <c r="S306" s="64" t="s">
        <v>638</v>
      </c>
      <c r="T306" s="64" t="s">
        <v>647</v>
      </c>
      <c r="V306" s="52"/>
    </row>
    <row r="307" spans="1:185" ht="45" x14ac:dyDescent="0.25">
      <c r="A307" s="1">
        <v>259</v>
      </c>
      <c r="B307" s="2" t="s">
        <v>86</v>
      </c>
      <c r="C307" s="2" t="s">
        <v>579</v>
      </c>
      <c r="D307" s="4" t="s">
        <v>265</v>
      </c>
      <c r="E307" s="43">
        <v>547.95501999999999</v>
      </c>
      <c r="F307" s="58">
        <v>174.96137300000001</v>
      </c>
      <c r="G307" s="53">
        <f>100*F307/E307</f>
        <v>31.929878660478376</v>
      </c>
      <c r="H307" s="1">
        <v>10.8</v>
      </c>
      <c r="I307" s="1"/>
      <c r="J307" s="1"/>
      <c r="K307" s="6"/>
      <c r="L307" s="34">
        <f>10/1147</f>
        <v>8.7183958151700082E-3</v>
      </c>
      <c r="M307" s="43">
        <v>195.42021</v>
      </c>
      <c r="N307" s="55">
        <v>17296501.546321999</v>
      </c>
      <c r="O307" s="6">
        <f t="shared" si="24"/>
        <v>0.7891387483922494</v>
      </c>
      <c r="P307" s="60">
        <v>160.44461000000001</v>
      </c>
      <c r="Q307" s="1">
        <v>6974624.8407279402</v>
      </c>
      <c r="R307" s="79">
        <f t="shared" si="25"/>
        <v>0.3182115587118784</v>
      </c>
      <c r="S307" s="64" t="s">
        <v>638</v>
      </c>
      <c r="T307" s="64" t="s">
        <v>647</v>
      </c>
      <c r="V307" s="52"/>
    </row>
    <row r="308" spans="1:185" ht="30" x14ac:dyDescent="0.25">
      <c r="A308" s="1">
        <v>262</v>
      </c>
      <c r="B308" s="2" t="s">
        <v>88</v>
      </c>
      <c r="C308" s="1" t="s">
        <v>93</v>
      </c>
      <c r="D308" s="4" t="s">
        <v>265</v>
      </c>
      <c r="E308" s="43">
        <v>78.399803000000006</v>
      </c>
      <c r="F308" s="43"/>
      <c r="G308" s="53"/>
      <c r="H308" s="1">
        <v>8</v>
      </c>
      <c r="I308" s="1"/>
      <c r="J308" s="1"/>
      <c r="K308" s="6"/>
      <c r="L308" s="34">
        <f>20/1519</f>
        <v>1.3166556945358789E-2</v>
      </c>
      <c r="M308" s="43">
        <v>32.690449000000001</v>
      </c>
      <c r="N308" s="55">
        <v>1473044.1997130001</v>
      </c>
      <c r="O308" s="6">
        <f t="shared" si="24"/>
        <v>0.46972190724541746</v>
      </c>
      <c r="P308" s="60">
        <v>26.771529999999998</v>
      </c>
      <c r="Q308" s="1">
        <v>308899.84246728499</v>
      </c>
      <c r="R308" s="79">
        <f t="shared" si="25"/>
        <v>9.8501472786636013E-2</v>
      </c>
      <c r="S308" s="64" t="s">
        <v>638</v>
      </c>
      <c r="T308" s="54" t="s">
        <v>649</v>
      </c>
      <c r="V308" s="52"/>
    </row>
    <row r="309" spans="1:185" ht="30" x14ac:dyDescent="0.25">
      <c r="A309" s="1">
        <v>264</v>
      </c>
      <c r="B309" s="2" t="s">
        <v>90</v>
      </c>
      <c r="C309" s="1" t="s">
        <v>94</v>
      </c>
      <c r="D309" s="4" t="s">
        <v>265</v>
      </c>
      <c r="E309" s="43">
        <v>447.25400000000002</v>
      </c>
      <c r="F309" s="58">
        <v>366.62207699999999</v>
      </c>
      <c r="G309" s="53">
        <f>100*F309/E309</f>
        <v>81.971782700657783</v>
      </c>
      <c r="H309" s="1">
        <v>9</v>
      </c>
      <c r="I309" s="1"/>
      <c r="J309" s="1"/>
      <c r="K309" s="6"/>
      <c r="L309" s="34">
        <f>20/1151</f>
        <v>1.7376194613379671E-2</v>
      </c>
      <c r="M309" s="43">
        <v>433.24752999999998</v>
      </c>
      <c r="N309" s="55">
        <v>10026035.897877</v>
      </c>
      <c r="O309" s="6">
        <f t="shared" si="24"/>
        <v>0.56042181276617986</v>
      </c>
      <c r="P309" s="60">
        <v>343.38900999999998</v>
      </c>
      <c r="Q309" s="1">
        <v>8123773.0641842</v>
      </c>
      <c r="R309" s="79">
        <f t="shared" si="25"/>
        <v>0.45409169421537871</v>
      </c>
      <c r="S309" s="64" t="s">
        <v>638</v>
      </c>
      <c r="T309" s="54" t="s">
        <v>649</v>
      </c>
      <c r="V309" s="52"/>
    </row>
    <row r="310" spans="1:185" ht="30" x14ac:dyDescent="0.25">
      <c r="A310" s="1">
        <v>265</v>
      </c>
      <c r="B310" s="2" t="s">
        <v>91</v>
      </c>
      <c r="C310" s="1" t="s">
        <v>95</v>
      </c>
      <c r="D310" s="4" t="s">
        <v>265</v>
      </c>
      <c r="E310" s="43">
        <v>162.851</v>
      </c>
      <c r="F310" s="58">
        <v>59.762120000000003</v>
      </c>
      <c r="G310" s="53">
        <f>100*F310/E310</f>
        <v>36.697422797526578</v>
      </c>
      <c r="H310" s="1">
        <v>6.14</v>
      </c>
      <c r="I310" s="1"/>
      <c r="J310" s="1"/>
      <c r="K310" s="6"/>
      <c r="L310" s="74">
        <f>2/5088</f>
        <v>3.9308176100628933E-4</v>
      </c>
      <c r="M310" s="43">
        <v>133.67477</v>
      </c>
      <c r="N310" s="55">
        <v>9054808.1662770007</v>
      </c>
      <c r="O310" s="6">
        <f t="shared" si="24"/>
        <v>1.3900449131839843</v>
      </c>
      <c r="P310" s="60">
        <v>120.02699</v>
      </c>
      <c r="Q310" s="1">
        <v>1306364.67160394</v>
      </c>
      <c r="R310" s="79">
        <f t="shared" si="25"/>
        <v>0.20054600088484872</v>
      </c>
      <c r="S310" s="64" t="s">
        <v>638</v>
      </c>
      <c r="T310" s="54" t="s">
        <v>649</v>
      </c>
      <c r="U310" s="20"/>
      <c r="V310" s="62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</row>
    <row r="311" spans="1:185" ht="30" x14ac:dyDescent="0.25">
      <c r="A311" s="1">
        <v>237</v>
      </c>
      <c r="B311" s="8" t="s">
        <v>130</v>
      </c>
      <c r="C311" s="1" t="s">
        <v>129</v>
      </c>
      <c r="D311" s="4" t="s">
        <v>265</v>
      </c>
      <c r="E311" s="43">
        <v>541.16399999999999</v>
      </c>
      <c r="F311" s="58">
        <v>112.67847900000001</v>
      </c>
      <c r="G311" s="53">
        <f>100*F311/E311</f>
        <v>20.821503093332151</v>
      </c>
      <c r="H311" s="1">
        <v>0.9</v>
      </c>
      <c r="I311" s="1"/>
      <c r="J311" s="1"/>
      <c r="K311" s="6"/>
      <c r="L311" s="34">
        <f>10/2748</f>
        <v>3.6390101892285298E-3</v>
      </c>
      <c r="M311" s="43">
        <v>163.86021</v>
      </c>
      <c r="N311" s="55">
        <v>9355745.2798820008</v>
      </c>
      <c r="O311" s="6">
        <f t="shared" si="24"/>
        <v>0.43220471427709534</v>
      </c>
      <c r="P311" s="60">
        <v>172.10812000000001</v>
      </c>
      <c r="Q311" s="1">
        <v>6675817.4713505898</v>
      </c>
      <c r="R311" s="79">
        <f t="shared" si="25"/>
        <v>0.30840084851129185</v>
      </c>
      <c r="S311" s="64" t="s">
        <v>640</v>
      </c>
      <c r="T311" s="61" t="s">
        <v>647</v>
      </c>
      <c r="V311" s="52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</row>
    <row r="312" spans="1:185" ht="30" x14ac:dyDescent="0.25">
      <c r="A312" s="1">
        <v>29</v>
      </c>
      <c r="B312" s="2" t="s">
        <v>292</v>
      </c>
      <c r="C312" s="1" t="s">
        <v>329</v>
      </c>
      <c r="D312" s="30" t="s">
        <v>265</v>
      </c>
      <c r="E312" s="51">
        <v>251.78700000000001</v>
      </c>
      <c r="F312" s="1"/>
      <c r="G312" s="14"/>
      <c r="H312" s="1">
        <v>0.62</v>
      </c>
      <c r="I312" s="1"/>
      <c r="J312" s="1"/>
      <c r="K312" s="6"/>
      <c r="L312" s="34">
        <v>1E-3</v>
      </c>
      <c r="M312" s="1">
        <v>23.41572</v>
      </c>
      <c r="N312" s="42">
        <v>677530.15371500002</v>
      </c>
      <c r="O312" s="1">
        <f t="shared" si="24"/>
        <v>6.7272154014603611E-2</v>
      </c>
      <c r="P312" s="51">
        <v>12.610567</v>
      </c>
      <c r="Q312" s="1">
        <v>295314.35588117503</v>
      </c>
      <c r="R312" s="67">
        <f t="shared" si="25"/>
        <v>2.932184305396774E-2</v>
      </c>
      <c r="S312" s="20" t="s">
        <v>641</v>
      </c>
      <c r="T312" t="s">
        <v>650</v>
      </c>
    </row>
    <row r="313" spans="1:185" ht="30" x14ac:dyDescent="0.25">
      <c r="A313" s="1">
        <v>35</v>
      </c>
      <c r="B313" s="2" t="s">
        <v>298</v>
      </c>
      <c r="C313" s="1" t="s">
        <v>550</v>
      </c>
      <c r="D313" s="30" t="s">
        <v>265</v>
      </c>
      <c r="E313" s="51">
        <v>103.048</v>
      </c>
      <c r="F313" s="1"/>
      <c r="G313" s="14"/>
      <c r="H313" s="28">
        <v>2.76</v>
      </c>
      <c r="I313" s="1"/>
      <c r="J313" s="1"/>
      <c r="K313" s="6"/>
      <c r="L313" s="34">
        <v>1E-3</v>
      </c>
      <c r="M313" s="1">
        <v>19.957530999999999</v>
      </c>
      <c r="N313" s="42">
        <v>539247.95416800014</v>
      </c>
      <c r="O313" s="1">
        <f t="shared" si="24"/>
        <v>0.130824459030743</v>
      </c>
      <c r="P313" s="51">
        <v>13.547857</v>
      </c>
      <c r="Q313" s="1">
        <v>388715.34988138202</v>
      </c>
      <c r="R313" s="67">
        <f t="shared" si="25"/>
        <v>9.4304438194186685E-2</v>
      </c>
      <c r="S313" s="20" t="s">
        <v>641</v>
      </c>
      <c r="T313" t="s">
        <v>650</v>
      </c>
    </row>
    <row r="314" spans="1:185" ht="30" x14ac:dyDescent="0.25">
      <c r="A314" s="1">
        <v>39</v>
      </c>
      <c r="B314" s="2" t="s">
        <v>302</v>
      </c>
      <c r="C314" s="1" t="s">
        <v>326</v>
      </c>
      <c r="D314" s="30" t="s">
        <v>265</v>
      </c>
      <c r="E314" s="51">
        <v>303.649</v>
      </c>
      <c r="F314" s="1"/>
      <c r="G314" s="14"/>
      <c r="H314" s="28">
        <v>0.42</v>
      </c>
      <c r="I314" s="1"/>
      <c r="J314" s="1"/>
      <c r="K314" s="6"/>
      <c r="L314" s="34">
        <f>10/18839</f>
        <v>5.308137374595254E-4</v>
      </c>
      <c r="M314" s="1">
        <v>28.055468000000001</v>
      </c>
      <c r="N314" s="42">
        <v>845564.62578299991</v>
      </c>
      <c r="O314" s="51">
        <f t="shared" si="24"/>
        <v>6.9616944711080875E-2</v>
      </c>
      <c r="P314" s="51">
        <v>21.408170999999999</v>
      </c>
      <c r="Q314" s="1" t="s">
        <v>554</v>
      </c>
      <c r="R314" s="14" t="s">
        <v>554</v>
      </c>
      <c r="S314" s="20" t="s">
        <v>641</v>
      </c>
      <c r="T314" t="s">
        <v>650</v>
      </c>
    </row>
    <row r="315" spans="1:185" ht="30" x14ac:dyDescent="0.25">
      <c r="A315" s="1">
        <v>24</v>
      </c>
      <c r="B315" s="2" t="s">
        <v>156</v>
      </c>
      <c r="C315" s="1" t="s">
        <v>573</v>
      </c>
      <c r="D315" s="4" t="s">
        <v>265</v>
      </c>
      <c r="E315" s="1">
        <v>78.313999999999993</v>
      </c>
      <c r="F315" s="1"/>
      <c r="G315" s="53"/>
      <c r="H315" s="1">
        <v>0.6</v>
      </c>
      <c r="I315" s="1"/>
      <c r="J315" s="1"/>
      <c r="K315" s="1"/>
      <c r="L315" s="34">
        <f>20/225</f>
        <v>8.8888888888888892E-2</v>
      </c>
      <c r="M315" s="43">
        <v>276.70190000000002</v>
      </c>
      <c r="N315" s="43">
        <v>342493.18490716798</v>
      </c>
      <c r="O315" s="34">
        <f t="shared" ref="O315:O322" si="26">(25*N315)/(E315*1000000)</f>
        <v>0.1093333200025436</v>
      </c>
      <c r="P315" s="43"/>
      <c r="Q315" s="1"/>
      <c r="R315" s="14"/>
      <c r="S315" t="s">
        <v>645</v>
      </c>
      <c r="T315" t="s">
        <v>647</v>
      </c>
    </row>
    <row r="316" spans="1:185" ht="30" x14ac:dyDescent="0.25">
      <c r="A316" s="1">
        <v>29</v>
      </c>
      <c r="B316" s="2" t="s">
        <v>163</v>
      </c>
      <c r="C316" s="1" t="s">
        <v>573</v>
      </c>
      <c r="D316" s="4" t="s">
        <v>265</v>
      </c>
      <c r="E316" s="1">
        <v>28.163</v>
      </c>
      <c r="F316" s="1">
        <v>2.6874699999999998</v>
      </c>
      <c r="G316" s="45">
        <f>100*F316/E316</f>
        <v>9.5425558356709139</v>
      </c>
      <c r="H316" s="1">
        <v>0.51</v>
      </c>
      <c r="I316" s="1"/>
      <c r="J316" s="1"/>
      <c r="K316" s="1"/>
      <c r="L316" s="34">
        <f>20/184</f>
        <v>0.10869565217391304</v>
      </c>
      <c r="M316" s="43">
        <v>272.33206000000001</v>
      </c>
      <c r="N316" s="43">
        <v>170038.214209714</v>
      </c>
      <c r="O316" s="34">
        <f t="shared" si="26"/>
        <v>0.15094114104473424</v>
      </c>
      <c r="P316" s="43"/>
      <c r="Q316" s="1"/>
      <c r="R316" s="14"/>
      <c r="S316" t="s">
        <v>645</v>
      </c>
      <c r="T316" t="s">
        <v>647</v>
      </c>
    </row>
    <row r="317" spans="1:185" ht="30" x14ac:dyDescent="0.25">
      <c r="A317" s="1">
        <v>30</v>
      </c>
      <c r="B317" s="2" t="s">
        <v>164</v>
      </c>
      <c r="C317" s="1" t="s">
        <v>573</v>
      </c>
      <c r="D317" s="4" t="s">
        <v>265</v>
      </c>
      <c r="E317" s="1">
        <v>29.56</v>
      </c>
      <c r="F317" s="1">
        <v>3.04359</v>
      </c>
      <c r="G317" s="45">
        <f>100*F317/E317</f>
        <v>10.296312584573748</v>
      </c>
      <c r="H317" s="1">
        <v>0.35</v>
      </c>
      <c r="I317" s="1"/>
      <c r="J317" s="1"/>
      <c r="K317" s="1"/>
      <c r="L317" s="34">
        <f>20/527</f>
        <v>3.7950664136622389E-2</v>
      </c>
      <c r="M317" s="43">
        <v>348.29825</v>
      </c>
      <c r="N317" s="43">
        <v>137855.41960669201</v>
      </c>
      <c r="O317" s="34">
        <f t="shared" si="26"/>
        <v>0.11658949560782476</v>
      </c>
      <c r="P317" s="43"/>
      <c r="Q317" s="1"/>
      <c r="R317" s="14"/>
      <c r="S317" t="s">
        <v>645</v>
      </c>
      <c r="T317" t="s">
        <v>647</v>
      </c>
    </row>
    <row r="318" spans="1:185" ht="30" x14ac:dyDescent="0.25">
      <c r="A318" s="1">
        <v>36</v>
      </c>
      <c r="B318" s="2" t="s">
        <v>170</v>
      </c>
      <c r="C318" s="1" t="s">
        <v>573</v>
      </c>
      <c r="D318" s="4" t="s">
        <v>265</v>
      </c>
      <c r="E318" s="1">
        <v>3.0562999999999998</v>
      </c>
      <c r="F318" s="1"/>
      <c r="G318" s="53"/>
      <c r="H318" s="1">
        <v>0.04</v>
      </c>
      <c r="I318" s="1"/>
      <c r="J318" s="1"/>
      <c r="K318" s="1"/>
      <c r="L318" s="34">
        <f>20/345</f>
        <v>5.7971014492753624E-2</v>
      </c>
      <c r="M318" s="43">
        <v>308.58377000000002</v>
      </c>
      <c r="N318" s="43">
        <v>32668.7088741568</v>
      </c>
      <c r="O318" s="34">
        <f t="shared" si="26"/>
        <v>0.26722433067889934</v>
      </c>
      <c r="P318" s="43"/>
      <c r="Q318" s="1"/>
      <c r="R318" s="14"/>
      <c r="S318" t="s">
        <v>645</v>
      </c>
      <c r="T318" t="s">
        <v>647</v>
      </c>
    </row>
    <row r="319" spans="1:185" ht="30" x14ac:dyDescent="0.25">
      <c r="A319" s="1">
        <v>43</v>
      </c>
      <c r="B319" s="2" t="s">
        <v>179</v>
      </c>
      <c r="C319" s="1" t="s">
        <v>573</v>
      </c>
      <c r="D319" s="4" t="s">
        <v>265</v>
      </c>
      <c r="E319" s="1">
        <v>191.47399999999999</v>
      </c>
      <c r="F319" s="1"/>
      <c r="G319" s="53"/>
      <c r="H319" s="1">
        <v>1.27</v>
      </c>
      <c r="I319" s="1"/>
      <c r="J319" s="1"/>
      <c r="K319" s="1"/>
      <c r="L319" s="34">
        <f>20/263</f>
        <v>7.6045627376425853E-2</v>
      </c>
      <c r="M319" s="43">
        <v>285.50229000000002</v>
      </c>
      <c r="N319" s="43">
        <v>1154248.64899604</v>
      </c>
      <c r="O319" s="34">
        <f t="shared" si="26"/>
        <v>0.15070566356215986</v>
      </c>
      <c r="P319" s="43"/>
      <c r="Q319" s="1"/>
      <c r="R319" s="14"/>
      <c r="S319" t="s">
        <v>645</v>
      </c>
      <c r="T319" t="s">
        <v>647</v>
      </c>
    </row>
    <row r="320" spans="1:185" ht="30" x14ac:dyDescent="0.25">
      <c r="A320" s="1">
        <v>46</v>
      </c>
      <c r="B320" s="2" t="s">
        <v>187</v>
      </c>
      <c r="C320" s="1" t="s">
        <v>573</v>
      </c>
      <c r="D320" s="4" t="s">
        <v>265</v>
      </c>
      <c r="E320" s="1">
        <v>200.92</v>
      </c>
      <c r="F320" s="1">
        <v>164.10810699999999</v>
      </c>
      <c r="G320" s="45">
        <f>100*F320/E320</f>
        <v>81.678333167429813</v>
      </c>
      <c r="H320" s="1">
        <v>4.18</v>
      </c>
      <c r="I320" s="1"/>
      <c r="J320" s="1"/>
      <c r="K320" s="1"/>
      <c r="L320" s="34">
        <f>50/2237</f>
        <v>2.2351363433169423E-2</v>
      </c>
      <c r="M320" s="43">
        <v>476.86353000000003</v>
      </c>
      <c r="N320" s="43">
        <v>215281.039949431</v>
      </c>
      <c r="O320" s="34">
        <f t="shared" si="26"/>
        <v>2.6786910206727927E-2</v>
      </c>
      <c r="P320" s="43"/>
      <c r="Q320" s="1"/>
      <c r="R320" s="14"/>
      <c r="S320" t="s">
        <v>645</v>
      </c>
      <c r="T320" t="s">
        <v>647</v>
      </c>
    </row>
    <row r="321" spans="1:185" ht="30" x14ac:dyDescent="0.25">
      <c r="A321" s="1">
        <v>109</v>
      </c>
      <c r="B321" s="2" t="s">
        <v>231</v>
      </c>
      <c r="C321" s="1" t="s">
        <v>573</v>
      </c>
      <c r="D321" s="4" t="s">
        <v>265</v>
      </c>
      <c r="E321" s="1">
        <v>47.074199999999998</v>
      </c>
      <c r="F321" s="1">
        <v>13.142473000000001</v>
      </c>
      <c r="G321" s="17">
        <f>100*F321/E321</f>
        <v>27.918632711761433</v>
      </c>
      <c r="H321" s="1">
        <v>0.6</v>
      </c>
      <c r="I321" s="1"/>
      <c r="J321" s="1"/>
      <c r="K321" s="1"/>
      <c r="L321" s="34">
        <f>10/2409</f>
        <v>4.1511000415110008E-3</v>
      </c>
      <c r="M321" s="43">
        <v>351.73232999999999</v>
      </c>
      <c r="N321" s="43">
        <v>427420.97004801198</v>
      </c>
      <c r="O321" s="34">
        <f t="shared" si="26"/>
        <v>0.22699322030327226</v>
      </c>
      <c r="P321" s="43"/>
      <c r="Q321" s="1"/>
      <c r="R321" s="14"/>
      <c r="S321" t="s">
        <v>645</v>
      </c>
      <c r="T321" t="s">
        <v>648</v>
      </c>
    </row>
    <row r="322" spans="1:185" ht="30" x14ac:dyDescent="0.25">
      <c r="A322" s="1">
        <v>127</v>
      </c>
      <c r="B322" s="39" t="s">
        <v>254</v>
      </c>
      <c r="C322" s="1" t="s">
        <v>253</v>
      </c>
      <c r="D322" s="4" t="s">
        <v>265</v>
      </c>
      <c r="E322" s="1">
        <v>29.015799999999999</v>
      </c>
      <c r="F322" s="1"/>
      <c r="G322" s="53"/>
      <c r="H322" s="1">
        <v>0.5</v>
      </c>
      <c r="I322" s="1"/>
      <c r="J322" s="1"/>
      <c r="K322" s="1"/>
      <c r="L322" s="34">
        <f>5/283</f>
        <v>1.7667844522968199E-2</v>
      </c>
      <c r="M322" s="43">
        <v>207.27019000000001</v>
      </c>
      <c r="N322" s="43">
        <v>208978.40721388001</v>
      </c>
      <c r="O322" s="34">
        <f t="shared" si="26"/>
        <v>0.18005570000989118</v>
      </c>
      <c r="P322" s="43"/>
      <c r="Q322" s="1"/>
      <c r="R322" s="14"/>
      <c r="S322" t="s">
        <v>645</v>
      </c>
      <c r="T322" t="s">
        <v>647</v>
      </c>
    </row>
    <row r="323" spans="1:185" ht="30" x14ac:dyDescent="0.25">
      <c r="A323" s="29">
        <v>17</v>
      </c>
      <c r="B323" s="2" t="s">
        <v>406</v>
      </c>
      <c r="C323" s="1" t="s">
        <v>573</v>
      </c>
      <c r="D323" s="30" t="s">
        <v>265</v>
      </c>
      <c r="E323" s="1">
        <v>51.570954238303997</v>
      </c>
      <c r="F323" s="1">
        <v>9.6805194888630002</v>
      </c>
      <c r="G323" s="17">
        <f>100*F323/E323</f>
        <v>18.771263072097387</v>
      </c>
      <c r="H323" s="1">
        <v>1.86</v>
      </c>
      <c r="I323" s="1"/>
      <c r="J323" s="1"/>
      <c r="K323" s="1"/>
      <c r="L323" s="34">
        <f>10/125</f>
        <v>0.08</v>
      </c>
      <c r="M323" s="29"/>
      <c r="N323" s="1"/>
      <c r="O323" s="1"/>
      <c r="P323" s="43">
        <v>429.28711099999998</v>
      </c>
      <c r="Q323" s="1">
        <v>772812.29501247394</v>
      </c>
      <c r="R323" s="38">
        <f>(25*Q323)/(E323*1000000)</f>
        <v>0.37463544471243881</v>
      </c>
      <c r="S323" t="s">
        <v>646</v>
      </c>
      <c r="T323" t="s">
        <v>647</v>
      </c>
    </row>
    <row r="324" spans="1:185" ht="30" x14ac:dyDescent="0.25">
      <c r="A324" s="1">
        <v>215</v>
      </c>
      <c r="B324" s="2" t="s">
        <v>598</v>
      </c>
      <c r="C324" s="1" t="s">
        <v>9</v>
      </c>
      <c r="D324" s="4" t="s">
        <v>263</v>
      </c>
      <c r="E324" s="43">
        <v>119.328</v>
      </c>
      <c r="F324" s="43"/>
      <c r="G324" s="53"/>
      <c r="H324" s="1">
        <v>0.98</v>
      </c>
      <c r="I324" s="1"/>
      <c r="J324" s="1"/>
      <c r="K324" s="6"/>
      <c r="L324" s="34">
        <f>10/792</f>
        <v>1.2626262626262626E-2</v>
      </c>
      <c r="M324" s="43">
        <v>57.580688000000002</v>
      </c>
      <c r="N324" s="55">
        <v>1537242.8160669999</v>
      </c>
      <c r="O324" s="6">
        <f t="shared" ref="O324:O340" si="27">(25*N324)/(1000000*E324)</f>
        <v>0.32206246984509085</v>
      </c>
      <c r="P324" s="60">
        <v>56.872256999999998</v>
      </c>
      <c r="Q324" s="1">
        <v>968820.50472351199</v>
      </c>
      <c r="R324" s="79">
        <f t="shared" ref="R324:R339" si="28">(25*Q324)/(1000000*E324)</f>
        <v>0.2029742610124011</v>
      </c>
      <c r="S324" t="s">
        <v>636</v>
      </c>
      <c r="T324" s="54" t="s">
        <v>647</v>
      </c>
    </row>
    <row r="325" spans="1:185" ht="30" x14ac:dyDescent="0.25">
      <c r="A325" s="1">
        <v>135</v>
      </c>
      <c r="B325" s="2" t="s">
        <v>599</v>
      </c>
      <c r="C325" s="1" t="s">
        <v>19</v>
      </c>
      <c r="D325" s="4" t="s">
        <v>263</v>
      </c>
      <c r="E325" s="43">
        <v>97.7089</v>
      </c>
      <c r="F325" s="43"/>
      <c r="G325" s="53"/>
      <c r="H325" s="1">
        <v>0.23</v>
      </c>
      <c r="I325" s="1"/>
      <c r="J325" s="1"/>
      <c r="K325" s="6"/>
      <c r="L325" s="34">
        <f>10/971</f>
        <v>1.0298661174047374E-2</v>
      </c>
      <c r="M325" s="43">
        <v>38.827679000000003</v>
      </c>
      <c r="N325" s="55">
        <v>6002321.0056349998</v>
      </c>
      <c r="O325" s="6">
        <f t="shared" si="27"/>
        <v>1.5357661906016236</v>
      </c>
      <c r="P325" s="60">
        <v>37.430720999999998</v>
      </c>
      <c r="Q325" s="1">
        <v>696804.582111708</v>
      </c>
      <c r="R325" s="79">
        <f t="shared" si="28"/>
        <v>0.17828585269911648</v>
      </c>
      <c r="S325" s="64" t="s">
        <v>637</v>
      </c>
      <c r="T325" s="54" t="s">
        <v>647</v>
      </c>
      <c r="V325" s="52"/>
    </row>
    <row r="326" spans="1:185" ht="30" x14ac:dyDescent="0.25">
      <c r="A326" s="1">
        <v>137</v>
      </c>
      <c r="B326" s="2" t="s">
        <v>601</v>
      </c>
      <c r="C326" s="1" t="s">
        <v>573</v>
      </c>
      <c r="D326" s="4" t="s">
        <v>263</v>
      </c>
      <c r="E326" s="43">
        <v>46.508301000000003</v>
      </c>
      <c r="F326" s="58">
        <v>0.20755899999999999</v>
      </c>
      <c r="G326" s="53">
        <f>100*F326/E326</f>
        <v>0.44628377200878611</v>
      </c>
      <c r="H326" s="1">
        <v>0.12</v>
      </c>
      <c r="I326" s="1"/>
      <c r="J326" s="1"/>
      <c r="K326" s="6"/>
      <c r="L326" s="34">
        <f>10/790</f>
        <v>1.2658227848101266E-2</v>
      </c>
      <c r="M326" s="43">
        <v>82.454063000000005</v>
      </c>
      <c r="N326" s="55">
        <v>9765567.7377470005</v>
      </c>
      <c r="O326" s="6">
        <f t="shared" si="27"/>
        <v>5.2493681384679052</v>
      </c>
      <c r="P326" s="60">
        <v>87.074005</v>
      </c>
      <c r="Q326" s="1">
        <v>482927.55418603</v>
      </c>
      <c r="R326" s="79">
        <f t="shared" si="28"/>
        <v>0.25959212861056247</v>
      </c>
      <c r="S326" s="64" t="s">
        <v>637</v>
      </c>
      <c r="T326" s="54" t="s">
        <v>647</v>
      </c>
      <c r="V326" s="52"/>
    </row>
    <row r="327" spans="1:185" ht="30" x14ac:dyDescent="0.25">
      <c r="A327" s="1">
        <v>142</v>
      </c>
      <c r="B327" s="2" t="s">
        <v>606</v>
      </c>
      <c r="C327" s="1" t="s">
        <v>24</v>
      </c>
      <c r="D327" s="4" t="s">
        <v>263</v>
      </c>
      <c r="E327" s="43">
        <v>430.25698999999997</v>
      </c>
      <c r="F327" s="58">
        <v>206.26620300000002</v>
      </c>
      <c r="G327" s="53">
        <f>100*F327/E327</f>
        <v>47.940232882677869</v>
      </c>
      <c r="H327" s="1">
        <v>0.64</v>
      </c>
      <c r="I327" s="1"/>
      <c r="J327" s="1"/>
      <c r="K327" s="6"/>
      <c r="L327" s="34">
        <f>10/954</f>
        <v>1.0482180293501049E-2</v>
      </c>
      <c r="M327" s="43">
        <v>414.34656000000001</v>
      </c>
      <c r="N327" s="55">
        <v>18148196.909518</v>
      </c>
      <c r="O327" s="6">
        <f t="shared" si="27"/>
        <v>1.0544975056371542</v>
      </c>
      <c r="P327" s="60">
        <v>396.96355999999997</v>
      </c>
      <c r="Q327" s="1">
        <v>5633364.0584518798</v>
      </c>
      <c r="R327" s="79">
        <f t="shared" si="28"/>
        <v>0.32732553969965023</v>
      </c>
      <c r="S327" s="64" t="s">
        <v>637</v>
      </c>
      <c r="T327" s="54" t="s">
        <v>647</v>
      </c>
      <c r="V327" s="5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22"/>
      <c r="FO327" s="22"/>
      <c r="FP327" s="22"/>
      <c r="FQ327" s="22"/>
      <c r="FR327" s="22"/>
      <c r="FS327" s="22"/>
      <c r="FT327" s="22"/>
      <c r="FU327" s="22"/>
      <c r="FV327" s="22"/>
      <c r="FW327" s="22"/>
      <c r="FX327" s="22"/>
      <c r="FY327" s="22"/>
      <c r="FZ327" s="22"/>
      <c r="GA327" s="22"/>
      <c r="GB327" s="22"/>
      <c r="GC327" s="22"/>
    </row>
    <row r="328" spans="1:185" ht="30" x14ac:dyDescent="0.25">
      <c r="A328" s="1">
        <v>145</v>
      </c>
      <c r="B328" s="2" t="s">
        <v>609</v>
      </c>
      <c r="C328" s="1" t="s">
        <v>27</v>
      </c>
      <c r="D328" s="4" t="s">
        <v>263</v>
      </c>
      <c r="E328" s="43">
        <v>258.56</v>
      </c>
      <c r="F328" s="58">
        <v>27.838312999999999</v>
      </c>
      <c r="G328" s="53">
        <f>100*F328/E328</f>
        <v>10.766674272896038</v>
      </c>
      <c r="H328" s="1">
        <v>0.13</v>
      </c>
      <c r="I328" s="1"/>
      <c r="J328" s="1"/>
      <c r="K328" s="6"/>
      <c r="L328" s="34">
        <f>10/787</f>
        <v>1.2706480304955527E-2</v>
      </c>
      <c r="M328" s="43">
        <v>221.12402</v>
      </c>
      <c r="N328" s="55">
        <v>17806158.198587</v>
      </c>
      <c r="O328" s="6">
        <f t="shared" si="27"/>
        <v>1.7216659768126354</v>
      </c>
      <c r="P328" s="60">
        <v>209.89343</v>
      </c>
      <c r="Q328" s="1">
        <v>2167730.7783727502</v>
      </c>
      <c r="R328" s="79">
        <f t="shared" si="28"/>
        <v>0.20959649388659793</v>
      </c>
      <c r="S328" s="64" t="s">
        <v>637</v>
      </c>
      <c r="T328" s="54" t="s">
        <v>647</v>
      </c>
      <c r="V328" s="52"/>
    </row>
    <row r="329" spans="1:185" ht="30" x14ac:dyDescent="0.25">
      <c r="A329" s="1">
        <v>167</v>
      </c>
      <c r="B329" s="2" t="s">
        <v>42</v>
      </c>
      <c r="C329" s="1" t="s">
        <v>11</v>
      </c>
      <c r="D329" s="4" t="s">
        <v>263</v>
      </c>
      <c r="E329" s="43">
        <v>356.73599000000002</v>
      </c>
      <c r="F329" s="58">
        <v>139.54527400000001</v>
      </c>
      <c r="G329" s="53">
        <f>100*F329/E329</f>
        <v>39.117240175290419</v>
      </c>
      <c r="H329" s="1">
        <v>8.48</v>
      </c>
      <c r="I329" s="1"/>
      <c r="J329" s="1"/>
      <c r="K329" s="6"/>
      <c r="L329" s="34">
        <f>10/6364</f>
        <v>1.5713387806411063E-3</v>
      </c>
      <c r="M329" s="43">
        <v>429.62186000000003</v>
      </c>
      <c r="N329" s="55">
        <v>18237378.592381999</v>
      </c>
      <c r="O329" s="6">
        <f t="shared" si="27"/>
        <v>1.2780725174646661</v>
      </c>
      <c r="P329" s="60">
        <v>427.92214999999999</v>
      </c>
      <c r="Q329" s="1">
        <v>4914236.0637392905</v>
      </c>
      <c r="R329" s="79">
        <f t="shared" si="28"/>
        <v>0.34438886189611051</v>
      </c>
      <c r="S329" s="64" t="s">
        <v>637</v>
      </c>
      <c r="T329" s="22" t="s">
        <v>649</v>
      </c>
      <c r="V329" s="52"/>
    </row>
    <row r="330" spans="1:185" ht="30" x14ac:dyDescent="0.25">
      <c r="A330" s="1">
        <v>187</v>
      </c>
      <c r="B330" s="2" t="s">
        <v>65</v>
      </c>
      <c r="C330" s="1" t="s">
        <v>67</v>
      </c>
      <c r="D330" s="4" t="s">
        <v>263</v>
      </c>
      <c r="E330" s="43">
        <v>60.924702000000003</v>
      </c>
      <c r="F330" s="43"/>
      <c r="G330" s="53"/>
      <c r="H330" s="1">
        <v>0.35</v>
      </c>
      <c r="I330" s="1"/>
      <c r="J330" s="1"/>
      <c r="K330" s="6"/>
      <c r="L330" s="34">
        <f>20/958</f>
        <v>2.0876826722338204E-2</v>
      </c>
      <c r="M330" s="43">
        <v>143.63937000000001</v>
      </c>
      <c r="N330" s="55">
        <v>12861998.169027001</v>
      </c>
      <c r="O330" s="6">
        <f t="shared" si="27"/>
        <v>5.277825638370377</v>
      </c>
      <c r="P330" s="60">
        <v>128.80452</v>
      </c>
      <c r="Q330" s="1">
        <v>479249.43206644797</v>
      </c>
      <c r="R330" s="79">
        <f t="shared" si="28"/>
        <v>0.19665645310273655</v>
      </c>
      <c r="S330" s="64" t="s">
        <v>637</v>
      </c>
      <c r="T330" t="s">
        <v>647</v>
      </c>
      <c r="V330" s="52"/>
    </row>
    <row r="331" spans="1:185" ht="30" x14ac:dyDescent="0.25">
      <c r="A331" s="1">
        <v>205</v>
      </c>
      <c r="B331" s="2" t="s">
        <v>85</v>
      </c>
      <c r="C331" s="1" t="s">
        <v>84</v>
      </c>
      <c r="D331" s="4" t="s">
        <v>263</v>
      </c>
      <c r="E331" s="43">
        <v>75.776199000000005</v>
      </c>
      <c r="F331" s="43"/>
      <c r="G331" s="45"/>
      <c r="H331" s="1">
        <v>0.85</v>
      </c>
      <c r="I331" s="1"/>
      <c r="J331" s="1"/>
      <c r="K331" s="6"/>
      <c r="L331" s="34">
        <f>10/1479</f>
        <v>6.7613252197430695E-3</v>
      </c>
      <c r="M331" s="43">
        <v>58.073605000000001</v>
      </c>
      <c r="N331" s="55">
        <v>4913557.4000009997</v>
      </c>
      <c r="O331" s="6">
        <f t="shared" si="27"/>
        <v>1.6210754382127954</v>
      </c>
      <c r="P331" s="60">
        <v>54.124682999999997</v>
      </c>
      <c r="Q331" s="1">
        <v>480216.021122707</v>
      </c>
      <c r="R331" s="79">
        <f t="shared" si="28"/>
        <v>0.158432340055321</v>
      </c>
      <c r="S331" s="64" t="s">
        <v>638</v>
      </c>
      <c r="T331" s="64" t="s">
        <v>647</v>
      </c>
      <c r="V331" s="52"/>
    </row>
    <row r="332" spans="1:185" ht="30" x14ac:dyDescent="0.25">
      <c r="A332" s="1">
        <v>199</v>
      </c>
      <c r="B332" s="2" t="s">
        <v>98</v>
      </c>
      <c r="C332" s="1" t="s">
        <v>581</v>
      </c>
      <c r="D332" s="4" t="s">
        <v>263</v>
      </c>
      <c r="E332" s="43">
        <v>26.193000999999999</v>
      </c>
      <c r="F332" s="1"/>
      <c r="G332" s="14"/>
      <c r="H332" s="1">
        <v>0.13</v>
      </c>
      <c r="I332" s="1"/>
      <c r="J332" s="1"/>
      <c r="K332" s="6"/>
      <c r="L332" s="34">
        <f>5/1387</f>
        <v>3.6049026676279738E-3</v>
      </c>
      <c r="M332" s="43">
        <v>21.005789</v>
      </c>
      <c r="N332" s="55">
        <v>192335.706511</v>
      </c>
      <c r="O332" s="6">
        <f t="shared" si="27"/>
        <v>0.18357547738706992</v>
      </c>
      <c r="P332" s="60">
        <v>13.392823</v>
      </c>
      <c r="Q332" s="1">
        <v>51105.816488650402</v>
      </c>
      <c r="R332" s="79">
        <f t="shared" si="28"/>
        <v>4.8778122530375959E-2</v>
      </c>
      <c r="S332" s="64" t="s">
        <v>639</v>
      </c>
      <c r="T332" s="20" t="s">
        <v>649</v>
      </c>
      <c r="U332" s="20"/>
      <c r="V332" s="62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</row>
    <row r="333" spans="1:185" ht="30" x14ac:dyDescent="0.25">
      <c r="A333" s="1">
        <v>218</v>
      </c>
      <c r="B333" s="2" t="s">
        <v>104</v>
      </c>
      <c r="C333" s="1" t="s">
        <v>573</v>
      </c>
      <c r="D333" s="4" t="s">
        <v>263</v>
      </c>
      <c r="E333" s="43">
        <v>37.148299999999999</v>
      </c>
      <c r="F333" s="43"/>
      <c r="G333" s="53"/>
      <c r="H333" s="1">
        <v>0.24</v>
      </c>
      <c r="I333" s="1"/>
      <c r="J333" s="1"/>
      <c r="K333" s="6"/>
      <c r="L333" s="34">
        <f>5/165</f>
        <v>3.0303030303030304E-2</v>
      </c>
      <c r="M333" s="43">
        <v>43.730572000000002</v>
      </c>
      <c r="N333" s="55">
        <v>3202319.7432639999</v>
      </c>
      <c r="O333" s="6">
        <f t="shared" si="27"/>
        <v>2.155091715680125</v>
      </c>
      <c r="P333" s="60">
        <v>44.118637</v>
      </c>
      <c r="Q333" s="1">
        <v>264535.031090623</v>
      </c>
      <c r="R333" s="79">
        <f t="shared" si="28"/>
        <v>0.17802633706698759</v>
      </c>
      <c r="S333" s="64" t="s">
        <v>640</v>
      </c>
      <c r="T333" s="61" t="s">
        <v>647</v>
      </c>
      <c r="U333" s="20"/>
      <c r="V333" s="52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</row>
    <row r="334" spans="1:185" ht="30" x14ac:dyDescent="0.25">
      <c r="A334" s="1">
        <v>224</v>
      </c>
      <c r="B334" s="2" t="s">
        <v>113</v>
      </c>
      <c r="C334" s="1" t="s">
        <v>114</v>
      </c>
      <c r="D334" s="4" t="s">
        <v>263</v>
      </c>
      <c r="E334" s="43">
        <v>142.96799999999999</v>
      </c>
      <c r="F334" s="43"/>
      <c r="G334" s="53"/>
      <c r="H334" s="1">
        <v>0.45</v>
      </c>
      <c r="I334" s="1"/>
      <c r="J334" s="1"/>
      <c r="K334" s="6"/>
      <c r="L334" s="34">
        <f>20/11453</f>
        <v>1.7462673535318257E-3</v>
      </c>
      <c r="M334" s="43">
        <v>110.56146</v>
      </c>
      <c r="N334" s="55">
        <v>9110874.13717</v>
      </c>
      <c r="O334" s="6">
        <f t="shared" si="27"/>
        <v>1.593166676663659</v>
      </c>
      <c r="P334" s="60">
        <v>108.97960999999999</v>
      </c>
      <c r="Q334" s="1">
        <v>1085794.9633809701</v>
      </c>
      <c r="R334" s="79">
        <f t="shared" si="28"/>
        <v>0.18986678196886192</v>
      </c>
      <c r="S334" s="64" t="s">
        <v>640</v>
      </c>
      <c r="T334" s="61" t="s">
        <v>647</v>
      </c>
      <c r="U334" s="26"/>
      <c r="V334" s="52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</row>
    <row r="335" spans="1:185" ht="30" x14ac:dyDescent="0.25">
      <c r="A335" s="1">
        <v>230</v>
      </c>
      <c r="B335" s="8" t="s">
        <v>122</v>
      </c>
      <c r="C335" s="1" t="s">
        <v>586</v>
      </c>
      <c r="D335" s="4" t="s">
        <v>263</v>
      </c>
      <c r="E335" s="43">
        <v>356.24599999999998</v>
      </c>
      <c r="F335" s="58">
        <v>268.57888399999996</v>
      </c>
      <c r="G335" s="53">
        <f>100*F335/E335</f>
        <v>75.391410429871485</v>
      </c>
      <c r="H335" s="1">
        <v>0.55000000000000004</v>
      </c>
      <c r="I335" s="1"/>
      <c r="J335" s="1"/>
      <c r="K335" s="6"/>
      <c r="L335" s="34">
        <f>10/2097</f>
        <v>4.7687172150691461E-3</v>
      </c>
      <c r="M335" s="43">
        <v>407.85727000000003</v>
      </c>
      <c r="N335" s="55">
        <v>10354211.772329001</v>
      </c>
      <c r="O335" s="6">
        <f t="shared" si="27"/>
        <v>0.72661951097900046</v>
      </c>
      <c r="P335" s="60">
        <v>396.78314</v>
      </c>
      <c r="Q335" s="1">
        <v>5961458.8094355399</v>
      </c>
      <c r="R335" s="79">
        <f t="shared" si="28"/>
        <v>0.41835268392034863</v>
      </c>
      <c r="S335" s="64" t="s">
        <v>640</v>
      </c>
      <c r="T335" s="61" t="s">
        <v>647</v>
      </c>
      <c r="U335" s="20"/>
      <c r="V335" s="52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</row>
    <row r="336" spans="1:185" ht="30" x14ac:dyDescent="0.25">
      <c r="A336" s="1">
        <v>236</v>
      </c>
      <c r="B336" s="8" t="s">
        <v>128</v>
      </c>
      <c r="C336" s="1" t="s">
        <v>587</v>
      </c>
      <c r="D336" s="4" t="s">
        <v>263</v>
      </c>
      <c r="E336" s="43">
        <v>237.69099</v>
      </c>
      <c r="F336" s="58">
        <v>50.752179000000005</v>
      </c>
      <c r="G336" s="53">
        <f>100*F336/E336</f>
        <v>21.35216778726026</v>
      </c>
      <c r="H336" s="1">
        <v>1.36</v>
      </c>
      <c r="I336" s="1"/>
      <c r="J336" s="1"/>
      <c r="K336" s="6"/>
      <c r="L336" s="34">
        <f>L335</f>
        <v>4.7687172150691461E-3</v>
      </c>
      <c r="M336" s="43">
        <v>154.5215</v>
      </c>
      <c r="N336" s="55">
        <v>8348511.631794</v>
      </c>
      <c r="O336" s="6">
        <f t="shared" si="27"/>
        <v>0.87808457020120956</v>
      </c>
      <c r="P336" s="60">
        <v>145.40758</v>
      </c>
      <c r="Q336" s="1">
        <v>2601638.49545397</v>
      </c>
      <c r="R336" s="79">
        <f t="shared" si="28"/>
        <v>0.273636633792258</v>
      </c>
      <c r="S336" s="64" t="s">
        <v>640</v>
      </c>
      <c r="T336" s="61" t="s">
        <v>647</v>
      </c>
      <c r="V336" s="52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</row>
    <row r="337" spans="1:185" ht="30" x14ac:dyDescent="0.25">
      <c r="A337" s="1">
        <v>238</v>
      </c>
      <c r="B337" s="8" t="s">
        <v>131</v>
      </c>
      <c r="C337" s="1" t="s">
        <v>68</v>
      </c>
      <c r="D337" s="4" t="s">
        <v>263</v>
      </c>
      <c r="E337" s="43">
        <v>344.32900999999998</v>
      </c>
      <c r="F337" s="58">
        <v>134.89046400000001</v>
      </c>
      <c r="G337" s="53">
        <f>100*F337/E337</f>
        <v>39.174876377683084</v>
      </c>
      <c r="H337" s="1">
        <v>4.87</v>
      </c>
      <c r="I337" s="1"/>
      <c r="J337" s="1"/>
      <c r="K337" s="6"/>
      <c r="L337" s="34">
        <f>10/628</f>
        <v>1.5923566878980892E-2</v>
      </c>
      <c r="M337" s="43">
        <v>194.54961</v>
      </c>
      <c r="N337" s="55">
        <v>8772482.6709419992</v>
      </c>
      <c r="O337" s="6">
        <f t="shared" si="27"/>
        <v>0.63692590634042123</v>
      </c>
      <c r="P337" s="60">
        <v>206.48652999999999</v>
      </c>
      <c r="Q337" s="1">
        <v>4908769.0716064302</v>
      </c>
      <c r="R337" s="79">
        <f t="shared" si="28"/>
        <v>0.3564010676595642</v>
      </c>
      <c r="S337" s="64" t="s">
        <v>640</v>
      </c>
      <c r="T337" s="61" t="s">
        <v>647</v>
      </c>
      <c r="V337" s="52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</row>
    <row r="338" spans="1:185" ht="30" x14ac:dyDescent="0.25">
      <c r="A338" s="1">
        <v>23</v>
      </c>
      <c r="B338" s="2" t="s">
        <v>287</v>
      </c>
      <c r="C338" s="1" t="s">
        <v>542</v>
      </c>
      <c r="D338" s="30" t="s">
        <v>263</v>
      </c>
      <c r="E338" s="51">
        <v>78.741699999999994</v>
      </c>
      <c r="F338" s="1"/>
      <c r="G338" s="14"/>
      <c r="H338" s="1">
        <v>0.4</v>
      </c>
      <c r="I338" s="1"/>
      <c r="J338" s="1"/>
      <c r="K338" s="6"/>
      <c r="L338" s="34">
        <v>1E-3</v>
      </c>
      <c r="M338" s="1">
        <v>37.467083000000002</v>
      </c>
      <c r="N338" s="42">
        <v>9904471.1913469993</v>
      </c>
      <c r="O338" s="1">
        <f t="shared" si="27"/>
        <v>3.144608000381945</v>
      </c>
      <c r="P338" s="51">
        <v>22.652536000000001</v>
      </c>
      <c r="Q338" s="1">
        <v>51641.732714480997</v>
      </c>
      <c r="R338" s="67">
        <f t="shared" si="28"/>
        <v>1.6395928940599772E-2</v>
      </c>
      <c r="S338" s="20" t="s">
        <v>641</v>
      </c>
      <c r="T338" t="s">
        <v>650</v>
      </c>
    </row>
    <row r="339" spans="1:185" ht="30" x14ac:dyDescent="0.25">
      <c r="A339" s="1">
        <v>37</v>
      </c>
      <c r="B339" s="2" t="s">
        <v>300</v>
      </c>
      <c r="C339" s="1" t="s">
        <v>551</v>
      </c>
      <c r="D339" s="30" t="s">
        <v>263</v>
      </c>
      <c r="E339" s="51">
        <v>89.035899999999998</v>
      </c>
      <c r="F339" s="1"/>
      <c r="G339" s="14"/>
      <c r="H339" s="28">
        <v>0.25</v>
      </c>
      <c r="I339" s="1"/>
      <c r="J339" s="1"/>
      <c r="K339" s="6"/>
      <c r="L339" s="34">
        <f>10/18839</f>
        <v>5.308137374595254E-4</v>
      </c>
      <c r="M339" s="1">
        <v>20.752831</v>
      </c>
      <c r="N339" s="42">
        <v>192665.69436299996</v>
      </c>
      <c r="O339" s="1">
        <f t="shared" si="27"/>
        <v>5.4097755614027583E-2</v>
      </c>
      <c r="P339" s="51">
        <v>11.76085</v>
      </c>
      <c r="Q339" s="1">
        <v>20401.572250802401</v>
      </c>
      <c r="R339" s="67">
        <f t="shared" si="28"/>
        <v>5.7284680254825306E-3</v>
      </c>
      <c r="S339" s="20" t="s">
        <v>641</v>
      </c>
      <c r="T339" t="s">
        <v>650</v>
      </c>
    </row>
    <row r="340" spans="1:185" ht="30" x14ac:dyDescent="0.25">
      <c r="A340" s="1">
        <v>54</v>
      </c>
      <c r="B340" s="2" t="s">
        <v>400</v>
      </c>
      <c r="C340" s="2" t="s">
        <v>401</v>
      </c>
      <c r="D340" s="30" t="s">
        <v>263</v>
      </c>
      <c r="E340" s="1">
        <v>170.60201000000001</v>
      </c>
      <c r="F340" s="1"/>
      <c r="G340" s="14"/>
      <c r="H340" s="1">
        <v>0.6</v>
      </c>
      <c r="I340" s="1"/>
      <c r="J340" s="1"/>
      <c r="K340" s="6"/>
      <c r="L340" s="34">
        <f>10/7829</f>
        <v>1.2773023374632775E-3</v>
      </c>
      <c r="M340" s="51">
        <v>16.115203999999999</v>
      </c>
      <c r="N340" s="42">
        <v>377182.79985400004</v>
      </c>
      <c r="O340" s="51">
        <f t="shared" si="27"/>
        <v>5.5272326488709021E-2</v>
      </c>
      <c r="P340" s="1"/>
      <c r="Q340" s="1"/>
      <c r="R340" s="14"/>
      <c r="S340" s="64" t="s">
        <v>644</v>
      </c>
      <c r="T340" t="s">
        <v>650</v>
      </c>
    </row>
    <row r="341" spans="1:185" ht="30" x14ac:dyDescent="0.25">
      <c r="A341" s="1">
        <v>6</v>
      </c>
      <c r="B341" s="2" t="s">
        <v>142</v>
      </c>
      <c r="C341" s="1" t="s">
        <v>573</v>
      </c>
      <c r="D341" s="4" t="s">
        <v>263</v>
      </c>
      <c r="E341" s="1">
        <v>12.715400000000001</v>
      </c>
      <c r="F341" s="1"/>
      <c r="G341" s="53"/>
      <c r="H341" s="1">
        <v>8.0000000000000002E-3</v>
      </c>
      <c r="I341" s="1"/>
      <c r="J341" s="1"/>
      <c r="K341" s="1"/>
      <c r="L341" s="34">
        <f>20/1215</f>
        <v>1.646090534979424E-2</v>
      </c>
      <c r="M341" s="43">
        <v>189.68485999999999</v>
      </c>
      <c r="N341" s="43">
        <v>33503.565588523903</v>
      </c>
      <c r="O341" s="34">
        <f t="shared" ref="O341:O354" si="29">(25*N341)/(E341*1000000)</f>
        <v>6.5872024451696182E-2</v>
      </c>
      <c r="P341" s="43"/>
      <c r="Q341" s="1"/>
      <c r="R341" s="14"/>
      <c r="S341" t="s">
        <v>645</v>
      </c>
      <c r="T341" t="s">
        <v>647</v>
      </c>
    </row>
    <row r="342" spans="1:185" ht="30" x14ac:dyDescent="0.25">
      <c r="A342" s="1">
        <v>9</v>
      </c>
      <c r="B342" s="2" t="s">
        <v>146</v>
      </c>
      <c r="C342" s="1" t="s">
        <v>145</v>
      </c>
      <c r="D342" s="4" t="s">
        <v>263</v>
      </c>
      <c r="E342" s="1">
        <v>203.024</v>
      </c>
      <c r="F342" s="70">
        <v>33.724311999999998</v>
      </c>
      <c r="G342" s="45">
        <f>100*F342/E342</f>
        <v>16.610997714555914</v>
      </c>
      <c r="H342" s="1">
        <v>7.0000000000000007E-2</v>
      </c>
      <c r="I342" s="1"/>
      <c r="J342" s="1"/>
      <c r="K342" s="1"/>
      <c r="L342" s="34">
        <f>20/1017</f>
        <v>1.966568338249754E-2</v>
      </c>
      <c r="M342" s="43">
        <v>354.23145</v>
      </c>
      <c r="N342" s="43">
        <v>746522.71951615496</v>
      </c>
      <c r="O342" s="34">
        <f t="shared" si="29"/>
        <v>9.1925427476081026E-2</v>
      </c>
      <c r="P342" s="43"/>
      <c r="Q342" s="1"/>
      <c r="R342" s="14"/>
      <c r="S342" t="s">
        <v>645</v>
      </c>
      <c r="T342" t="s">
        <v>647</v>
      </c>
    </row>
    <row r="343" spans="1:185" ht="30" x14ac:dyDescent="0.25">
      <c r="A343" s="1">
        <v>28</v>
      </c>
      <c r="B343" s="2" t="s">
        <v>162</v>
      </c>
      <c r="C343" s="1" t="s">
        <v>573</v>
      </c>
      <c r="D343" s="4" t="s">
        <v>263</v>
      </c>
      <c r="E343" s="1">
        <v>67.823700000000002</v>
      </c>
      <c r="F343" s="1"/>
      <c r="G343" s="53"/>
      <c r="H343" s="1">
        <v>0.87</v>
      </c>
      <c r="I343" s="1"/>
      <c r="J343" s="1"/>
      <c r="K343" s="1"/>
      <c r="L343" s="34">
        <f>20/2533</f>
        <v>7.895775759968417E-3</v>
      </c>
      <c r="M343" s="43">
        <v>242.47497999999999</v>
      </c>
      <c r="N343" s="43">
        <v>349808.40866368997</v>
      </c>
      <c r="O343" s="34">
        <f t="shared" si="29"/>
        <v>0.12894032936263058</v>
      </c>
      <c r="P343" s="43"/>
      <c r="Q343" s="1"/>
      <c r="R343" s="14"/>
      <c r="S343" t="s">
        <v>645</v>
      </c>
      <c r="T343" t="s">
        <v>647</v>
      </c>
    </row>
    <row r="344" spans="1:185" ht="30" x14ac:dyDescent="0.25">
      <c r="A344" s="1">
        <v>42</v>
      </c>
      <c r="B344" s="2" t="s">
        <v>178</v>
      </c>
      <c r="C344" s="1" t="s">
        <v>573</v>
      </c>
      <c r="D344" s="4" t="s">
        <v>263</v>
      </c>
      <c r="E344" s="1">
        <v>387.79500000000002</v>
      </c>
      <c r="F344" s="1">
        <v>236.49295899999998</v>
      </c>
      <c r="G344" s="45">
        <f>100*F344/E344</f>
        <v>60.984014492193033</v>
      </c>
      <c r="H344" s="1">
        <v>8.2899999999999991</v>
      </c>
      <c r="I344" s="1"/>
      <c r="J344" s="1"/>
      <c r="K344" s="1"/>
      <c r="L344" s="34">
        <f>10/254</f>
        <v>3.937007874015748E-2</v>
      </c>
      <c r="M344" s="43">
        <v>487.67621000000003</v>
      </c>
      <c r="N344" s="43">
        <v>1347131.7422642</v>
      </c>
      <c r="O344" s="34">
        <f t="shared" si="29"/>
        <v>8.684561058447117E-2</v>
      </c>
      <c r="P344" s="43"/>
      <c r="Q344" s="1"/>
      <c r="R344" s="14"/>
      <c r="S344" t="s">
        <v>645</v>
      </c>
      <c r="T344" t="s">
        <v>647</v>
      </c>
    </row>
    <row r="345" spans="1:185" ht="30" x14ac:dyDescent="0.25">
      <c r="A345" s="1">
        <v>44</v>
      </c>
      <c r="B345" s="2" t="s">
        <v>180</v>
      </c>
      <c r="C345" s="1" t="s">
        <v>573</v>
      </c>
      <c r="D345" s="4" t="s">
        <v>263</v>
      </c>
      <c r="E345" s="1">
        <v>113.76</v>
      </c>
      <c r="F345" s="1"/>
      <c r="G345" s="53"/>
      <c r="H345" s="1">
        <v>2.92</v>
      </c>
      <c r="I345" s="1"/>
      <c r="J345" s="1"/>
      <c r="K345" s="1"/>
      <c r="L345" s="34">
        <f>24/1083</f>
        <v>2.2160664819944598E-2</v>
      </c>
      <c r="M345" s="43">
        <v>251.75993</v>
      </c>
      <c r="N345" s="43">
        <v>687599.235076171</v>
      </c>
      <c r="O345" s="34">
        <f t="shared" si="29"/>
        <v>0.15110742683635967</v>
      </c>
      <c r="P345" s="43"/>
      <c r="Q345" s="1"/>
      <c r="R345" s="14"/>
      <c r="S345" t="s">
        <v>645</v>
      </c>
      <c r="T345" t="s">
        <v>647</v>
      </c>
    </row>
    <row r="346" spans="1:185" ht="30" x14ac:dyDescent="0.25">
      <c r="A346" s="1">
        <v>56</v>
      </c>
      <c r="B346" s="2" t="s">
        <v>197</v>
      </c>
      <c r="C346" s="1" t="s">
        <v>71</v>
      </c>
      <c r="D346" s="4" t="s">
        <v>263</v>
      </c>
      <c r="E346" s="1">
        <v>381.40100000000001</v>
      </c>
      <c r="F346" s="1">
        <v>117.454285</v>
      </c>
      <c r="G346" s="17">
        <f>100*F346/E346</f>
        <v>30.795484280324381</v>
      </c>
      <c r="H346" s="1">
        <v>0.5</v>
      </c>
      <c r="I346" s="1"/>
      <c r="J346" s="1"/>
      <c r="K346" s="1"/>
      <c r="L346" s="34">
        <f>50/5710</f>
        <v>8.7565674255691769E-3</v>
      </c>
      <c r="M346" s="43">
        <v>99.257103000000001</v>
      </c>
      <c r="N346" s="43">
        <v>33742.206084719997</v>
      </c>
      <c r="O346" s="34">
        <f t="shared" si="29"/>
        <v>2.2117276884905911E-3</v>
      </c>
      <c r="P346" s="43"/>
      <c r="Q346" s="1"/>
      <c r="R346" s="14"/>
      <c r="S346" t="s">
        <v>645</v>
      </c>
      <c r="T346" t="s">
        <v>647</v>
      </c>
    </row>
    <row r="347" spans="1:185" ht="30" x14ac:dyDescent="0.25">
      <c r="A347" s="1">
        <v>104</v>
      </c>
      <c r="B347" s="2" t="s">
        <v>228</v>
      </c>
      <c r="C347" s="1" t="s">
        <v>573</v>
      </c>
      <c r="D347" s="4" t="s">
        <v>263</v>
      </c>
      <c r="E347" s="1">
        <v>70.189899999999994</v>
      </c>
      <c r="F347" s="1">
        <v>5.3908670000000001</v>
      </c>
      <c r="G347" s="45">
        <f>100*F347/E347</f>
        <v>7.6804027360061786</v>
      </c>
      <c r="H347" s="1">
        <v>2.65</v>
      </c>
      <c r="I347" s="1"/>
      <c r="J347" s="1"/>
      <c r="K347" s="1"/>
      <c r="L347" s="34">
        <f>10/1375</f>
        <v>7.2727272727272727E-3</v>
      </c>
      <c r="M347" s="43">
        <v>247.37137000000001</v>
      </c>
      <c r="N347" s="43">
        <v>185369.11814478601</v>
      </c>
      <c r="O347" s="34">
        <f t="shared" si="29"/>
        <v>6.6024142413932063E-2</v>
      </c>
      <c r="P347" s="43"/>
      <c r="Q347" s="1"/>
      <c r="R347" s="14"/>
      <c r="S347" t="s">
        <v>645</v>
      </c>
      <c r="T347" t="s">
        <v>648</v>
      </c>
    </row>
    <row r="348" spans="1:185" ht="30" x14ac:dyDescent="0.25">
      <c r="A348" s="1">
        <v>107</v>
      </c>
      <c r="B348" s="2" t="s">
        <v>229</v>
      </c>
      <c r="C348" s="1" t="s">
        <v>573</v>
      </c>
      <c r="D348" s="4" t="s">
        <v>263</v>
      </c>
      <c r="E348" s="1">
        <v>6.5597000000000003</v>
      </c>
      <c r="F348" s="1"/>
      <c r="G348" s="53"/>
      <c r="H348" s="1">
        <v>0.1</v>
      </c>
      <c r="I348" s="1"/>
      <c r="J348" s="1"/>
      <c r="K348" s="1"/>
      <c r="L348" s="34">
        <f>5/535</f>
        <v>9.3457943925233638E-3</v>
      </c>
      <c r="M348" s="43">
        <v>34.913333999999999</v>
      </c>
      <c r="N348" s="43">
        <v>8664.1037765019591</v>
      </c>
      <c r="O348" s="34">
        <f t="shared" si="29"/>
        <v>3.3020198242686247E-2</v>
      </c>
      <c r="P348" s="43"/>
      <c r="Q348" s="1"/>
      <c r="R348" s="14"/>
      <c r="S348" t="s">
        <v>645</v>
      </c>
      <c r="T348" t="s">
        <v>648</v>
      </c>
    </row>
    <row r="349" spans="1:185" ht="30" x14ac:dyDescent="0.25">
      <c r="A349" s="1">
        <v>108</v>
      </c>
      <c r="B349" s="2" t="s">
        <v>230</v>
      </c>
      <c r="C349" s="1" t="s">
        <v>573</v>
      </c>
      <c r="D349" s="4" t="s">
        <v>263</v>
      </c>
      <c r="E349" s="1">
        <v>571.92200000000003</v>
      </c>
      <c r="F349" s="1">
        <v>404.57762699999984</v>
      </c>
      <c r="G349" s="17">
        <f>100*F349/E349</f>
        <v>70.74000073436585</v>
      </c>
      <c r="H349" s="1">
        <v>18.489999999999998</v>
      </c>
      <c r="I349" s="1"/>
      <c r="J349" s="1"/>
      <c r="K349" s="1"/>
      <c r="L349" s="34">
        <f>10/2168</f>
        <v>4.6125461254612546E-3</v>
      </c>
      <c r="M349" s="43">
        <v>507.64458999999999</v>
      </c>
      <c r="N349" s="43">
        <v>2476612.1009243401</v>
      </c>
      <c r="O349" s="34">
        <f t="shared" si="29"/>
        <v>0.10825829837479325</v>
      </c>
      <c r="P349" s="43"/>
      <c r="Q349" s="1"/>
      <c r="R349" s="14"/>
      <c r="S349" t="s">
        <v>645</v>
      </c>
      <c r="T349" t="s">
        <v>648</v>
      </c>
    </row>
    <row r="350" spans="1:185" ht="30" x14ac:dyDescent="0.25">
      <c r="A350" s="1">
        <v>117</v>
      </c>
      <c r="B350" s="2" t="s">
        <v>242</v>
      </c>
      <c r="C350" s="1" t="s">
        <v>92</v>
      </c>
      <c r="D350" s="4" t="s">
        <v>263</v>
      </c>
      <c r="E350" s="1">
        <v>880.06200000000001</v>
      </c>
      <c r="F350" s="1">
        <v>42.690263999999985</v>
      </c>
      <c r="G350" s="45">
        <f>100*F350/E350</f>
        <v>4.8508246009940192</v>
      </c>
      <c r="H350" s="1">
        <v>3.36</v>
      </c>
      <c r="I350" s="1"/>
      <c r="J350" s="1"/>
      <c r="K350" s="1"/>
      <c r="L350" s="34">
        <v>1E-3</v>
      </c>
      <c r="M350" s="43">
        <v>305.38632000000001</v>
      </c>
      <c r="N350" s="43">
        <v>3583762.1275295098</v>
      </c>
      <c r="O350" s="34">
        <f t="shared" si="29"/>
        <v>0.10180425150527775</v>
      </c>
      <c r="P350" s="43"/>
      <c r="Q350" s="1"/>
      <c r="R350" s="14"/>
      <c r="S350" t="s">
        <v>645</v>
      </c>
      <c r="T350" t="s">
        <v>648</v>
      </c>
    </row>
    <row r="351" spans="1:185" ht="30" x14ac:dyDescent="0.25">
      <c r="A351" s="1">
        <v>118</v>
      </c>
      <c r="B351" s="2" t="s">
        <v>243</v>
      </c>
      <c r="C351" s="1" t="s">
        <v>573</v>
      </c>
      <c r="D351" s="4" t="s">
        <v>263</v>
      </c>
      <c r="E351" s="1">
        <v>100.35299999999999</v>
      </c>
      <c r="F351" s="1"/>
      <c r="G351" s="53"/>
      <c r="H351" s="1">
        <v>0.4</v>
      </c>
      <c r="I351" s="1"/>
      <c r="J351" s="1"/>
      <c r="K351" s="1"/>
      <c r="L351" s="34">
        <f>2/233</f>
        <v>8.5836909871244635E-3</v>
      </c>
      <c r="M351" s="43">
        <v>228.00197</v>
      </c>
      <c r="N351" s="43">
        <v>248920.49707047601</v>
      </c>
      <c r="O351" s="34">
        <f t="shared" si="29"/>
        <v>6.2011224644623483E-2</v>
      </c>
      <c r="P351" s="43"/>
      <c r="Q351" s="1"/>
      <c r="R351" s="14"/>
      <c r="S351" t="s">
        <v>645</v>
      </c>
      <c r="T351" t="s">
        <v>648</v>
      </c>
    </row>
    <row r="352" spans="1:185" ht="30" x14ac:dyDescent="0.25">
      <c r="A352" s="1">
        <v>120</v>
      </c>
      <c r="B352" s="2" t="s">
        <v>249</v>
      </c>
      <c r="C352" s="1" t="s">
        <v>573</v>
      </c>
      <c r="D352" s="4" t="s">
        <v>263</v>
      </c>
      <c r="E352" s="1">
        <v>66.338200000000001</v>
      </c>
      <c r="F352" s="1"/>
      <c r="G352" s="53"/>
      <c r="H352" s="1">
        <v>0.21</v>
      </c>
      <c r="I352" s="1"/>
      <c r="J352" s="1"/>
      <c r="K352" s="1"/>
      <c r="L352" s="34">
        <f>10/1597</f>
        <v>6.2617407639323731E-3</v>
      </c>
      <c r="M352" s="43">
        <v>180.69456</v>
      </c>
      <c r="N352" s="43">
        <v>178137.79840869299</v>
      </c>
      <c r="O352" s="34">
        <f t="shared" si="29"/>
        <v>6.7132435915013139E-2</v>
      </c>
      <c r="P352" s="43"/>
      <c r="Q352" s="1"/>
      <c r="R352" s="14"/>
      <c r="S352" t="s">
        <v>645</v>
      </c>
      <c r="T352" t="s">
        <v>648</v>
      </c>
    </row>
    <row r="353" spans="1:22" ht="30" x14ac:dyDescent="0.25">
      <c r="A353" s="1">
        <v>121</v>
      </c>
      <c r="B353" s="2" t="s">
        <v>250</v>
      </c>
      <c r="C353" s="1" t="s">
        <v>573</v>
      </c>
      <c r="D353" s="4" t="s">
        <v>263</v>
      </c>
      <c r="E353" s="1">
        <v>27.679200000000002</v>
      </c>
      <c r="F353" s="1"/>
      <c r="G353" s="53"/>
      <c r="H353" s="1">
        <v>0.12</v>
      </c>
      <c r="I353" s="1"/>
      <c r="J353" s="1"/>
      <c r="K353" s="1"/>
      <c r="L353" s="34">
        <f>5/1965</f>
        <v>2.5445292620865142E-3</v>
      </c>
      <c r="M353" s="43">
        <v>119.13014</v>
      </c>
      <c r="N353" s="43">
        <v>65158.973792316901</v>
      </c>
      <c r="O353" s="34">
        <f t="shared" si="29"/>
        <v>5.8851930142775899E-2</v>
      </c>
      <c r="P353" s="43"/>
      <c r="Q353" s="1"/>
      <c r="R353" s="14"/>
      <c r="S353" t="s">
        <v>645</v>
      </c>
      <c r="T353" t="s">
        <v>648</v>
      </c>
    </row>
    <row r="354" spans="1:22" ht="30" x14ac:dyDescent="0.25">
      <c r="A354" s="23">
        <v>126</v>
      </c>
      <c r="B354" s="8" t="s">
        <v>252</v>
      </c>
      <c r="C354" s="23" t="s">
        <v>245</v>
      </c>
      <c r="D354" s="24" t="s">
        <v>263</v>
      </c>
      <c r="E354" s="1">
        <v>128.63</v>
      </c>
      <c r="F354" s="1">
        <v>10.330279000000001</v>
      </c>
      <c r="G354" s="17">
        <f>100*F354/E354</f>
        <v>8.0310028764673884</v>
      </c>
      <c r="H354" s="23">
        <v>7.07</v>
      </c>
      <c r="I354" s="23"/>
      <c r="J354" s="23"/>
      <c r="K354" s="23"/>
      <c r="L354" s="36">
        <f>5/267</f>
        <v>1.8726591760299626E-2</v>
      </c>
      <c r="M354" s="43">
        <v>301.34206999999998</v>
      </c>
      <c r="N354" s="43">
        <v>790678.25750598102</v>
      </c>
      <c r="O354" s="34">
        <f t="shared" si="29"/>
        <v>0.15367298793166079</v>
      </c>
      <c r="P354" s="43"/>
      <c r="Q354" s="23"/>
      <c r="R354" s="78"/>
      <c r="S354" t="s">
        <v>645</v>
      </c>
      <c r="T354" t="s">
        <v>648</v>
      </c>
    </row>
    <row r="355" spans="1:22" ht="30" x14ac:dyDescent="0.25">
      <c r="A355" s="29">
        <v>2</v>
      </c>
      <c r="B355" s="2" t="s">
        <v>402</v>
      </c>
      <c r="C355" s="29" t="s">
        <v>343</v>
      </c>
      <c r="D355" s="30" t="s">
        <v>263</v>
      </c>
      <c r="E355" s="1">
        <v>81.712886742157991</v>
      </c>
      <c r="F355" s="1"/>
      <c r="G355" s="53"/>
      <c r="H355" s="1">
        <v>0.32</v>
      </c>
      <c r="I355" s="1"/>
      <c r="J355" s="1"/>
      <c r="K355" s="1"/>
      <c r="L355" s="34">
        <f>10/1574</f>
        <v>6.3532401524777635E-3</v>
      </c>
      <c r="M355" s="29"/>
      <c r="N355" s="1"/>
      <c r="O355" s="1"/>
      <c r="P355" s="43">
        <v>185.25347400000001</v>
      </c>
      <c r="Q355" s="1">
        <v>918172.64869883598</v>
      </c>
      <c r="R355" s="38">
        <f t="shared" ref="R355:R362" si="30">(25*Q355)/(E355*1000000)</f>
        <v>0.28091427353316251</v>
      </c>
      <c r="S355" t="s">
        <v>646</v>
      </c>
      <c r="T355" t="s">
        <v>647</v>
      </c>
    </row>
    <row r="356" spans="1:22" ht="30" x14ac:dyDescent="0.25">
      <c r="A356" s="29">
        <v>101</v>
      </c>
      <c r="B356" s="2" t="s">
        <v>410</v>
      </c>
      <c r="C356" s="29" t="s">
        <v>342</v>
      </c>
      <c r="D356" s="30" t="s">
        <v>263</v>
      </c>
      <c r="E356" s="1">
        <v>236.92737438769601</v>
      </c>
      <c r="F356" s="1">
        <v>9.2684928651859995</v>
      </c>
      <c r="G356" s="17">
        <f>100*F356/E356</f>
        <v>3.9119552517471048</v>
      </c>
      <c r="H356" s="1">
        <v>0.35</v>
      </c>
      <c r="I356" s="1"/>
      <c r="J356" s="1"/>
      <c r="K356" s="1"/>
      <c r="L356" s="34">
        <f>10/1285</f>
        <v>7.7821011673151752E-3</v>
      </c>
      <c r="M356" s="29"/>
      <c r="N356" s="1"/>
      <c r="O356" s="1"/>
      <c r="P356" s="43">
        <v>275.71651800000001</v>
      </c>
      <c r="Q356" s="1">
        <v>2788380.93417155</v>
      </c>
      <c r="R356" s="38">
        <f t="shared" si="30"/>
        <v>0.29422317085327426</v>
      </c>
      <c r="S356" t="s">
        <v>646</v>
      </c>
      <c r="T356" t="s">
        <v>648</v>
      </c>
    </row>
    <row r="357" spans="1:22" ht="30" x14ac:dyDescent="0.25">
      <c r="A357" s="29">
        <v>110</v>
      </c>
      <c r="B357" s="2" t="s">
        <v>412</v>
      </c>
      <c r="C357" s="1" t="s">
        <v>573</v>
      </c>
      <c r="D357" s="30" t="s">
        <v>263</v>
      </c>
      <c r="E357" s="1">
        <v>78.686703158613</v>
      </c>
      <c r="F357" s="1"/>
      <c r="G357" s="53"/>
      <c r="H357" s="1">
        <v>0.28000000000000003</v>
      </c>
      <c r="I357" s="1"/>
      <c r="J357" s="1"/>
      <c r="K357" s="1"/>
      <c r="L357" s="34">
        <f>5/295</f>
        <v>1.6949152542372881E-2</v>
      </c>
      <c r="M357" s="29"/>
      <c r="N357" s="1"/>
      <c r="O357" s="1"/>
      <c r="P357" s="43">
        <v>230.99331100000001</v>
      </c>
      <c r="Q357" s="1">
        <v>870183.43698088801</v>
      </c>
      <c r="R357" s="38">
        <f t="shared" si="30"/>
        <v>0.27647092902939796</v>
      </c>
      <c r="S357" t="s">
        <v>646</v>
      </c>
      <c r="T357" t="s">
        <v>648</v>
      </c>
    </row>
    <row r="358" spans="1:22" ht="30" x14ac:dyDescent="0.25">
      <c r="A358" s="29">
        <v>148</v>
      </c>
      <c r="B358" s="2" t="s">
        <v>421</v>
      </c>
      <c r="C358" s="29" t="s">
        <v>352</v>
      </c>
      <c r="D358" s="30" t="s">
        <v>263</v>
      </c>
      <c r="E358" s="1">
        <v>52.572277022906</v>
      </c>
      <c r="F358" s="1"/>
      <c r="G358" s="53"/>
      <c r="H358" s="1">
        <v>0.03</v>
      </c>
      <c r="I358" s="1"/>
      <c r="J358" s="1"/>
      <c r="K358" s="1"/>
      <c r="L358" s="34">
        <f>10/698</f>
        <v>1.4326647564469915E-2</v>
      </c>
      <c r="M358" s="29"/>
      <c r="N358" s="1"/>
      <c r="O358" s="1"/>
      <c r="P358" s="43">
        <v>203.542236</v>
      </c>
      <c r="Q358" s="1">
        <v>422897.82423877699</v>
      </c>
      <c r="R358" s="38">
        <f t="shared" si="30"/>
        <v>0.20110305668067144</v>
      </c>
      <c r="S358" t="s">
        <v>646</v>
      </c>
      <c r="T358" t="s">
        <v>648</v>
      </c>
    </row>
    <row r="359" spans="1:22" ht="30" x14ac:dyDescent="0.25">
      <c r="A359" s="29">
        <v>362</v>
      </c>
      <c r="B359" s="2" t="s">
        <v>483</v>
      </c>
      <c r="C359" s="1" t="s">
        <v>573</v>
      </c>
      <c r="D359" s="30" t="s">
        <v>263</v>
      </c>
      <c r="E359" s="1">
        <v>128.61413366904699</v>
      </c>
      <c r="F359" s="1"/>
      <c r="G359" s="53"/>
      <c r="H359" s="1">
        <v>0.09</v>
      </c>
      <c r="I359" s="1"/>
      <c r="J359" s="1"/>
      <c r="K359" s="1"/>
      <c r="L359" s="34">
        <f>20/2071</f>
        <v>9.6571704490584255E-3</v>
      </c>
      <c r="M359" s="29"/>
      <c r="N359" s="1"/>
      <c r="O359" s="1"/>
      <c r="P359" s="43">
        <v>183.94003699999999</v>
      </c>
      <c r="Q359" s="1">
        <v>841015.94697004498</v>
      </c>
      <c r="R359" s="38">
        <f t="shared" si="30"/>
        <v>0.16347657970743859</v>
      </c>
      <c r="S359" t="s">
        <v>646</v>
      </c>
      <c r="T359" t="s">
        <v>647</v>
      </c>
    </row>
    <row r="360" spans="1:22" ht="30" x14ac:dyDescent="0.25">
      <c r="A360" s="29">
        <v>366</v>
      </c>
      <c r="B360" s="2" t="s">
        <v>485</v>
      </c>
      <c r="C360" s="1" t="s">
        <v>573</v>
      </c>
      <c r="D360" s="30" t="s">
        <v>263</v>
      </c>
      <c r="E360" s="1">
        <v>67.779800291914</v>
      </c>
      <c r="F360" s="1"/>
      <c r="G360" s="53"/>
      <c r="H360" s="1">
        <v>0.23</v>
      </c>
      <c r="I360" s="1"/>
      <c r="J360" s="1"/>
      <c r="K360" s="1"/>
      <c r="L360" s="34">
        <f>20/9692</f>
        <v>2.0635575732562937E-3</v>
      </c>
      <c r="M360" s="29"/>
      <c r="N360" s="1"/>
      <c r="O360" s="1"/>
      <c r="P360" s="43">
        <v>215.19459599999999</v>
      </c>
      <c r="Q360" s="1">
        <v>438205.208029031</v>
      </c>
      <c r="R360" s="38">
        <f t="shared" si="30"/>
        <v>0.16162824548824617</v>
      </c>
      <c r="S360" t="s">
        <v>646</v>
      </c>
      <c r="T360" t="s">
        <v>647</v>
      </c>
    </row>
    <row r="361" spans="1:22" ht="30" x14ac:dyDescent="0.25">
      <c r="A361" s="29">
        <v>367</v>
      </c>
      <c r="B361" s="2" t="s">
        <v>486</v>
      </c>
      <c r="C361" s="1" t="s">
        <v>573</v>
      </c>
      <c r="D361" s="30" t="s">
        <v>263</v>
      </c>
      <c r="E361" s="1">
        <v>89.175067770246997</v>
      </c>
      <c r="F361" s="1"/>
      <c r="G361" s="53"/>
      <c r="H361" s="1">
        <v>0.11</v>
      </c>
      <c r="I361" s="1"/>
      <c r="J361" s="1"/>
      <c r="K361" s="1"/>
      <c r="L361" s="34">
        <f>20/2879</f>
        <v>6.9468565474122956E-3</v>
      </c>
      <c r="M361" s="29"/>
      <c r="N361" s="1"/>
      <c r="O361" s="1"/>
      <c r="P361" s="43">
        <v>235.96125900000001</v>
      </c>
      <c r="Q361" s="1">
        <v>655062.24080795003</v>
      </c>
      <c r="R361" s="38">
        <f t="shared" si="30"/>
        <v>0.18364500784447671</v>
      </c>
      <c r="S361" t="s">
        <v>646</v>
      </c>
      <c r="T361" t="s">
        <v>647</v>
      </c>
    </row>
    <row r="362" spans="1:22" ht="30" x14ac:dyDescent="0.25">
      <c r="A362" s="29">
        <v>378</v>
      </c>
      <c r="B362" s="2" t="s">
        <v>494</v>
      </c>
      <c r="C362" s="1" t="s">
        <v>573</v>
      </c>
      <c r="D362" s="30" t="s">
        <v>263</v>
      </c>
      <c r="E362" s="1">
        <v>123.623240345146</v>
      </c>
      <c r="F362" s="1"/>
      <c r="G362" s="53"/>
      <c r="H362" s="1">
        <v>1.58</v>
      </c>
      <c r="I362" s="1"/>
      <c r="J362" s="1"/>
      <c r="K362" s="1"/>
      <c r="L362" s="34">
        <f>10/817</f>
        <v>1.2239902080783354E-2</v>
      </c>
      <c r="M362" s="29"/>
      <c r="N362" s="1"/>
      <c r="O362" s="1"/>
      <c r="P362" s="43">
        <v>258.70097399999997</v>
      </c>
      <c r="Q362" s="1">
        <v>1316805.0357576001</v>
      </c>
      <c r="R362" s="38">
        <f t="shared" si="30"/>
        <v>0.26629398972256102</v>
      </c>
      <c r="S362" t="s">
        <v>646</v>
      </c>
      <c r="T362" t="s">
        <v>647</v>
      </c>
    </row>
    <row r="363" spans="1:22" ht="30" x14ac:dyDescent="0.25">
      <c r="A363" s="28">
        <v>999</v>
      </c>
      <c r="B363" s="8" t="s">
        <v>525</v>
      </c>
      <c r="C363" s="1" t="s">
        <v>589</v>
      </c>
      <c r="D363" s="1">
        <v>6</v>
      </c>
      <c r="E363" s="43">
        <v>1078.3599999999999</v>
      </c>
      <c r="F363" s="58">
        <v>311.97130199999992</v>
      </c>
      <c r="G363" s="53">
        <f>100*F363/E363</f>
        <v>28.930162654401123</v>
      </c>
      <c r="H363" s="1">
        <v>13.25</v>
      </c>
      <c r="I363" s="1"/>
      <c r="J363" s="1"/>
      <c r="K363" s="1"/>
      <c r="L363" s="34">
        <v>2.461E-2</v>
      </c>
      <c r="M363" s="43">
        <v>234.23554999999999</v>
      </c>
      <c r="N363" s="55">
        <v>14109815.399535</v>
      </c>
      <c r="O363" s="6">
        <f>(25*N363)/(1000000*E363)</f>
        <v>0.32711282409248765</v>
      </c>
      <c r="P363" s="60">
        <v>233.41238000000001</v>
      </c>
      <c r="Q363" s="1">
        <v>10673136.592041399</v>
      </c>
      <c r="R363" s="79">
        <f>(25*Q363)/(1000000*E363)</f>
        <v>0.24743908787513907</v>
      </c>
      <c r="S363" s="64" t="s">
        <v>640</v>
      </c>
      <c r="T363" t="s">
        <v>649</v>
      </c>
      <c r="U363" s="52"/>
      <c r="V363" s="52"/>
    </row>
    <row r="364" spans="1:22" ht="30" x14ac:dyDescent="0.25">
      <c r="A364" s="1">
        <v>39</v>
      </c>
      <c r="B364" s="2" t="s">
        <v>173</v>
      </c>
      <c r="C364" s="1" t="s">
        <v>573</v>
      </c>
      <c r="D364" s="4" t="s">
        <v>266</v>
      </c>
      <c r="E364" s="1">
        <v>501.81299999999999</v>
      </c>
      <c r="F364" s="1">
        <v>26.844098000000002</v>
      </c>
      <c r="G364" s="45">
        <f>100*F364/E364</f>
        <v>5.3494225936753343</v>
      </c>
      <c r="H364" s="1">
        <v>1.59</v>
      </c>
      <c r="I364" s="1"/>
      <c r="J364" s="1"/>
      <c r="K364" s="1"/>
      <c r="L364" s="34">
        <f>30/2562</f>
        <v>1.1709601873536301E-2</v>
      </c>
      <c r="M364" s="43">
        <v>350.10629</v>
      </c>
      <c r="N364" s="43">
        <v>3198869.4690866</v>
      </c>
      <c r="O364" s="34">
        <f>(25*N364)/(E364*1000000)</f>
        <v>0.1593656137389127</v>
      </c>
      <c r="P364" s="43"/>
      <c r="Q364" s="1"/>
      <c r="R364" s="14"/>
      <c r="S364" t="s">
        <v>645</v>
      </c>
      <c r="T364" t="s">
        <v>647</v>
      </c>
    </row>
    <row r="365" spans="1:22" ht="30" x14ac:dyDescent="0.25">
      <c r="A365" s="1">
        <v>40</v>
      </c>
      <c r="B365" s="2" t="s">
        <v>174</v>
      </c>
      <c r="C365" s="1" t="s">
        <v>573</v>
      </c>
      <c r="D365" s="4" t="s">
        <v>266</v>
      </c>
      <c r="E365" s="1">
        <v>147.999</v>
      </c>
      <c r="F365" s="1"/>
      <c r="G365" s="53"/>
      <c r="H365" s="1">
        <v>0.4</v>
      </c>
      <c r="I365" s="1"/>
      <c r="J365" s="1"/>
      <c r="K365" s="1"/>
      <c r="L365" s="34">
        <f>20/4501</f>
        <v>4.4434570095534323E-3</v>
      </c>
      <c r="M365" s="43">
        <v>217.35267999999999</v>
      </c>
      <c r="N365" s="43">
        <v>659676.535466342</v>
      </c>
      <c r="O365" s="34">
        <f>(25*N365)/(E365*1000000)</f>
        <v>0.11143260013012621</v>
      </c>
      <c r="P365" s="43"/>
      <c r="Q365" s="1"/>
      <c r="R365" s="14"/>
      <c r="S365" t="s">
        <v>645</v>
      </c>
      <c r="T365" t="s">
        <v>647</v>
      </c>
    </row>
    <row r="366" spans="1:22" ht="30" x14ac:dyDescent="0.25">
      <c r="A366" s="29">
        <v>203</v>
      </c>
      <c r="B366" s="2" t="s">
        <v>436</v>
      </c>
      <c r="C366" s="1" t="s">
        <v>573</v>
      </c>
      <c r="D366" s="30">
        <v>6</v>
      </c>
      <c r="E366" s="1">
        <v>85.152993829482</v>
      </c>
      <c r="F366" s="1"/>
      <c r="G366" s="53"/>
      <c r="H366" s="1">
        <v>0.2</v>
      </c>
      <c r="I366" s="1"/>
      <c r="J366" s="1"/>
      <c r="K366" s="1"/>
      <c r="L366" s="34">
        <f>10/664</f>
        <v>1.5060240963855422E-2</v>
      </c>
      <c r="M366" s="29"/>
      <c r="N366" s="1"/>
      <c r="O366" s="1"/>
      <c r="P366" s="43">
        <v>60.29374</v>
      </c>
      <c r="Q366" s="1">
        <v>460488.85807168402</v>
      </c>
      <c r="R366" s="38">
        <f t="shared" ref="R366:R371" si="31">(25*Q366)/(E366*1000000)</f>
        <v>0.13519455904093292</v>
      </c>
      <c r="S366" t="s">
        <v>646</v>
      </c>
      <c r="T366" t="s">
        <v>648</v>
      </c>
    </row>
    <row r="367" spans="1:22" ht="30" x14ac:dyDescent="0.25">
      <c r="A367" s="29">
        <v>216</v>
      </c>
      <c r="B367" s="2" t="s">
        <v>441</v>
      </c>
      <c r="C367" s="1" t="s">
        <v>573</v>
      </c>
      <c r="D367" s="30">
        <v>6</v>
      </c>
      <c r="E367" s="1">
        <v>50.596449336678994</v>
      </c>
      <c r="F367" s="1"/>
      <c r="G367" s="53"/>
      <c r="H367" s="1">
        <v>1.86</v>
      </c>
      <c r="I367" s="1"/>
      <c r="J367" s="1"/>
      <c r="K367" s="1"/>
      <c r="L367" s="34">
        <v>1E-3</v>
      </c>
      <c r="M367" s="29"/>
      <c r="N367" s="1"/>
      <c r="O367" s="1"/>
      <c r="P367" s="43">
        <v>140.21834699999999</v>
      </c>
      <c r="Q367" s="1">
        <v>365787.08163738198</v>
      </c>
      <c r="R367" s="38">
        <f t="shared" si="31"/>
        <v>0.18073752527739687</v>
      </c>
      <c r="S367" t="s">
        <v>646</v>
      </c>
      <c r="T367" t="s">
        <v>648</v>
      </c>
    </row>
    <row r="368" spans="1:22" ht="30" x14ac:dyDescent="0.25">
      <c r="A368" s="29">
        <v>217</v>
      </c>
      <c r="B368" s="2" t="s">
        <v>442</v>
      </c>
      <c r="C368" s="1" t="s">
        <v>573</v>
      </c>
      <c r="D368" s="30">
        <v>6</v>
      </c>
      <c r="E368" s="1">
        <v>113.319159068255</v>
      </c>
      <c r="F368" s="1"/>
      <c r="G368" s="53"/>
      <c r="H368" s="1">
        <v>0.7</v>
      </c>
      <c r="I368" s="1"/>
      <c r="J368" s="1"/>
      <c r="K368" s="1"/>
      <c r="L368" s="34">
        <v>1E-3</v>
      </c>
      <c r="M368" s="29"/>
      <c r="N368" s="1"/>
      <c r="O368" s="1"/>
      <c r="P368" s="43">
        <v>122.03979699999999</v>
      </c>
      <c r="Q368" s="1">
        <v>676724.03655934299</v>
      </c>
      <c r="R368" s="38">
        <f t="shared" si="31"/>
        <v>0.14929603301938885</v>
      </c>
      <c r="S368" t="s">
        <v>646</v>
      </c>
      <c r="T368" t="s">
        <v>648</v>
      </c>
    </row>
    <row r="369" spans="1:22" ht="30" x14ac:dyDescent="0.25">
      <c r="A369" s="29">
        <v>218</v>
      </c>
      <c r="B369" s="2" t="s">
        <v>443</v>
      </c>
      <c r="C369" s="29" t="s">
        <v>366</v>
      </c>
      <c r="D369" s="30">
        <v>6</v>
      </c>
      <c r="E369" s="1">
        <v>375.88179098928799</v>
      </c>
      <c r="F369" s="1"/>
      <c r="G369" s="53"/>
      <c r="H369" s="1">
        <v>0.13</v>
      </c>
      <c r="I369" s="1"/>
      <c r="J369" s="1"/>
      <c r="K369" s="1"/>
      <c r="L369" s="34">
        <v>1E-3</v>
      </c>
      <c r="M369" s="29"/>
      <c r="N369" s="1"/>
      <c r="O369" s="1"/>
      <c r="P369" s="43">
        <v>114.110102</v>
      </c>
      <c r="Q369" s="1">
        <v>2053098.48149281</v>
      </c>
      <c r="R369" s="38">
        <f t="shared" si="31"/>
        <v>0.1365521375808891</v>
      </c>
      <c r="S369" t="s">
        <v>646</v>
      </c>
      <c r="T369" t="s">
        <v>648</v>
      </c>
    </row>
    <row r="370" spans="1:22" ht="30" x14ac:dyDescent="0.25">
      <c r="A370" s="29">
        <v>269</v>
      </c>
      <c r="B370" s="2" t="s">
        <v>458</v>
      </c>
      <c r="C370" s="29" t="s">
        <v>374</v>
      </c>
      <c r="D370" s="30">
        <v>6</v>
      </c>
      <c r="E370" s="1">
        <v>1369.0577213244201</v>
      </c>
      <c r="F370" s="1"/>
      <c r="G370" s="53"/>
      <c r="H370" s="1">
        <v>4.3899999999999997</v>
      </c>
      <c r="I370" s="1"/>
      <c r="J370" s="1"/>
      <c r="K370" s="1"/>
      <c r="L370" s="34">
        <f>10/1516</f>
        <v>6.5963060686015833E-3</v>
      </c>
      <c r="M370" s="29"/>
      <c r="N370" s="1"/>
      <c r="O370" s="1"/>
      <c r="P370" s="43">
        <v>101.318725</v>
      </c>
      <c r="Q370" s="1">
        <v>7642788.4732504403</v>
      </c>
      <c r="R370" s="38">
        <f t="shared" si="31"/>
        <v>0.13956293358209987</v>
      </c>
      <c r="S370" t="s">
        <v>646</v>
      </c>
      <c r="T370" t="s">
        <v>648</v>
      </c>
    </row>
    <row r="371" spans="1:22" ht="30" x14ac:dyDescent="0.25">
      <c r="A371" s="29">
        <v>274</v>
      </c>
      <c r="B371" s="2" t="s">
        <v>460</v>
      </c>
      <c r="C371" s="29" t="s">
        <v>375</v>
      </c>
      <c r="D371" s="30">
        <v>6</v>
      </c>
      <c r="E371" s="1">
        <v>156.33390046600698</v>
      </c>
      <c r="F371" s="1"/>
      <c r="G371" s="53"/>
      <c r="H371" s="1">
        <v>0.2</v>
      </c>
      <c r="I371" s="1"/>
      <c r="J371" s="1"/>
      <c r="K371" s="1"/>
      <c r="L371" s="34">
        <f>10/2507</f>
        <v>3.9888312724371761E-3</v>
      </c>
      <c r="M371" s="29"/>
      <c r="N371" s="1"/>
      <c r="O371" s="1"/>
      <c r="P371" s="43">
        <v>80.011747999999997</v>
      </c>
      <c r="Q371" s="1">
        <v>912204.68690174795</v>
      </c>
      <c r="R371" s="38">
        <f t="shared" si="31"/>
        <v>0.14587442074025658</v>
      </c>
      <c r="S371" t="s">
        <v>646</v>
      </c>
      <c r="T371" t="s">
        <v>648</v>
      </c>
    </row>
    <row r="372" spans="1:22" ht="30" x14ac:dyDescent="0.25">
      <c r="A372" s="1">
        <v>1</v>
      </c>
      <c r="B372" s="2" t="s">
        <v>267</v>
      </c>
      <c r="C372" s="1" t="s">
        <v>528</v>
      </c>
      <c r="D372" s="30">
        <v>7</v>
      </c>
      <c r="E372" s="51">
        <v>746.24599999999998</v>
      </c>
      <c r="F372" s="1"/>
      <c r="G372" s="14"/>
      <c r="H372" s="1"/>
      <c r="I372" s="1"/>
      <c r="J372" s="1"/>
      <c r="K372" s="6"/>
      <c r="L372" s="34">
        <f>9/15282</f>
        <v>5.8892815076560655E-4</v>
      </c>
      <c r="M372" s="1">
        <v>29.699611999999998</v>
      </c>
      <c r="N372" s="42">
        <v>7375253.250953</v>
      </c>
      <c r="O372" s="1">
        <f>(25*N372)/(1000000*E372)</f>
        <v>0.24707848520973646</v>
      </c>
      <c r="P372" s="51">
        <v>25.424669000000002</v>
      </c>
      <c r="Q372" s="1">
        <v>4189023.1571621001</v>
      </c>
      <c r="R372" s="67">
        <f>(25*Q372)/(1000000*E372)</f>
        <v>0.14033653638217491</v>
      </c>
      <c r="S372" s="20" t="s">
        <v>641</v>
      </c>
      <c r="T372" s="65" t="s">
        <v>650</v>
      </c>
      <c r="U372" s="52"/>
      <c r="V372" s="52"/>
    </row>
    <row r="373" spans="1:22" ht="30" x14ac:dyDescent="0.25">
      <c r="A373" s="1">
        <v>2</v>
      </c>
      <c r="B373" s="2" t="s">
        <v>268</v>
      </c>
      <c r="C373" s="1" t="s">
        <v>322</v>
      </c>
      <c r="D373" s="30">
        <v>7</v>
      </c>
      <c r="E373" s="51">
        <v>579.86400000000003</v>
      </c>
      <c r="F373" s="1"/>
      <c r="G373" s="14"/>
      <c r="H373" s="1"/>
      <c r="I373" s="1"/>
      <c r="J373" s="1"/>
      <c r="K373" s="6"/>
      <c r="L373" s="34">
        <f>9/15282</f>
        <v>5.8892815076560655E-4</v>
      </c>
      <c r="M373" s="1">
        <v>42.966960999999998</v>
      </c>
      <c r="N373" s="42">
        <v>7535050.5876859995</v>
      </c>
      <c r="O373" s="1">
        <f>(25*N373)/(1000000*E373)</f>
        <v>0.32486283799675442</v>
      </c>
      <c r="P373" s="51">
        <v>36.705742000000001</v>
      </c>
      <c r="Q373" s="1">
        <v>4012831.3868718199</v>
      </c>
      <c r="R373" s="67">
        <f>(25*Q373)/(1000000*E373)</f>
        <v>0.17300743738496527</v>
      </c>
      <c r="S373" s="20" t="s">
        <v>641</v>
      </c>
      <c r="T373" s="65" t="s">
        <v>650</v>
      </c>
      <c r="U373" s="52"/>
      <c r="V373" s="52"/>
    </row>
    <row r="374" spans="1:22" ht="30" x14ac:dyDescent="0.25">
      <c r="A374" s="1">
        <v>3</v>
      </c>
      <c r="B374" s="2" t="s">
        <v>269</v>
      </c>
      <c r="C374" s="1" t="s">
        <v>320</v>
      </c>
      <c r="D374" s="30">
        <v>7</v>
      </c>
      <c r="E374" s="51">
        <v>227.34899999999999</v>
      </c>
      <c r="F374" s="1"/>
      <c r="G374" s="14"/>
      <c r="H374" s="1"/>
      <c r="I374" s="1"/>
      <c r="J374" s="1"/>
      <c r="K374" s="6"/>
      <c r="L374" s="34">
        <f>9/15282</f>
        <v>5.8892815076560655E-4</v>
      </c>
      <c r="M374" s="1">
        <v>49.132992000000002</v>
      </c>
      <c r="N374" s="42">
        <v>5812113.030007001</v>
      </c>
      <c r="O374" s="1">
        <f>(25*N374)/(1000000*E374)</f>
        <v>0.63911794531832133</v>
      </c>
      <c r="P374" s="51">
        <v>40.313552999999999</v>
      </c>
      <c r="Q374" s="1">
        <v>1332258.03493453</v>
      </c>
      <c r="R374" s="67">
        <f>(25*Q374)/(1000000*E374)</f>
        <v>0.14649921870500091</v>
      </c>
      <c r="S374" s="20" t="s">
        <v>641</v>
      </c>
      <c r="T374" s="65" t="s">
        <v>650</v>
      </c>
      <c r="U374" s="52"/>
      <c r="V374" s="52"/>
    </row>
    <row r="375" spans="1:22" ht="30" x14ac:dyDescent="0.25">
      <c r="A375" s="1">
        <v>44</v>
      </c>
      <c r="B375" s="2" t="s">
        <v>307</v>
      </c>
      <c r="C375" s="1" t="s">
        <v>553</v>
      </c>
      <c r="D375" s="30">
        <v>7</v>
      </c>
      <c r="E375" s="51">
        <v>28.849499999999999</v>
      </c>
      <c r="F375" s="1"/>
      <c r="G375" s="14"/>
      <c r="H375" s="1"/>
      <c r="I375" s="1"/>
      <c r="J375" s="1"/>
      <c r="K375" s="6"/>
      <c r="L375" s="34">
        <f>10/18839</f>
        <v>5.308137374595254E-4</v>
      </c>
      <c r="M375" s="1">
        <v>53.917645</v>
      </c>
      <c r="N375" s="42">
        <v>226967.87427500001</v>
      </c>
      <c r="O375" s="1">
        <f>(25*N375)/(1000000*E375)</f>
        <v>0.196682675847935</v>
      </c>
      <c r="P375" s="51">
        <v>21.236550999999999</v>
      </c>
      <c r="Q375" s="1">
        <v>23573.2991777237</v>
      </c>
      <c r="R375" s="67">
        <f>(25*Q375)/(1000000*E375)</f>
        <v>2.0427822993226659E-2</v>
      </c>
      <c r="S375" s="20" t="s">
        <v>641</v>
      </c>
      <c r="T375" t="s">
        <v>650</v>
      </c>
    </row>
    <row r="376" spans="1:22" ht="30" x14ac:dyDescent="0.25">
      <c r="A376" s="1">
        <v>47</v>
      </c>
      <c r="B376" s="2" t="s">
        <v>332</v>
      </c>
      <c r="C376" s="1" t="s">
        <v>563</v>
      </c>
      <c r="D376" s="30">
        <v>7</v>
      </c>
      <c r="E376" s="1">
        <v>79.322899000000007</v>
      </c>
      <c r="F376" s="1"/>
      <c r="G376" s="14"/>
      <c r="H376" s="1"/>
      <c r="I376" s="1"/>
      <c r="J376" s="1"/>
      <c r="K376" s="6"/>
      <c r="L376" s="34">
        <f>10/7829</f>
        <v>1.2773023374632775E-3</v>
      </c>
      <c r="M376" s="51">
        <v>14.219745</v>
      </c>
      <c r="N376" s="42">
        <v>118368.36455899999</v>
      </c>
      <c r="O376" s="51">
        <f>(25*N376)/(1000000*E376)</f>
        <v>3.7305861879493328E-2</v>
      </c>
      <c r="P376" s="1"/>
      <c r="Q376" s="1"/>
      <c r="R376" s="14"/>
      <c r="S376" s="64" t="s">
        <v>644</v>
      </c>
      <c r="T376" t="s">
        <v>650</v>
      </c>
    </row>
  </sheetData>
  <sortState ref="A3:GC376">
    <sortCondition ref="D3:D376" customList="1,2,3.а,3.б,4,5.а,5.б,5.в,6,7"/>
  </sortState>
  <mergeCells count="17">
    <mergeCell ref="F1:F2"/>
    <mergeCell ref="A1:A2"/>
    <mergeCell ref="B1:B2"/>
    <mergeCell ref="C1:C2"/>
    <mergeCell ref="D1:D2"/>
    <mergeCell ref="E1:E2"/>
    <mergeCell ref="T1:T2"/>
    <mergeCell ref="I1:I2"/>
    <mergeCell ref="J1:J2"/>
    <mergeCell ref="K1:K2"/>
    <mergeCell ref="S1:S2"/>
    <mergeCell ref="Q1:R1"/>
    <mergeCell ref="G1:G2"/>
    <mergeCell ref="L1:L2"/>
    <mergeCell ref="M1:M2"/>
    <mergeCell ref="N1:O1"/>
    <mergeCell ref="H1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Maksakov</dc:creator>
  <cp:lastModifiedBy>ATSYPLENKOV</cp:lastModifiedBy>
  <dcterms:created xsi:type="dcterms:W3CDTF">2017-01-27T13:49:17Z</dcterms:created>
  <dcterms:modified xsi:type="dcterms:W3CDTF">2019-05-15T14:37:17Z</dcterms:modified>
</cp:coreProperties>
</file>