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wner/Documents/NBADataScience/"/>
    </mc:Choice>
  </mc:AlternateContent>
  <xr:revisionPtr revIDLastSave="0" documentId="13_ncr:1_{78DD913A-D893-4B43-A7C0-1E15C9EBCA22}" xr6:coauthVersionLast="47" xr6:coauthVersionMax="47" xr10:uidLastSave="{00000000-0000-0000-0000-000000000000}"/>
  <bookViews>
    <workbookView xWindow="0" yWindow="500" windowWidth="28800" windowHeight="16140" xr2:uid="{0B0A54B6-9E21-F749-A70B-9633D2A512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1" l="1"/>
  <c r="Q6" i="1"/>
  <c r="Q2" i="1"/>
  <c r="O8" i="1"/>
  <c r="O6" i="1"/>
  <c r="O2" i="1"/>
  <c r="M29" i="1"/>
  <c r="M30" i="1"/>
  <c r="M31" i="1"/>
  <c r="M26" i="1"/>
  <c r="M22" i="1"/>
  <c r="M25" i="1"/>
  <c r="M20" i="1"/>
  <c r="M13" i="1"/>
  <c r="M14" i="1"/>
  <c r="M16" i="1"/>
  <c r="M18" i="1"/>
  <c r="M10" i="1"/>
  <c r="M5" i="1"/>
  <c r="M7" i="1"/>
  <c r="M8" i="1"/>
  <c r="M59" i="1"/>
  <c r="K59" i="1"/>
  <c r="N59" i="1" s="1"/>
  <c r="G59" i="1"/>
  <c r="I59" i="1" s="1"/>
  <c r="K58" i="1"/>
  <c r="N58" i="1" s="1"/>
  <c r="G58" i="1"/>
  <c r="I58" i="1" s="1"/>
  <c r="R44" i="1"/>
  <c r="F51" i="1"/>
  <c r="F48" i="1"/>
  <c r="M54" i="1"/>
  <c r="M56" i="1"/>
  <c r="M57" i="1"/>
  <c r="K52" i="1"/>
  <c r="N52" i="1" s="1"/>
  <c r="K53" i="1"/>
  <c r="N53" i="1" s="1"/>
  <c r="K54" i="1"/>
  <c r="N54" i="1" s="1"/>
  <c r="K55" i="1"/>
  <c r="N55" i="1" s="1"/>
  <c r="K56" i="1"/>
  <c r="N56" i="1" s="1"/>
  <c r="K57" i="1"/>
  <c r="N57" i="1" s="1"/>
  <c r="G52" i="1"/>
  <c r="H52" i="1" s="1"/>
  <c r="G53" i="1"/>
  <c r="I53" i="1" s="1"/>
  <c r="G54" i="1"/>
  <c r="I54" i="1" s="1"/>
  <c r="G55" i="1"/>
  <c r="H55" i="1" s="1"/>
  <c r="G56" i="1"/>
  <c r="H56" i="1" s="1"/>
  <c r="G57" i="1"/>
  <c r="H57" i="1" s="1"/>
  <c r="M51" i="1"/>
  <c r="K51" i="1"/>
  <c r="N51" i="1" s="1"/>
  <c r="G51" i="1"/>
  <c r="H51" i="1" s="1"/>
  <c r="K50" i="1"/>
  <c r="N50" i="1" s="1"/>
  <c r="G50" i="1"/>
  <c r="H50" i="1" s="1"/>
  <c r="K49" i="1"/>
  <c r="M49" i="1" s="1"/>
  <c r="G49" i="1"/>
  <c r="H49" i="1" s="1"/>
  <c r="M48" i="1"/>
  <c r="K48" i="1"/>
  <c r="N48" i="1" s="1"/>
  <c r="G48" i="1"/>
  <c r="M47" i="1"/>
  <c r="K47" i="1"/>
  <c r="N47" i="1" s="1"/>
  <c r="G47" i="1"/>
  <c r="I47" i="1" s="1"/>
  <c r="K46" i="1"/>
  <c r="N46" i="1" s="1"/>
  <c r="G46" i="1"/>
  <c r="H46" i="1" s="1"/>
  <c r="K45" i="1"/>
  <c r="M45" i="1"/>
  <c r="K44" i="1"/>
  <c r="M44" i="1" s="1"/>
  <c r="G44" i="1"/>
  <c r="I44" i="1" s="1"/>
  <c r="K43" i="1"/>
  <c r="M43" i="1" s="1"/>
  <c r="G43" i="1"/>
  <c r="I43" i="1" s="1"/>
  <c r="K42" i="1"/>
  <c r="N42" i="1" s="1"/>
  <c r="G42" i="1"/>
  <c r="H42" i="1" s="1"/>
  <c r="M41" i="1"/>
  <c r="K41" i="1"/>
  <c r="N41" i="1" s="1"/>
  <c r="G41" i="1"/>
  <c r="H41" i="1" s="1"/>
  <c r="K40" i="1"/>
  <c r="N40" i="1" s="1"/>
  <c r="G40" i="1"/>
  <c r="H40" i="1" s="1"/>
  <c r="D37" i="1"/>
  <c r="G37" i="1" s="1"/>
  <c r="F32" i="1"/>
  <c r="G38" i="1"/>
  <c r="I38" i="1" s="1"/>
  <c r="G39" i="1"/>
  <c r="H39" i="1" s="1"/>
  <c r="K32" i="1"/>
  <c r="N32" i="1" s="1"/>
  <c r="K33" i="1"/>
  <c r="N33" i="1" s="1"/>
  <c r="K34" i="1"/>
  <c r="N34" i="1" s="1"/>
  <c r="K35" i="1"/>
  <c r="M35" i="1" s="1"/>
  <c r="K36" i="1"/>
  <c r="K37" i="1"/>
  <c r="K38" i="1"/>
  <c r="M38" i="1" s="1"/>
  <c r="K39" i="1"/>
  <c r="M39" i="1" s="1"/>
  <c r="G36" i="1"/>
  <c r="H36" i="1" s="1"/>
  <c r="G35" i="1"/>
  <c r="I35" i="1" s="1"/>
  <c r="G34" i="1"/>
  <c r="H34" i="1" s="1"/>
  <c r="M33" i="1"/>
  <c r="G33" i="1"/>
  <c r="I33" i="1" s="1"/>
  <c r="M32" i="1"/>
  <c r="G32" i="1"/>
  <c r="H32" i="1" s="1"/>
  <c r="F31" i="1"/>
  <c r="K31" i="1"/>
  <c r="N31" i="1" s="1"/>
  <c r="G31" i="1"/>
  <c r="H31" i="1" s="1"/>
  <c r="K30" i="1"/>
  <c r="N30" i="1" s="1"/>
  <c r="G30" i="1"/>
  <c r="K29" i="1"/>
  <c r="G29" i="1"/>
  <c r="I29" i="1" s="1"/>
  <c r="K28" i="1"/>
  <c r="M28" i="1" s="1"/>
  <c r="G28" i="1"/>
  <c r="I28" i="1" s="1"/>
  <c r="K27" i="1"/>
  <c r="M27" i="1" s="1"/>
  <c r="G27" i="1"/>
  <c r="H27" i="1" s="1"/>
  <c r="K26" i="1"/>
  <c r="N26" i="1" s="1"/>
  <c r="G26" i="1"/>
  <c r="I26" i="1" s="1"/>
  <c r="L22" i="1"/>
  <c r="L23" i="1"/>
  <c r="D24" i="1"/>
  <c r="G24" i="1" s="1"/>
  <c r="F20" i="1"/>
  <c r="L15" i="1"/>
  <c r="L11" i="1"/>
  <c r="K25" i="1"/>
  <c r="G25" i="1"/>
  <c r="I25" i="1" s="1"/>
  <c r="K24" i="1"/>
  <c r="N24" i="1" s="1"/>
  <c r="K23" i="1"/>
  <c r="M23" i="1" s="1"/>
  <c r="G23" i="1"/>
  <c r="I23" i="1" s="1"/>
  <c r="K22" i="1"/>
  <c r="G22" i="1"/>
  <c r="I22" i="1" s="1"/>
  <c r="K21" i="1"/>
  <c r="M21" i="1" s="1"/>
  <c r="G21" i="1"/>
  <c r="I21" i="1" s="1"/>
  <c r="K20" i="1"/>
  <c r="N20" i="1" s="1"/>
  <c r="G20" i="1"/>
  <c r="H20" i="1" s="1"/>
  <c r="F13" i="1"/>
  <c r="F11" i="1"/>
  <c r="G2" i="1"/>
  <c r="H2" i="1" s="1"/>
  <c r="G3" i="1"/>
  <c r="I3" i="1" s="1"/>
  <c r="G4" i="1"/>
  <c r="I4" i="1" s="1"/>
  <c r="G5" i="1"/>
  <c r="I5" i="1" s="1"/>
  <c r="G6" i="1"/>
  <c r="I6" i="1" s="1"/>
  <c r="G7" i="1"/>
  <c r="I7" i="1" s="1"/>
  <c r="G8" i="1"/>
  <c r="H8" i="1" s="1"/>
  <c r="G9" i="1"/>
  <c r="I9" i="1" s="1"/>
  <c r="G10" i="1"/>
  <c r="I10" i="1" s="1"/>
  <c r="G11" i="1"/>
  <c r="H11" i="1" s="1"/>
  <c r="G12" i="1"/>
  <c r="I12" i="1" s="1"/>
  <c r="G13" i="1"/>
  <c r="G14" i="1"/>
  <c r="I14" i="1" s="1"/>
  <c r="G15" i="1"/>
  <c r="I15" i="1" s="1"/>
  <c r="G16" i="1"/>
  <c r="H16" i="1" s="1"/>
  <c r="G17" i="1"/>
  <c r="H17" i="1" s="1"/>
  <c r="G18" i="1"/>
  <c r="H18" i="1" s="1"/>
  <c r="G19" i="1"/>
  <c r="I19" i="1" s="1"/>
  <c r="K17" i="1"/>
  <c r="M17" i="1" s="1"/>
  <c r="K18" i="1"/>
  <c r="N18" i="1" s="1"/>
  <c r="K19" i="1"/>
  <c r="M19" i="1" s="1"/>
  <c r="K16" i="1"/>
  <c r="N16" i="1" s="1"/>
  <c r="K15" i="1"/>
  <c r="M15" i="1" s="1"/>
  <c r="K14" i="1"/>
  <c r="N14" i="1" s="1"/>
  <c r="K13" i="1"/>
  <c r="N13" i="1" s="1"/>
  <c r="K12" i="1"/>
  <c r="M12" i="1" s="1"/>
  <c r="K11" i="1"/>
  <c r="M11" i="1" s="1"/>
  <c r="K10" i="1"/>
  <c r="N10" i="1" s="1"/>
  <c r="K3" i="1"/>
  <c r="M3" i="1" s="1"/>
  <c r="K4" i="1"/>
  <c r="M4" i="1" s="1"/>
  <c r="K5" i="1"/>
  <c r="N5" i="1" s="1"/>
  <c r="K6" i="1"/>
  <c r="M6" i="1" s="1"/>
  <c r="K7" i="1"/>
  <c r="N7" i="1" s="1"/>
  <c r="K8" i="1"/>
  <c r="N8" i="1" s="1"/>
  <c r="K9" i="1"/>
  <c r="M9" i="1" s="1"/>
  <c r="K2" i="1"/>
  <c r="M2" i="1" s="1"/>
  <c r="I48" i="1" l="1"/>
  <c r="I57" i="1"/>
  <c r="I55" i="1"/>
  <c r="M53" i="1"/>
  <c r="M24" i="1"/>
  <c r="P6" i="1" s="1"/>
  <c r="H58" i="1"/>
  <c r="M58" i="1"/>
  <c r="H59" i="1"/>
  <c r="M55" i="1"/>
  <c r="M52" i="1"/>
  <c r="H53" i="1"/>
  <c r="I56" i="1"/>
  <c r="H54" i="1"/>
  <c r="I52" i="1"/>
  <c r="N2" i="1"/>
  <c r="I51" i="1"/>
  <c r="N39" i="1"/>
  <c r="N15" i="1"/>
  <c r="N22" i="1"/>
  <c r="I50" i="1"/>
  <c r="N17" i="1"/>
  <c r="H48" i="1"/>
  <c r="N9" i="1"/>
  <c r="N23" i="1"/>
  <c r="N4" i="1"/>
  <c r="H47" i="1"/>
  <c r="N3" i="1"/>
  <c r="N25" i="1"/>
  <c r="N38" i="1"/>
  <c r="N29" i="1"/>
  <c r="N49" i="1"/>
  <c r="I46" i="1"/>
  <c r="M46" i="1"/>
  <c r="I49" i="1"/>
  <c r="M50" i="1"/>
  <c r="M40" i="1"/>
  <c r="I40" i="1"/>
  <c r="N43" i="1"/>
  <c r="N44" i="1"/>
  <c r="M37" i="1"/>
  <c r="I42" i="1"/>
  <c r="N21" i="1"/>
  <c r="N28" i="1"/>
  <c r="N35" i="1"/>
  <c r="N11" i="1"/>
  <c r="I41" i="1"/>
  <c r="G45" i="1"/>
  <c r="I45" i="1" s="1"/>
  <c r="N37" i="1"/>
  <c r="N19" i="1"/>
  <c r="N12" i="1"/>
  <c r="H43" i="1"/>
  <c r="N45" i="1"/>
  <c r="N36" i="1"/>
  <c r="M34" i="1"/>
  <c r="N6" i="1"/>
  <c r="N27" i="1"/>
  <c r="M42" i="1"/>
  <c r="H44" i="1"/>
  <c r="I39" i="1"/>
  <c r="H38" i="1"/>
  <c r="M36" i="1"/>
  <c r="I32" i="1"/>
  <c r="I37" i="1"/>
  <c r="H35" i="1"/>
  <c r="H37" i="1"/>
  <c r="I36" i="1"/>
  <c r="I34" i="1"/>
  <c r="H33" i="1"/>
  <c r="I31" i="1"/>
  <c r="H28" i="1"/>
  <c r="H30" i="1"/>
  <c r="I30" i="1"/>
  <c r="I27" i="1"/>
  <c r="H26" i="1"/>
  <c r="H29" i="1"/>
  <c r="I24" i="1"/>
  <c r="H21" i="1"/>
  <c r="H22" i="1"/>
  <c r="I20" i="1"/>
  <c r="I13" i="1"/>
  <c r="H24" i="1"/>
  <c r="H23" i="1"/>
  <c r="H25" i="1"/>
  <c r="I18" i="1"/>
  <c r="I11" i="1"/>
  <c r="H10" i="1"/>
  <c r="H19" i="1"/>
  <c r="H15" i="1"/>
  <c r="H13" i="1"/>
  <c r="H12" i="1"/>
  <c r="H14" i="1"/>
  <c r="I17" i="1"/>
  <c r="I16" i="1"/>
  <c r="I2" i="1"/>
  <c r="I8" i="1"/>
  <c r="H9" i="1"/>
  <c r="H7" i="1"/>
  <c r="H6" i="1"/>
  <c r="H5" i="1"/>
  <c r="H4" i="1"/>
  <c r="H3" i="1"/>
  <c r="P2" i="1" l="1"/>
  <c r="P8" i="1" s="1"/>
  <c r="H45" i="1"/>
</calcChain>
</file>

<file path=xl/sharedStrings.xml><?xml version="1.0" encoding="utf-8"?>
<sst xmlns="http://schemas.openxmlformats.org/spreadsheetml/2006/main" count="255" uniqueCount="51">
  <si>
    <t>Home Team</t>
  </si>
  <si>
    <t>Away Team</t>
  </si>
  <si>
    <t>Model Pred</t>
  </si>
  <si>
    <t>Over Return</t>
  </si>
  <si>
    <t>Under Return</t>
  </si>
  <si>
    <t>BOS</t>
  </si>
  <si>
    <t>DET</t>
  </si>
  <si>
    <t>UTA</t>
  </si>
  <si>
    <t>NOP</t>
  </si>
  <si>
    <t>DAL</t>
  </si>
  <si>
    <t>MIN</t>
  </si>
  <si>
    <t>CHI</t>
  </si>
  <si>
    <t>IND</t>
  </si>
  <si>
    <t>DEN</t>
  </si>
  <si>
    <t>MEM</t>
  </si>
  <si>
    <t>MIA</t>
  </si>
  <si>
    <t>GSW</t>
  </si>
  <si>
    <t>POR</t>
  </si>
  <si>
    <t>SA</t>
  </si>
  <si>
    <t>LAL</t>
  </si>
  <si>
    <t>Over Win Prob</t>
  </si>
  <si>
    <t>CHA</t>
  </si>
  <si>
    <t>Result</t>
  </si>
  <si>
    <t>P/L</t>
  </si>
  <si>
    <t>Model Corr</t>
  </si>
  <si>
    <t>Over Confidence</t>
  </si>
  <si>
    <t>Over</t>
  </si>
  <si>
    <t>Under</t>
  </si>
  <si>
    <t>SAS</t>
  </si>
  <si>
    <t>WAS</t>
  </si>
  <si>
    <t>BKN</t>
  </si>
  <si>
    <t>ORL</t>
  </si>
  <si>
    <t>NYK</t>
  </si>
  <si>
    <t>TOR</t>
  </si>
  <si>
    <t>ATL</t>
  </si>
  <si>
    <t>SAC</t>
  </si>
  <si>
    <t>CLE</t>
  </si>
  <si>
    <t>MIL</t>
  </si>
  <si>
    <t>PHI</t>
  </si>
  <si>
    <t>HOU</t>
  </si>
  <si>
    <t>OKC</t>
  </si>
  <si>
    <t>PHX</t>
  </si>
  <si>
    <t>LAC</t>
  </si>
  <si>
    <t>Betting 65%+ Overs</t>
  </si>
  <si>
    <t>Overs Profit</t>
  </si>
  <si>
    <t>Goo</t>
  </si>
  <si>
    <t>Threshold</t>
  </si>
  <si>
    <t>Optimal Profit</t>
  </si>
  <si>
    <t>Total Bets</t>
  </si>
  <si>
    <t>Percent Profit</t>
  </si>
  <si>
    <t>Model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</si>
</sst>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10" fontId="0" fillId="0" borderId="0" xfId="2" applyNumberFormat="1" applyFont="1" applyBorder="1"/>
    <xf numFmtId="0" fontId="0" fillId="0" borderId="3" xfId="0" applyBorder="1"/>
    <xf numFmtId="0" fontId="0" fillId="0" borderId="1" xfId="0" applyBorder="1"/>
    <xf numFmtId="0" fontId="0" fillId="0" borderId="2" xfId="0" applyBorder="1"/>
    <xf numFmtId="10" fontId="0" fillId="0" borderId="2" xfId="2" applyNumberFormat="1" applyFont="1" applyBorder="1"/>
    <xf numFmtId="164" fontId="0" fillId="0" borderId="2" xfId="0" applyNumberFormat="1" applyBorder="1"/>
    <xf numFmtId="44" fontId="0" fillId="0" borderId="4" xfId="1" applyFont="1" applyBorder="1"/>
    <xf numFmtId="9" fontId="0" fillId="0" borderId="0" xfId="2" applyFont="1"/>
    <xf numFmtId="0" fontId="2" fillId="0" borderId="6" xfId="0" applyFont="1" applyBorder="1"/>
    <xf numFmtId="0" fontId="0" fillId="0" borderId="4" xfId="0" applyBorder="1"/>
    <xf numFmtId="0" fontId="0" fillId="0" borderId="0" xfId="0" applyFill="1" applyBorder="1"/>
    <xf numFmtId="44" fontId="0" fillId="0" borderId="0" xfId="0" applyNumberFormat="1"/>
    <xf numFmtId="0" fontId="2" fillId="0" borderId="1" xfId="0" applyFont="1" applyBorder="1"/>
    <xf numFmtId="0" fontId="2" fillId="0" borderId="2" xfId="0" applyFont="1" applyBorder="1"/>
    <xf numFmtId="0" fontId="0" fillId="0" borderId="0" xfId="0" applyBorder="1"/>
    <xf numFmtId="164" fontId="0" fillId="0" borderId="0" xfId="0" applyNumberFormat="1" applyBorder="1"/>
    <xf numFmtId="44" fontId="0" fillId="0" borderId="6" xfId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0" fontId="0" fillId="0" borderId="8" xfId="2" applyNumberFormat="1" applyFont="1" applyBorder="1"/>
    <xf numFmtId="164" fontId="0" fillId="0" borderId="8" xfId="0" applyNumberFormat="1" applyBorder="1"/>
    <xf numFmtId="44" fontId="0" fillId="0" borderId="5" xfId="1" applyFont="1" applyBorder="1"/>
    <xf numFmtId="0" fontId="0" fillId="0" borderId="5" xfId="0" applyBorder="1"/>
    <xf numFmtId="0" fontId="0" fillId="0" borderId="8" xfId="0" applyFill="1" applyBorder="1"/>
    <xf numFmtId="10" fontId="0" fillId="0" borderId="0" xfId="0" applyNumberFormat="1"/>
    <xf numFmtId="10" fontId="2" fillId="0" borderId="0" xfId="0" applyNumberFormat="1" applyFont="1"/>
    <xf numFmtId="0" fontId="0" fillId="0" borderId="0" xfId="0" applyNumberFormat="1"/>
    <xf numFmtId="44" fontId="2" fillId="0" borderId="0" xfId="0" applyNumberFormat="1" applyFont="1" applyAlignment="1">
      <alignment vertical="top"/>
    </xf>
    <xf numFmtId="10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64B43-6E66-9D44-9537-2703A72D2A98}">
  <dimension ref="A1:S59"/>
  <sheetViews>
    <sheetView tabSelected="1" zoomScaleNormal="100" workbookViewId="0">
      <pane ySplit="1" topLeftCell="A2" activePane="bottomLeft" state="frozen"/>
      <selection pane="bottomLeft" activeCell="S13" sqref="S13"/>
    </sheetView>
  </sheetViews>
  <sheetFormatPr baseColWidth="10" defaultRowHeight="16" x14ac:dyDescent="0.2"/>
  <cols>
    <col min="1" max="1" width="11.33203125" bestFit="1" customWidth="1"/>
    <col min="2" max="2" width="11" bestFit="1" customWidth="1"/>
    <col min="3" max="3" width="10.5" bestFit="1" customWidth="1"/>
    <col min="4" max="4" width="17.33203125" bestFit="1" customWidth="1"/>
    <col min="5" max="5" width="5.83203125" bestFit="1" customWidth="1"/>
    <col min="6" max="6" width="12.1640625" bestFit="1" customWidth="1"/>
    <col min="7" max="7" width="13.1640625" bestFit="1" customWidth="1"/>
    <col min="8" max="8" width="11.1640625" bestFit="1" customWidth="1"/>
    <col min="9" max="9" width="12.1640625" bestFit="1" customWidth="1"/>
    <col min="10" max="10" width="6.33203125" bestFit="1" customWidth="1"/>
    <col min="11" max="11" width="10.1640625" bestFit="1" customWidth="1"/>
    <col min="12" max="12" width="9.6640625" bestFit="1" customWidth="1"/>
    <col min="13" max="13" width="17.6640625" bestFit="1" customWidth="1"/>
    <col min="14" max="14" width="10.5" customWidth="1"/>
    <col min="15" max="15" width="14.1640625" bestFit="1" customWidth="1"/>
    <col min="16" max="16" width="12.33203125" bestFit="1" customWidth="1"/>
    <col min="17" max="17" width="14.5" customWidth="1"/>
    <col min="18" max="18" width="14.6640625" bestFit="1" customWidth="1"/>
    <col min="19" max="19" width="17.1640625" bestFit="1" customWidth="1"/>
  </cols>
  <sheetData>
    <row r="1" spans="1:19" ht="17" thickBot="1" x14ac:dyDescent="0.25">
      <c r="A1" s="14" t="s">
        <v>0</v>
      </c>
      <c r="B1" s="15" t="s">
        <v>1</v>
      </c>
      <c r="C1" s="15" t="s">
        <v>2</v>
      </c>
      <c r="D1" s="15" t="s">
        <v>25</v>
      </c>
      <c r="E1" s="15" t="s">
        <v>26</v>
      </c>
      <c r="F1" s="15" t="s">
        <v>27</v>
      </c>
      <c r="G1" s="15" t="s">
        <v>20</v>
      </c>
      <c r="H1" s="15" t="s">
        <v>3</v>
      </c>
      <c r="I1" s="15" t="s">
        <v>4</v>
      </c>
      <c r="J1" s="15" t="s">
        <v>22</v>
      </c>
      <c r="K1" s="15" t="s">
        <v>24</v>
      </c>
      <c r="L1" s="10" t="s">
        <v>23</v>
      </c>
      <c r="M1" s="10" t="s">
        <v>43</v>
      </c>
      <c r="N1" s="10" t="s">
        <v>2</v>
      </c>
      <c r="O1" s="30" t="s">
        <v>47</v>
      </c>
      <c r="P1" s="1" t="s">
        <v>44</v>
      </c>
      <c r="Q1" s="1" t="s">
        <v>50</v>
      </c>
      <c r="R1" s="1"/>
      <c r="S1" s="1"/>
    </row>
    <row r="2" spans="1:19" x14ac:dyDescent="0.2">
      <c r="A2" s="4" t="s">
        <v>5</v>
      </c>
      <c r="B2" s="5" t="s">
        <v>6</v>
      </c>
      <c r="C2" s="5" t="s">
        <v>5</v>
      </c>
      <c r="D2" s="6">
        <v>0.84970000000000001</v>
      </c>
      <c r="E2" s="5">
        <v>-3000</v>
      </c>
      <c r="F2" s="5">
        <v>900</v>
      </c>
      <c r="G2" s="6">
        <f>IF(E2&lt;0,D2,1-D2)</f>
        <v>0.84970000000000001</v>
      </c>
      <c r="H2" s="7">
        <f t="shared" ref="H2:H9" si="0">G2*100*100/-E2+(1-G2)*-100</f>
        <v>-12.197666666666667</v>
      </c>
      <c r="I2" s="7">
        <f t="shared" ref="I2:I9" si="1">(1-G2)*100*F2/100+G2*-100</f>
        <v>50.300000000000011</v>
      </c>
      <c r="J2" s="5" t="s">
        <v>5</v>
      </c>
      <c r="K2" s="5" t="str">
        <f t="shared" ref="K2:K9" si="2">IF(C2=J2,"Y","N")</f>
        <v>Y</v>
      </c>
      <c r="L2" s="18">
        <v>-100</v>
      </c>
      <c r="M2" s="18">
        <f>IF(D2&gt;$P$4, IF(K2="Y",100^2/-E2, -100), 0)</f>
        <v>3.3333333333333335</v>
      </c>
      <c r="N2" s="19">
        <f>IF(K2="Y",IF(D2&gt;0.5,100^2/-E2,F2),-100)</f>
        <v>3.3333333333333335</v>
      </c>
      <c r="O2" s="13">
        <f>SUM(L2:L10000)</f>
        <v>231.05006105006106</v>
      </c>
      <c r="P2" s="13">
        <f>SUM(M2:M10000)</f>
        <v>136.08794273327152</v>
      </c>
      <c r="Q2">
        <f>SUM(N2:N10000)</f>
        <v>-533.48352896965264</v>
      </c>
      <c r="R2" s="9"/>
      <c r="S2" s="9"/>
    </row>
    <row r="3" spans="1:19" x14ac:dyDescent="0.2">
      <c r="A3" s="3" t="s">
        <v>8</v>
      </c>
      <c r="B3" s="16" t="s">
        <v>7</v>
      </c>
      <c r="C3" s="16" t="s">
        <v>8</v>
      </c>
      <c r="D3" s="2">
        <v>0.71599999999999997</v>
      </c>
      <c r="E3" s="16">
        <v>-350</v>
      </c>
      <c r="F3" s="16">
        <v>280</v>
      </c>
      <c r="G3" s="2">
        <f t="shared" ref="G3:G9" si="3">IF(E3&lt;0,D3,1-D3)</f>
        <v>0.71599999999999997</v>
      </c>
      <c r="H3" s="17">
        <f t="shared" si="0"/>
        <v>-7.9428571428571466</v>
      </c>
      <c r="I3" s="17">
        <f t="shared" si="1"/>
        <v>7.9200000000000159</v>
      </c>
      <c r="J3" s="16" t="s">
        <v>8</v>
      </c>
      <c r="K3" s="16" t="str">
        <f t="shared" si="2"/>
        <v>Y</v>
      </c>
      <c r="L3" s="8"/>
      <c r="M3" s="8">
        <f>IF(D3&gt;$P$4, IF(K3="Y",100^2/-E3, -100), 0)</f>
        <v>28.571428571428573</v>
      </c>
      <c r="N3" s="11">
        <f t="shared" ref="N3:N9" si="4">IF(K3="Y",IF(D3&gt;0.5,100^2/-E3,F3),-100)</f>
        <v>28.571428571428573</v>
      </c>
      <c r="P3" s="1" t="s">
        <v>46</v>
      </c>
      <c r="Q3" s="1"/>
      <c r="R3" s="9"/>
      <c r="S3" s="9"/>
    </row>
    <row r="4" spans="1:19" x14ac:dyDescent="0.2">
      <c r="A4" s="3" t="s">
        <v>10</v>
      </c>
      <c r="B4" s="16" t="s">
        <v>9</v>
      </c>
      <c r="C4" s="16" t="s">
        <v>10</v>
      </c>
      <c r="D4" s="2">
        <v>0.76119999999999999</v>
      </c>
      <c r="E4" s="16">
        <v>-450</v>
      </c>
      <c r="F4" s="16">
        <v>333</v>
      </c>
      <c r="G4" s="2">
        <f t="shared" si="3"/>
        <v>0.76119999999999999</v>
      </c>
      <c r="H4" s="17">
        <f t="shared" si="0"/>
        <v>-6.964444444444446</v>
      </c>
      <c r="I4" s="17">
        <f t="shared" si="1"/>
        <v>3.4004000000000048</v>
      </c>
      <c r="J4" s="16" t="s">
        <v>10</v>
      </c>
      <c r="K4" s="16" t="str">
        <f t="shared" si="2"/>
        <v>Y</v>
      </c>
      <c r="L4" s="8"/>
      <c r="M4" s="8">
        <f>IF(D4&gt;$P$4, IF(K4="Y",100^2/-E4, -100), 0)</f>
        <v>22.222222222222221</v>
      </c>
      <c r="N4" s="11">
        <f t="shared" si="4"/>
        <v>22.222222222222221</v>
      </c>
      <c r="P4">
        <v>0.65</v>
      </c>
    </row>
    <row r="5" spans="1:19" x14ac:dyDescent="0.2">
      <c r="A5" s="3" t="s">
        <v>11</v>
      </c>
      <c r="B5" s="16" t="s">
        <v>12</v>
      </c>
      <c r="C5" s="16" t="s">
        <v>11</v>
      </c>
      <c r="D5" s="2">
        <v>0.49440000000000001</v>
      </c>
      <c r="E5" s="16">
        <v>-120</v>
      </c>
      <c r="F5" s="16">
        <v>100</v>
      </c>
      <c r="G5" s="2">
        <f t="shared" si="3"/>
        <v>0.49440000000000001</v>
      </c>
      <c r="H5" s="17">
        <f t="shared" si="0"/>
        <v>-9.36</v>
      </c>
      <c r="I5" s="17">
        <f t="shared" si="1"/>
        <v>1.1200000000000045</v>
      </c>
      <c r="J5" s="16" t="s">
        <v>12</v>
      </c>
      <c r="K5" s="16" t="str">
        <f t="shared" si="2"/>
        <v>N</v>
      </c>
      <c r="L5" s="8"/>
      <c r="M5" s="8">
        <f>IF(D5&gt;$P$4, IF(K5="Y",100^2/-E5, -100), 0)</f>
        <v>0</v>
      </c>
      <c r="N5" s="11">
        <f t="shared" si="4"/>
        <v>-100</v>
      </c>
      <c r="O5" s="28" t="s">
        <v>48</v>
      </c>
      <c r="P5" s="1" t="s">
        <v>48</v>
      </c>
      <c r="Q5" s="1" t="s">
        <v>48</v>
      </c>
    </row>
    <row r="6" spans="1:19" x14ac:dyDescent="0.2">
      <c r="A6" s="3" t="s">
        <v>13</v>
      </c>
      <c r="B6" s="16" t="s">
        <v>14</v>
      </c>
      <c r="C6" s="16" t="s">
        <v>13</v>
      </c>
      <c r="D6" s="2">
        <v>0.82179999999999997</v>
      </c>
      <c r="E6" s="16">
        <v>-300</v>
      </c>
      <c r="F6" s="16">
        <v>230</v>
      </c>
      <c r="G6" s="2">
        <f t="shared" si="3"/>
        <v>0.82179999999999997</v>
      </c>
      <c r="H6" s="17">
        <f t="shared" si="0"/>
        <v>9.5733333333333306</v>
      </c>
      <c r="I6" s="17">
        <f t="shared" si="1"/>
        <v>-41.193999999999981</v>
      </c>
      <c r="J6" s="16" t="s">
        <v>13</v>
      </c>
      <c r="K6" s="16" t="str">
        <f t="shared" si="2"/>
        <v>Y</v>
      </c>
      <c r="L6" s="8"/>
      <c r="M6" s="8">
        <f>IF(D6&gt;$P$4, IF(K6="Y",100^2/-E6, -100), 0)</f>
        <v>33.333333333333336</v>
      </c>
      <c r="N6" s="11">
        <f t="shared" si="4"/>
        <v>33.333333333333336</v>
      </c>
      <c r="O6" s="29">
        <f>COUNTIF(L2:L10000,"&lt;0")+COUNTIF(L2:L10000,"&gt;0")</f>
        <v>22</v>
      </c>
      <c r="P6" s="29">
        <f>COUNTIF(M2:M10000,"&lt;0")+COUNTIF(M2:M10000,"&gt;0")</f>
        <v>29</v>
      </c>
      <c r="Q6">
        <f>COUNTIF(N2:N10000,"&lt;0")+COUNTIF(N2:N10000,"&gt;0")</f>
        <v>58</v>
      </c>
    </row>
    <row r="7" spans="1:19" x14ac:dyDescent="0.2">
      <c r="A7" s="3" t="s">
        <v>15</v>
      </c>
      <c r="B7" s="16" t="s">
        <v>16</v>
      </c>
      <c r="C7" s="16" t="s">
        <v>16</v>
      </c>
      <c r="D7" s="2">
        <v>0.58099999999999996</v>
      </c>
      <c r="E7" s="16">
        <v>-155</v>
      </c>
      <c r="F7" s="16">
        <v>125</v>
      </c>
      <c r="G7" s="2">
        <f t="shared" si="3"/>
        <v>0.58099999999999996</v>
      </c>
      <c r="H7" s="17">
        <f t="shared" si="0"/>
        <v>-4.4161290322580768</v>
      </c>
      <c r="I7" s="17">
        <f t="shared" si="1"/>
        <v>-5.7249999999999872</v>
      </c>
      <c r="J7" s="16" t="s">
        <v>15</v>
      </c>
      <c r="K7" s="16" t="str">
        <f t="shared" si="2"/>
        <v>N</v>
      </c>
      <c r="L7" s="8"/>
      <c r="M7" s="8">
        <f>IF(D7&gt;$P$4, IF(K7="Y",100^2/-E7, -100), 0)</f>
        <v>0</v>
      </c>
      <c r="N7" s="11">
        <f t="shared" si="4"/>
        <v>-100</v>
      </c>
      <c r="O7" s="1" t="s">
        <v>49</v>
      </c>
      <c r="P7" s="1" t="s">
        <v>49</v>
      </c>
      <c r="Q7" s="1" t="s">
        <v>49</v>
      </c>
    </row>
    <row r="8" spans="1:19" x14ac:dyDescent="0.2">
      <c r="A8" s="3" t="s">
        <v>17</v>
      </c>
      <c r="B8" s="16" t="s">
        <v>18</v>
      </c>
      <c r="C8" s="16" t="s">
        <v>17</v>
      </c>
      <c r="D8" s="2">
        <v>0.59119999999999995</v>
      </c>
      <c r="E8" s="16">
        <v>-185</v>
      </c>
      <c r="F8" s="16">
        <v>150</v>
      </c>
      <c r="G8" s="2">
        <f t="shared" si="3"/>
        <v>0.59119999999999995</v>
      </c>
      <c r="H8" s="17">
        <f t="shared" si="0"/>
        <v>-8.9232432432432454</v>
      </c>
      <c r="I8" s="17">
        <f t="shared" si="1"/>
        <v>2.2000000000000028</v>
      </c>
      <c r="J8" s="16" t="s">
        <v>28</v>
      </c>
      <c r="K8" s="16" t="str">
        <f t="shared" si="2"/>
        <v>N</v>
      </c>
      <c r="L8" s="8"/>
      <c r="M8" s="8">
        <f>IF(D8&gt;$P$4, IF(K8="Y",100^2/-E8, -100), 0)</f>
        <v>0</v>
      </c>
      <c r="N8" s="11">
        <f t="shared" si="4"/>
        <v>-100</v>
      </c>
      <c r="O8" s="31">
        <f>O2/(100*O6)</f>
        <v>0.10502275502275503</v>
      </c>
      <c r="P8" s="27">
        <f>P2/(100*P6)</f>
        <v>4.6926876804576384E-2</v>
      </c>
      <c r="Q8" s="31">
        <f>Q2/(100*Q6)</f>
        <v>-9.1979918787871151E-2</v>
      </c>
    </row>
    <row r="9" spans="1:19" ht="17" thickBot="1" x14ac:dyDescent="0.25">
      <c r="A9" s="20" t="s">
        <v>19</v>
      </c>
      <c r="B9" s="21" t="s">
        <v>21</v>
      </c>
      <c r="C9" s="21" t="s">
        <v>19</v>
      </c>
      <c r="D9" s="22">
        <v>0.80610000000000004</v>
      </c>
      <c r="E9" s="21">
        <v>-1000</v>
      </c>
      <c r="F9" s="21">
        <v>535</v>
      </c>
      <c r="G9" s="22">
        <f t="shared" si="3"/>
        <v>0.80610000000000004</v>
      </c>
      <c r="H9" s="23">
        <f t="shared" si="0"/>
        <v>-11.328999999999997</v>
      </c>
      <c r="I9" s="23">
        <f t="shared" si="1"/>
        <v>23.126499999999979</v>
      </c>
      <c r="J9" s="21" t="s">
        <v>19</v>
      </c>
      <c r="K9" s="21" t="str">
        <f t="shared" si="2"/>
        <v>Y</v>
      </c>
      <c r="L9" s="24">
        <v>-100</v>
      </c>
      <c r="M9" s="24">
        <f>IF(D9&gt;$P$4, IF(K9="Y",100^2/-E9, -100), 0)</f>
        <v>10</v>
      </c>
      <c r="N9" s="25">
        <f t="shared" si="4"/>
        <v>10</v>
      </c>
    </row>
    <row r="10" spans="1:19" x14ac:dyDescent="0.2">
      <c r="A10" s="4" t="s">
        <v>29</v>
      </c>
      <c r="B10" s="5" t="s">
        <v>30</v>
      </c>
      <c r="C10" s="5" t="s">
        <v>30</v>
      </c>
      <c r="D10" s="6">
        <v>0.5726</v>
      </c>
      <c r="E10" s="5">
        <v>-270</v>
      </c>
      <c r="F10" s="5">
        <v>190</v>
      </c>
      <c r="G10" s="6">
        <f>IF(E10&lt;0,D10,1-D10)</f>
        <v>0.5726</v>
      </c>
      <c r="H10" s="7">
        <f t="shared" ref="H10:H19" si="5">G10*100*100/-E10+(1-G10)*-100</f>
        <v>-21.532592592592593</v>
      </c>
      <c r="I10" s="7">
        <f t="shared" ref="I10:I19" si="6">(1-G10)*100*F10/100+G10*-100</f>
        <v>23.946000000000005</v>
      </c>
      <c r="J10" s="5" t="s">
        <v>29</v>
      </c>
      <c r="K10" s="5" t="str">
        <f t="shared" ref="K10:K19" si="7">IF(C10=J10,"Y","N")</f>
        <v>N</v>
      </c>
      <c r="L10" s="18">
        <v>190</v>
      </c>
      <c r="M10" s="18">
        <f>IF(D10&gt;$P$4, IF(K10="Y",100^2/-E10, -100), 0)</f>
        <v>0</v>
      </c>
      <c r="N10" s="19">
        <f>IF(K10="Y",IF(D10&gt;0.5,100^2/-E10,F10),-100)</f>
        <v>-100</v>
      </c>
    </row>
    <row r="11" spans="1:19" x14ac:dyDescent="0.2">
      <c r="A11" s="3" t="s">
        <v>31</v>
      </c>
      <c r="B11" s="16" t="s">
        <v>32</v>
      </c>
      <c r="C11" s="16" t="s">
        <v>31</v>
      </c>
      <c r="D11" s="2">
        <v>0.67549999999999999</v>
      </c>
      <c r="E11" s="16">
        <v>-130</v>
      </c>
      <c r="F11" s="16">
        <f>100^2/110</f>
        <v>90.909090909090907</v>
      </c>
      <c r="G11" s="2">
        <f t="shared" ref="G11:G19" si="8">IF(E11&lt;0,D11,1-D11)</f>
        <v>0.67549999999999999</v>
      </c>
      <c r="H11" s="17">
        <f t="shared" si="5"/>
        <v>19.511538461538457</v>
      </c>
      <c r="I11" s="17">
        <f t="shared" si="6"/>
        <v>-38.049999999999997</v>
      </c>
      <c r="J11" s="16" t="s">
        <v>31</v>
      </c>
      <c r="K11" s="16" t="str">
        <f t="shared" si="7"/>
        <v>Y</v>
      </c>
      <c r="L11" s="8">
        <f>100^2/-E11</f>
        <v>76.92307692307692</v>
      </c>
      <c r="M11" s="8">
        <f>IF(D11&gt;$P$4, IF(K11="Y",100^2/-E11, -100), 0)</f>
        <v>76.92307692307692</v>
      </c>
      <c r="N11" s="11">
        <f t="shared" ref="N11:N19" si="9">IF(K11="Y",IF(D11&gt;0.5,100^2/-E11,F11),-100)</f>
        <v>76.92307692307692</v>
      </c>
    </row>
    <row r="12" spans="1:19" x14ac:dyDescent="0.2">
      <c r="A12" s="3" t="s">
        <v>5</v>
      </c>
      <c r="B12" s="16" t="s">
        <v>33</v>
      </c>
      <c r="C12" s="16" t="s">
        <v>5</v>
      </c>
      <c r="D12" s="2">
        <v>0.79979999999999996</v>
      </c>
      <c r="E12" s="16">
        <v>-370</v>
      </c>
      <c r="F12" s="16">
        <v>250</v>
      </c>
      <c r="G12" s="2">
        <f t="shared" si="8"/>
        <v>0.79979999999999996</v>
      </c>
      <c r="H12" s="17">
        <f t="shared" si="5"/>
        <v>1.5962162162162095</v>
      </c>
      <c r="I12" s="17">
        <f t="shared" si="6"/>
        <v>-29.929999999999978</v>
      </c>
      <c r="J12" s="16" t="s">
        <v>5</v>
      </c>
      <c r="K12" s="16" t="str">
        <f t="shared" si="7"/>
        <v>Y</v>
      </c>
      <c r="L12" s="8"/>
      <c r="M12" s="8">
        <f>IF(D12&gt;$P$4, IF(K12="Y",100^2/-E12, -100), 0)</f>
        <v>27.027027027027028</v>
      </c>
      <c r="N12" s="11">
        <f t="shared" si="9"/>
        <v>27.027027027027028</v>
      </c>
    </row>
    <row r="13" spans="1:19" x14ac:dyDescent="0.2">
      <c r="A13" s="3" t="s">
        <v>34</v>
      </c>
      <c r="B13" s="16" t="s">
        <v>35</v>
      </c>
      <c r="C13" s="16" t="s">
        <v>34</v>
      </c>
      <c r="D13" s="2">
        <v>0.53449999999999998</v>
      </c>
      <c r="E13" s="16">
        <v>-120</v>
      </c>
      <c r="F13" s="16">
        <f>100^2/115</f>
        <v>86.956521739130437</v>
      </c>
      <c r="G13" s="2">
        <f t="shared" si="8"/>
        <v>0.53449999999999998</v>
      </c>
      <c r="H13" s="17">
        <f t="shared" si="5"/>
        <v>-2.00833333333334</v>
      </c>
      <c r="I13" s="17">
        <f t="shared" si="6"/>
        <v>-12.97173913043477</v>
      </c>
      <c r="J13" s="16" t="s">
        <v>35</v>
      </c>
      <c r="K13" s="16" t="str">
        <f t="shared" si="7"/>
        <v>N</v>
      </c>
      <c r="L13" s="8"/>
      <c r="M13" s="8">
        <f>IF(D13&gt;$P$4, IF(K13="Y",100^2/-E13, -100), 0)</f>
        <v>0</v>
      </c>
      <c r="N13" s="11">
        <f t="shared" si="9"/>
        <v>-100</v>
      </c>
    </row>
    <row r="14" spans="1:19" x14ac:dyDescent="0.2">
      <c r="A14" s="3" t="s">
        <v>36</v>
      </c>
      <c r="B14" s="16" t="s">
        <v>37</v>
      </c>
      <c r="C14" s="16" t="s">
        <v>37</v>
      </c>
      <c r="D14" s="2">
        <v>0.50339999999999996</v>
      </c>
      <c r="E14" s="16">
        <v>-265</v>
      </c>
      <c r="F14" s="16">
        <v>185</v>
      </c>
      <c r="G14" s="2">
        <f t="shared" si="8"/>
        <v>0.50339999999999996</v>
      </c>
      <c r="H14" s="17">
        <f t="shared" si="5"/>
        <v>-30.663773584905663</v>
      </c>
      <c r="I14" s="17">
        <f t="shared" si="6"/>
        <v>41.531000000000013</v>
      </c>
      <c r="J14" s="16" t="s">
        <v>37</v>
      </c>
      <c r="K14" s="16" t="str">
        <f t="shared" si="7"/>
        <v>Y</v>
      </c>
      <c r="L14" s="8">
        <v>-100</v>
      </c>
      <c r="M14" s="8">
        <f>IF(D14&gt;$P$4, IF(K14="Y",100^2/-E14, -100), 0)</f>
        <v>0</v>
      </c>
      <c r="N14" s="11">
        <f t="shared" si="9"/>
        <v>37.735849056603776</v>
      </c>
    </row>
    <row r="15" spans="1:19" x14ac:dyDescent="0.2">
      <c r="A15" s="3" t="s">
        <v>38</v>
      </c>
      <c r="B15" s="16" t="s">
        <v>39</v>
      </c>
      <c r="C15" s="16" t="s">
        <v>38</v>
      </c>
      <c r="D15" s="2">
        <v>0.70809999999999995</v>
      </c>
      <c r="E15" s="16">
        <v>-140</v>
      </c>
      <c r="F15" s="16">
        <v>100</v>
      </c>
      <c r="G15" s="2">
        <f t="shared" si="8"/>
        <v>0.70809999999999995</v>
      </c>
      <c r="H15" s="17">
        <f t="shared" si="5"/>
        <v>21.388571428571424</v>
      </c>
      <c r="I15" s="17">
        <f t="shared" si="6"/>
        <v>-41.62</v>
      </c>
      <c r="J15" s="16" t="s">
        <v>38</v>
      </c>
      <c r="K15" s="16" t="str">
        <f t="shared" si="7"/>
        <v>Y</v>
      </c>
      <c r="L15" s="8">
        <f>100^2/-E15</f>
        <v>71.428571428571431</v>
      </c>
      <c r="M15" s="8">
        <f>IF(D15&gt;$P$4, IF(K15="Y",100^2/-E15, -100), 0)</f>
        <v>71.428571428571431</v>
      </c>
      <c r="N15" s="11">
        <f t="shared" si="9"/>
        <v>71.428571428571431</v>
      </c>
    </row>
    <row r="16" spans="1:19" x14ac:dyDescent="0.2">
      <c r="A16" s="3" t="s">
        <v>13</v>
      </c>
      <c r="B16" s="16" t="s">
        <v>40</v>
      </c>
      <c r="C16" s="16" t="s">
        <v>13</v>
      </c>
      <c r="D16" s="2">
        <v>0.60040000000000004</v>
      </c>
      <c r="E16" s="16">
        <v>-160</v>
      </c>
      <c r="F16" s="16">
        <v>115</v>
      </c>
      <c r="G16" s="2">
        <f t="shared" si="8"/>
        <v>0.60040000000000004</v>
      </c>
      <c r="H16" s="17">
        <f t="shared" si="5"/>
        <v>-2.4349999999999881</v>
      </c>
      <c r="I16" s="17">
        <f t="shared" si="6"/>
        <v>-14.086000000000013</v>
      </c>
      <c r="J16" s="16" t="s">
        <v>40</v>
      </c>
      <c r="K16" s="16" t="str">
        <f t="shared" si="7"/>
        <v>N</v>
      </c>
      <c r="L16" s="8"/>
      <c r="M16" s="8">
        <f>IF(D16&gt;$P$4, IF(K16="Y",100^2/-E16, -100), 0)</f>
        <v>0</v>
      </c>
      <c r="N16" s="11">
        <f t="shared" si="9"/>
        <v>-100</v>
      </c>
    </row>
    <row r="17" spans="1:14" x14ac:dyDescent="0.2">
      <c r="A17" s="3" t="s">
        <v>41</v>
      </c>
      <c r="B17" s="16" t="s">
        <v>21</v>
      </c>
      <c r="C17" s="16" t="s">
        <v>41</v>
      </c>
      <c r="D17" s="2">
        <v>0.80830000000000002</v>
      </c>
      <c r="E17" s="16">
        <v>-2290</v>
      </c>
      <c r="F17" s="16">
        <v>800</v>
      </c>
      <c r="G17" s="2">
        <f t="shared" si="8"/>
        <v>0.80830000000000002</v>
      </c>
      <c r="H17" s="17">
        <f t="shared" si="5"/>
        <v>-15.640305676855894</v>
      </c>
      <c r="I17" s="17">
        <f t="shared" si="6"/>
        <v>72.529999999999987</v>
      </c>
      <c r="J17" s="16" t="s">
        <v>41</v>
      </c>
      <c r="K17" s="16" t="str">
        <f t="shared" si="7"/>
        <v>Y</v>
      </c>
      <c r="L17" s="8">
        <v>-100</v>
      </c>
      <c r="M17" s="8">
        <f>IF(D17&gt;$P$4, IF(K17="Y",100^2/-E17, -100), 0)</f>
        <v>4.3668122270742362</v>
      </c>
      <c r="N17" s="11">
        <f t="shared" si="9"/>
        <v>4.3668122270742362</v>
      </c>
    </row>
    <row r="18" spans="1:14" x14ac:dyDescent="0.2">
      <c r="A18" s="3" t="s">
        <v>17</v>
      </c>
      <c r="B18" s="16" t="s">
        <v>28</v>
      </c>
      <c r="C18" s="16" t="s">
        <v>17</v>
      </c>
      <c r="D18" s="2">
        <v>0.59619999999999995</v>
      </c>
      <c r="E18" s="16">
        <v>-245</v>
      </c>
      <c r="F18" s="16">
        <v>175</v>
      </c>
      <c r="G18" s="2">
        <f t="shared" si="8"/>
        <v>0.59619999999999995</v>
      </c>
      <c r="H18" s="17">
        <f t="shared" si="5"/>
        <v>-16.045306122448981</v>
      </c>
      <c r="I18" s="17">
        <f t="shared" si="6"/>
        <v>11.045000000000009</v>
      </c>
      <c r="J18" s="16" t="s">
        <v>17</v>
      </c>
      <c r="K18" s="16" t="str">
        <f t="shared" si="7"/>
        <v>Y</v>
      </c>
      <c r="L18" s="8"/>
      <c r="M18" s="8">
        <f>IF(D18&gt;$P$4, IF(K18="Y",100^2/-E18, -100), 0)</f>
        <v>0</v>
      </c>
      <c r="N18" s="11">
        <f t="shared" si="9"/>
        <v>40.816326530612244</v>
      </c>
    </row>
    <row r="19" spans="1:14" ht="17" thickBot="1" x14ac:dyDescent="0.25">
      <c r="A19" s="20" t="s">
        <v>42</v>
      </c>
      <c r="B19" s="21" t="s">
        <v>14</v>
      </c>
      <c r="C19" s="21" t="s">
        <v>42</v>
      </c>
      <c r="D19" s="22">
        <v>0.7843</v>
      </c>
      <c r="E19" s="21">
        <v>-320</v>
      </c>
      <c r="F19" s="21">
        <v>220</v>
      </c>
      <c r="G19" s="22">
        <f t="shared" si="8"/>
        <v>0.7843</v>
      </c>
      <c r="H19" s="23">
        <f t="shared" si="5"/>
        <v>2.9393750000000018</v>
      </c>
      <c r="I19" s="23">
        <f t="shared" si="6"/>
        <v>-30.976000000000013</v>
      </c>
      <c r="J19" s="21" t="s">
        <v>42</v>
      </c>
      <c r="K19" s="21" t="str">
        <f t="shared" si="7"/>
        <v>Y</v>
      </c>
      <c r="L19" s="24"/>
      <c r="M19" s="24">
        <f>IF(D19&gt;$P$4, IF(K19="Y",100^2/-E19, -100), 0)</f>
        <v>31.25</v>
      </c>
      <c r="N19" s="25">
        <f t="shared" si="9"/>
        <v>31.25</v>
      </c>
    </row>
    <row r="20" spans="1:14" x14ac:dyDescent="0.2">
      <c r="A20" s="4" t="s">
        <v>7</v>
      </c>
      <c r="B20" s="5" t="s">
        <v>15</v>
      </c>
      <c r="C20" s="5" t="s">
        <v>15</v>
      </c>
      <c r="D20" s="6">
        <v>0.50339999999999996</v>
      </c>
      <c r="E20" s="5">
        <v>-130</v>
      </c>
      <c r="F20" s="5">
        <f>100^2/105</f>
        <v>95.238095238095241</v>
      </c>
      <c r="G20" s="6">
        <f>IF(E20&lt;0,D20,1-D20)</f>
        <v>0.50339999999999996</v>
      </c>
      <c r="H20" s="7">
        <f t="shared" ref="H20:H25" si="10">G20*100*100/-E20+(1-G20)*-100</f>
        <v>-10.93692307692308</v>
      </c>
      <c r="I20" s="7">
        <f t="shared" ref="I20:I25" si="11">(1-G20)*100*F20/100+G20*-100</f>
        <v>-3.0447619047618986</v>
      </c>
      <c r="J20" s="5" t="s">
        <v>7</v>
      </c>
      <c r="K20" s="5" t="str">
        <f t="shared" ref="K20:K25" si="12">IF(C20=J20,"Y","N")</f>
        <v>N</v>
      </c>
      <c r="L20" s="18"/>
      <c r="M20" s="18">
        <f>IF(D20&gt;$P$4, IF(K20="Y",100^2/-E20, -100), 0)</f>
        <v>0</v>
      </c>
      <c r="N20" s="19">
        <f>IF(K20="Y",IF(D20&gt;0.5,100^2/-E20,F20),-100)</f>
        <v>-100</v>
      </c>
    </row>
    <row r="21" spans="1:14" x14ac:dyDescent="0.2">
      <c r="A21" s="3" t="s">
        <v>6</v>
      </c>
      <c r="B21" s="16" t="s">
        <v>33</v>
      </c>
      <c r="C21" s="16" t="s">
        <v>33</v>
      </c>
      <c r="D21" s="2">
        <v>0.7218</v>
      </c>
      <c r="E21" s="16">
        <v>-220</v>
      </c>
      <c r="F21" s="16">
        <v>155</v>
      </c>
      <c r="G21" s="2">
        <f t="shared" ref="G21:G25" si="13">IF(E21&lt;0,D21,1-D21)</f>
        <v>0.7218</v>
      </c>
      <c r="H21" s="17">
        <f t="shared" si="10"/>
        <v>4.9890909090909119</v>
      </c>
      <c r="I21" s="17">
        <f t="shared" si="11"/>
        <v>-29.059000000000005</v>
      </c>
      <c r="J21" s="16" t="s">
        <v>6</v>
      </c>
      <c r="K21" s="16" t="str">
        <f t="shared" si="12"/>
        <v>N</v>
      </c>
      <c r="L21" s="8"/>
      <c r="M21" s="8">
        <f>IF(D21&gt;$P$4, IF(K21="Y",100^2/-E21, -100), 0)</f>
        <v>-100</v>
      </c>
      <c r="N21" s="11">
        <f t="shared" ref="N21:N25" si="14">IF(K21="Y",IF(D21&gt;0.5,100^2/-E21,F21),-100)</f>
        <v>-100</v>
      </c>
    </row>
    <row r="22" spans="1:14" x14ac:dyDescent="0.2">
      <c r="A22" s="3" t="s">
        <v>12</v>
      </c>
      <c r="B22" s="16" t="s">
        <v>32</v>
      </c>
      <c r="C22" s="16" t="s">
        <v>12</v>
      </c>
      <c r="D22" s="2">
        <v>0.64419999999999999</v>
      </c>
      <c r="E22" s="16">
        <v>-180</v>
      </c>
      <c r="F22" s="16">
        <v>130</v>
      </c>
      <c r="G22" s="2">
        <f t="shared" si="13"/>
        <v>0.64419999999999999</v>
      </c>
      <c r="H22" s="17">
        <f t="shared" si="10"/>
        <v>0.20888888888889312</v>
      </c>
      <c r="I22" s="17">
        <f t="shared" si="11"/>
        <v>-18.166000000000004</v>
      </c>
      <c r="J22" s="16" t="s">
        <v>12</v>
      </c>
      <c r="K22" s="16" t="str">
        <f t="shared" si="12"/>
        <v>Y</v>
      </c>
      <c r="L22" s="8">
        <f>100^2/180</f>
        <v>55.555555555555557</v>
      </c>
      <c r="M22" s="8">
        <f>IF(D22&gt;$P$4, IF(K22="Y",100^2/-E22, -100), 0)</f>
        <v>0</v>
      </c>
      <c r="N22" s="11">
        <f t="shared" si="14"/>
        <v>55.555555555555557</v>
      </c>
    </row>
    <row r="23" spans="1:14" x14ac:dyDescent="0.2">
      <c r="A23" s="3" t="s">
        <v>10</v>
      </c>
      <c r="B23" s="16" t="s">
        <v>19</v>
      </c>
      <c r="C23" s="16" t="s">
        <v>10</v>
      </c>
      <c r="D23" s="2">
        <v>0.78129999999999999</v>
      </c>
      <c r="E23" s="16">
        <v>-175</v>
      </c>
      <c r="F23" s="16">
        <v>130</v>
      </c>
      <c r="G23" s="2">
        <f t="shared" si="13"/>
        <v>0.78129999999999999</v>
      </c>
      <c r="H23" s="17">
        <f t="shared" si="10"/>
        <v>22.775714285714283</v>
      </c>
      <c r="I23" s="17">
        <f t="shared" si="11"/>
        <v>-49.698999999999998</v>
      </c>
      <c r="J23" s="16" t="s">
        <v>10</v>
      </c>
      <c r="K23" s="16" t="str">
        <f t="shared" si="12"/>
        <v>Y</v>
      </c>
      <c r="L23" s="8">
        <f>100^2/175</f>
        <v>57.142857142857146</v>
      </c>
      <c r="M23" s="8">
        <f>IF(D23&gt;$P$4, IF(K23="Y",100^2/-E23, -100), 0)</f>
        <v>57.142857142857146</v>
      </c>
      <c r="N23" s="11">
        <f t="shared" si="14"/>
        <v>57.142857142857146</v>
      </c>
    </row>
    <row r="24" spans="1:14" x14ac:dyDescent="0.2">
      <c r="A24" s="3" t="s">
        <v>11</v>
      </c>
      <c r="B24" s="16" t="s">
        <v>38</v>
      </c>
      <c r="C24" s="16" t="s">
        <v>38</v>
      </c>
      <c r="D24" s="2">
        <f>100%-67.69%</f>
        <v>0.32310000000000005</v>
      </c>
      <c r="E24" s="16">
        <v>-145</v>
      </c>
      <c r="F24" s="16">
        <v>105</v>
      </c>
      <c r="G24" s="2">
        <f>IF(E24&lt;0,D24,1-D24)</f>
        <v>0.32310000000000005</v>
      </c>
      <c r="H24" s="17">
        <f t="shared" si="10"/>
        <v>-45.407241379310342</v>
      </c>
      <c r="I24" s="17">
        <f t="shared" si="11"/>
        <v>38.764499999999998</v>
      </c>
      <c r="J24" s="16" t="s">
        <v>11</v>
      </c>
      <c r="K24" s="16" t="str">
        <f t="shared" si="12"/>
        <v>N</v>
      </c>
      <c r="L24" s="8">
        <v>-100</v>
      </c>
      <c r="M24" s="8">
        <f>IF(D24&gt;$P$4, IF(K24="Y",100^2/-E24, -100), 0)</f>
        <v>0</v>
      </c>
      <c r="N24" s="11">
        <f t="shared" si="14"/>
        <v>-100</v>
      </c>
    </row>
    <row r="25" spans="1:14" ht="17" thickBot="1" x14ac:dyDescent="0.25">
      <c r="A25" s="20" t="s">
        <v>16</v>
      </c>
      <c r="B25" s="21" t="s">
        <v>9</v>
      </c>
      <c r="C25" s="21" t="s">
        <v>16</v>
      </c>
      <c r="D25" s="22">
        <v>0.62570000000000003</v>
      </c>
      <c r="E25" s="21">
        <v>-185</v>
      </c>
      <c r="F25" s="21">
        <v>130</v>
      </c>
      <c r="G25" s="22">
        <f t="shared" si="13"/>
        <v>0.62570000000000003</v>
      </c>
      <c r="H25" s="23">
        <f t="shared" si="10"/>
        <v>-3.6083783783783758</v>
      </c>
      <c r="I25" s="23">
        <f t="shared" si="11"/>
        <v>-13.911000000000001</v>
      </c>
      <c r="J25" s="21" t="s">
        <v>9</v>
      </c>
      <c r="K25" s="21" t="str">
        <f t="shared" si="12"/>
        <v>N</v>
      </c>
      <c r="L25" s="24"/>
      <c r="M25" s="24">
        <f>IF(D25&gt;$P$4, IF(K25="Y",100^2/-E25, -100), 0)</f>
        <v>0</v>
      </c>
      <c r="N25" s="25">
        <f t="shared" si="14"/>
        <v>-100</v>
      </c>
    </row>
    <row r="26" spans="1:14" x14ac:dyDescent="0.2">
      <c r="A26" s="4" t="s">
        <v>29</v>
      </c>
      <c r="B26" s="5" t="s">
        <v>34</v>
      </c>
      <c r="C26" s="5" t="s">
        <v>34</v>
      </c>
      <c r="D26" s="6">
        <v>0.52066999999999997</v>
      </c>
      <c r="E26" s="5">
        <v>-295</v>
      </c>
      <c r="F26" s="5">
        <v>210</v>
      </c>
      <c r="G26" s="6">
        <f>IF(E26&lt;0,D26,1-D26)</f>
        <v>0.52066999999999997</v>
      </c>
      <c r="H26" s="7">
        <f t="shared" ref="H26:H31" si="15">G26*100*100/-E26+(1-G26)*-100</f>
        <v>-30.283169491525435</v>
      </c>
      <c r="I26" s="7">
        <f t="shared" ref="I26:I31" si="16">(1-G26)*100*F26/100+G26*-100</f>
        <v>48.592300000000023</v>
      </c>
      <c r="J26" s="5" t="s">
        <v>34</v>
      </c>
      <c r="K26" s="5" t="str">
        <f t="shared" ref="K26:K31" si="17">IF(C26=J26,"Y","N")</f>
        <v>Y</v>
      </c>
      <c r="L26" s="18">
        <v>-100</v>
      </c>
      <c r="M26" s="18">
        <f>IF(D26&gt;$P$4, IF(K26="Y",100^2/-E26, -100), 0)</f>
        <v>0</v>
      </c>
      <c r="N26" s="19">
        <f>IF(K26="Y",IF(D26&gt;0.5,100^2/-E26,F26),-100)</f>
        <v>33.898305084745765</v>
      </c>
    </row>
    <row r="27" spans="1:14" x14ac:dyDescent="0.2">
      <c r="A27" s="3" t="s">
        <v>28</v>
      </c>
      <c r="B27" s="16" t="s">
        <v>5</v>
      </c>
      <c r="C27" s="16" t="s">
        <v>5</v>
      </c>
      <c r="D27" s="2">
        <v>0.80020000000000002</v>
      </c>
      <c r="E27" s="16">
        <v>-1265</v>
      </c>
      <c r="F27" s="16">
        <v>600</v>
      </c>
      <c r="G27" s="2">
        <f t="shared" ref="G27:G29" si="18">IF(E27&lt;0,D27,1-D27)</f>
        <v>0.80020000000000002</v>
      </c>
      <c r="H27" s="17">
        <f t="shared" si="15"/>
        <v>-13.654308300395254</v>
      </c>
      <c r="I27" s="17">
        <f t="shared" si="16"/>
        <v>39.859999999999985</v>
      </c>
      <c r="J27" s="16" t="s">
        <v>5</v>
      </c>
      <c r="K27" s="16" t="str">
        <f t="shared" si="17"/>
        <v>Y</v>
      </c>
      <c r="L27" s="8">
        <v>-100</v>
      </c>
      <c r="M27" s="8">
        <f>IF(D27&gt;$P$4, IF(K27="Y",100^2/-E27, -100), 0)</f>
        <v>7.9051383399209483</v>
      </c>
      <c r="N27" s="11">
        <f t="shared" ref="N27:N31" si="19">IF(K27="Y",IF(D27&gt;0.5,100^2/-E27,F27),-100)</f>
        <v>7.9051383399209483</v>
      </c>
    </row>
    <row r="28" spans="1:14" x14ac:dyDescent="0.2">
      <c r="A28" s="3" t="s">
        <v>40</v>
      </c>
      <c r="B28" s="16" t="s">
        <v>30</v>
      </c>
      <c r="C28" s="16" t="s">
        <v>40</v>
      </c>
      <c r="D28" s="2">
        <v>0.71830000000000005</v>
      </c>
      <c r="E28" s="16">
        <v>-370</v>
      </c>
      <c r="F28" s="16">
        <v>250</v>
      </c>
      <c r="G28" s="2">
        <f t="shared" si="18"/>
        <v>0.71830000000000005</v>
      </c>
      <c r="H28" s="17">
        <f t="shared" si="15"/>
        <v>-8.7564864864864802</v>
      </c>
      <c r="I28" s="17">
        <f t="shared" si="16"/>
        <v>-1.4050000000000011</v>
      </c>
      <c r="J28" s="16" t="s">
        <v>40</v>
      </c>
      <c r="K28" s="16" t="str">
        <f t="shared" si="17"/>
        <v>Y</v>
      </c>
      <c r="L28" s="8"/>
      <c r="M28" s="8">
        <f>IF(D28&gt;$P$4, IF(K28="Y",100^2/-E28, -100), 0)</f>
        <v>27.027027027027028</v>
      </c>
      <c r="N28" s="11">
        <f t="shared" si="19"/>
        <v>27.027027027027028</v>
      </c>
    </row>
    <row r="29" spans="1:14" x14ac:dyDescent="0.2">
      <c r="A29" s="3" t="s">
        <v>8</v>
      </c>
      <c r="B29" s="16" t="s">
        <v>19</v>
      </c>
      <c r="C29" s="16" t="s">
        <v>8</v>
      </c>
      <c r="D29" s="2">
        <v>0.61850000000000005</v>
      </c>
      <c r="E29" s="16">
        <v>-270</v>
      </c>
      <c r="F29" s="16">
        <v>190</v>
      </c>
      <c r="G29" s="2">
        <f t="shared" si="18"/>
        <v>0.61850000000000005</v>
      </c>
      <c r="H29" s="17">
        <f t="shared" si="15"/>
        <v>-15.24259259259258</v>
      </c>
      <c r="I29" s="17">
        <f t="shared" si="16"/>
        <v>10.634999999999977</v>
      </c>
      <c r="J29" s="16" t="s">
        <v>8</v>
      </c>
      <c r="K29" s="16" t="str">
        <f t="shared" si="17"/>
        <v>Y</v>
      </c>
      <c r="L29" s="8"/>
      <c r="M29" s="8">
        <f>IF(D29&gt;$P$4, IF(K29="Y",100^2/-E29, -100), 0)</f>
        <v>0</v>
      </c>
      <c r="N29" s="11">
        <f t="shared" si="19"/>
        <v>37.037037037037038</v>
      </c>
    </row>
    <row r="30" spans="1:14" x14ac:dyDescent="0.2">
      <c r="A30" s="3" t="s">
        <v>41</v>
      </c>
      <c r="B30" s="16" t="s">
        <v>31</v>
      </c>
      <c r="C30" s="16" t="s">
        <v>41</v>
      </c>
      <c r="D30" s="2">
        <v>0.58250000000000002</v>
      </c>
      <c r="E30" s="16">
        <v>-260</v>
      </c>
      <c r="F30" s="16">
        <v>185</v>
      </c>
      <c r="G30" s="2">
        <f>IF(E30&lt;0,D30,1-D30)</f>
        <v>0.58250000000000002</v>
      </c>
      <c r="H30" s="17">
        <f t="shared" si="15"/>
        <v>-19.346153846153847</v>
      </c>
      <c r="I30" s="17">
        <f t="shared" si="16"/>
        <v>18.987499999999997</v>
      </c>
      <c r="J30" s="16" t="s">
        <v>41</v>
      </c>
      <c r="K30" s="16" t="str">
        <f t="shared" si="17"/>
        <v>Y</v>
      </c>
      <c r="L30" s="8">
        <v>-100</v>
      </c>
      <c r="M30" s="8">
        <f>IF(D30&gt;$P$4, IF(K30="Y",100^2/-E30, -100), 0)</f>
        <v>0</v>
      </c>
      <c r="N30" s="11">
        <f t="shared" si="19"/>
        <v>38.46153846153846</v>
      </c>
    </row>
    <row r="31" spans="1:14" ht="17" thickBot="1" x14ac:dyDescent="0.25">
      <c r="A31" s="20" t="s">
        <v>14</v>
      </c>
      <c r="B31" s="21" t="s">
        <v>35</v>
      </c>
      <c r="C31" s="21" t="s">
        <v>35</v>
      </c>
      <c r="D31" s="22">
        <v>0.62570000000000003</v>
      </c>
      <c r="E31" s="21">
        <v>-120</v>
      </c>
      <c r="F31" s="21">
        <f>100^2/115</f>
        <v>86.956521739130437</v>
      </c>
      <c r="G31" s="22">
        <f t="shared" ref="G31" si="20">IF(E31&lt;0,D31,1-D31)</f>
        <v>0.62570000000000003</v>
      </c>
      <c r="H31" s="23">
        <f t="shared" si="15"/>
        <v>14.711666666666666</v>
      </c>
      <c r="I31" s="23">
        <f t="shared" si="16"/>
        <v>-30.022173913043481</v>
      </c>
      <c r="J31" s="21" t="s">
        <v>35</v>
      </c>
      <c r="K31" s="21" t="str">
        <f t="shared" si="17"/>
        <v>Y</v>
      </c>
      <c r="L31" s="24"/>
      <c r="M31" s="24">
        <f>IF(D31&gt;$P$4, IF(K31="Y",100^2/-E31, -100), 0)</f>
        <v>0</v>
      </c>
      <c r="N31" s="25">
        <f t="shared" si="19"/>
        <v>83.333333333333329</v>
      </c>
    </row>
    <row r="32" spans="1:14" x14ac:dyDescent="0.2">
      <c r="A32" s="4" t="s">
        <v>32</v>
      </c>
      <c r="B32" s="5" t="s">
        <v>10</v>
      </c>
      <c r="C32" s="5" t="s">
        <v>10</v>
      </c>
      <c r="D32" s="6">
        <v>0.59309999999999996</v>
      </c>
      <c r="E32" s="5">
        <v>-120</v>
      </c>
      <c r="F32" s="5">
        <f>100^2/110</f>
        <v>90.909090909090907</v>
      </c>
      <c r="G32" s="6">
        <f>IF(E32&lt;0,D32,1-D32)</f>
        <v>0.59309999999999996</v>
      </c>
      <c r="H32" s="7">
        <f t="shared" ref="H32:H39" si="21">G32*100*100/-E32+(1-G32)*-100</f>
        <v>8.7349999999999852</v>
      </c>
      <c r="I32" s="7">
        <f t="shared" ref="I32:I39" si="22">(1-G32)*100*F32/100+G32*-100</f>
        <v>-22.319090909090903</v>
      </c>
      <c r="J32" s="5" t="s">
        <v>32</v>
      </c>
      <c r="K32" s="5" t="str">
        <f t="shared" ref="K32:K39" si="23">IF(C32=J32,"Y","N")</f>
        <v>N</v>
      </c>
      <c r="L32" s="18"/>
      <c r="M32" s="18">
        <f>IF(D32&gt;0.65, IF(K32="Y",100^2/-E32, -100), 0)</f>
        <v>0</v>
      </c>
      <c r="N32" s="19">
        <f>IF(K32="Y",IF(D32&gt;0.5,100^2/-E32,F32),-100)</f>
        <v>-100</v>
      </c>
    </row>
    <row r="33" spans="1:18" x14ac:dyDescent="0.2">
      <c r="A33" s="3" t="s">
        <v>33</v>
      </c>
      <c r="B33" s="16" t="s">
        <v>36</v>
      </c>
      <c r="C33" s="16" t="s">
        <v>33</v>
      </c>
      <c r="D33" s="2">
        <v>0.62780000000000002</v>
      </c>
      <c r="E33" s="16">
        <v>-150</v>
      </c>
      <c r="F33" s="16">
        <v>110</v>
      </c>
      <c r="G33" s="2">
        <f t="shared" ref="G33:G35" si="24">IF(E33&lt;0,D33,1-D33)</f>
        <v>0.62780000000000002</v>
      </c>
      <c r="H33" s="17">
        <f t="shared" si="21"/>
        <v>4.6333333333333329</v>
      </c>
      <c r="I33" s="17">
        <f t="shared" si="22"/>
        <v>-21.838000000000001</v>
      </c>
      <c r="J33" s="16" t="s">
        <v>33</v>
      </c>
      <c r="K33" s="16" t="str">
        <f t="shared" si="23"/>
        <v>Y</v>
      </c>
      <c r="L33" s="8"/>
      <c r="M33" s="8">
        <f t="shared" ref="M33:M39" si="25">IF(D33&gt;0.65, IF(K33="Y",100^2/-E33, -100), 0)</f>
        <v>0</v>
      </c>
      <c r="N33" s="11">
        <f t="shared" ref="N33:N39" si="26">IF(K33="Y",IF(D33&gt;0.5,100^2/-E33,F33),-100)</f>
        <v>66.666666666666671</v>
      </c>
    </row>
    <row r="34" spans="1:18" x14ac:dyDescent="0.2">
      <c r="A34" s="3" t="s">
        <v>39</v>
      </c>
      <c r="B34" s="16" t="s">
        <v>6</v>
      </c>
      <c r="C34" s="16" t="s">
        <v>39</v>
      </c>
      <c r="D34" s="2">
        <v>0.83609999999999995</v>
      </c>
      <c r="E34" s="16">
        <v>-465</v>
      </c>
      <c r="F34" s="16">
        <v>300</v>
      </c>
      <c r="G34" s="2">
        <f t="shared" si="24"/>
        <v>0.83609999999999995</v>
      </c>
      <c r="H34" s="17">
        <f t="shared" si="21"/>
        <v>1.5906451612903183</v>
      </c>
      <c r="I34" s="17">
        <f t="shared" si="22"/>
        <v>-34.439999999999991</v>
      </c>
      <c r="J34" s="16" t="s">
        <v>39</v>
      </c>
      <c r="K34" s="16" t="str">
        <f t="shared" si="23"/>
        <v>Y</v>
      </c>
      <c r="L34" s="8"/>
      <c r="M34" s="8">
        <f t="shared" si="25"/>
        <v>21.50537634408602</v>
      </c>
      <c r="N34" s="11">
        <f t="shared" si="26"/>
        <v>21.50537634408602</v>
      </c>
    </row>
    <row r="35" spans="1:18" x14ac:dyDescent="0.2">
      <c r="A35" s="3" t="s">
        <v>37</v>
      </c>
      <c r="B35" s="16" t="s">
        <v>12</v>
      </c>
      <c r="C35" s="16" t="s">
        <v>37</v>
      </c>
      <c r="D35" s="2">
        <v>0.71930000000000005</v>
      </c>
      <c r="E35" s="16">
        <v>-390</v>
      </c>
      <c r="F35" s="16">
        <v>260</v>
      </c>
      <c r="G35" s="2">
        <f t="shared" si="24"/>
        <v>0.71930000000000005</v>
      </c>
      <c r="H35" s="17">
        <f t="shared" si="21"/>
        <v>-9.6264102564102458</v>
      </c>
      <c r="I35" s="17">
        <f t="shared" si="22"/>
        <v>1.0519999999999783</v>
      </c>
      <c r="J35" s="16" t="s">
        <v>12</v>
      </c>
      <c r="K35" s="16" t="str">
        <f t="shared" si="23"/>
        <v>N</v>
      </c>
      <c r="L35" s="8"/>
      <c r="M35" s="8">
        <f t="shared" si="25"/>
        <v>-100</v>
      </c>
      <c r="N35" s="11">
        <f t="shared" si="26"/>
        <v>-100</v>
      </c>
    </row>
    <row r="36" spans="1:18" x14ac:dyDescent="0.2">
      <c r="A36" s="3" t="s">
        <v>13</v>
      </c>
      <c r="B36" s="16" t="s">
        <v>21</v>
      </c>
      <c r="C36" s="16" t="s">
        <v>13</v>
      </c>
      <c r="D36" s="2">
        <v>0.83819999999999995</v>
      </c>
      <c r="E36" s="16">
        <v>-2560</v>
      </c>
      <c r="F36" s="16">
        <v>835</v>
      </c>
      <c r="G36" s="2">
        <f>IF(E36&lt;0,D36,1-D36)</f>
        <v>0.83819999999999995</v>
      </c>
      <c r="H36" s="17">
        <f t="shared" si="21"/>
        <v>-12.905781250000008</v>
      </c>
      <c r="I36" s="17">
        <f t="shared" si="22"/>
        <v>51.283000000000072</v>
      </c>
      <c r="J36" s="16" t="s">
        <v>13</v>
      </c>
      <c r="K36" s="16" t="str">
        <f t="shared" si="23"/>
        <v>Y</v>
      </c>
      <c r="L36" s="8">
        <v>-100</v>
      </c>
      <c r="M36" s="8">
        <f t="shared" si="25"/>
        <v>3.90625</v>
      </c>
      <c r="N36" s="11">
        <f t="shared" si="26"/>
        <v>3.90625</v>
      </c>
    </row>
    <row r="37" spans="1:18" x14ac:dyDescent="0.2">
      <c r="A37" s="3" t="s">
        <v>7</v>
      </c>
      <c r="B37" s="16" t="s">
        <v>9</v>
      </c>
      <c r="C37" s="16" t="s">
        <v>7</v>
      </c>
      <c r="D37" s="2">
        <f>100%-52.17%</f>
        <v>0.47829999999999995</v>
      </c>
      <c r="E37" s="16">
        <v>-195</v>
      </c>
      <c r="F37" s="16">
        <v>140</v>
      </c>
      <c r="G37" s="2">
        <f t="shared" ref="G37:G39" si="27">IF(E37&lt;0,D37,1-D37)</f>
        <v>0.47829999999999995</v>
      </c>
      <c r="H37" s="17">
        <f t="shared" si="21"/>
        <v>-27.641794871794872</v>
      </c>
      <c r="I37" s="17">
        <f t="shared" si="22"/>
        <v>25.207999999999998</v>
      </c>
      <c r="J37" s="16" t="s">
        <v>7</v>
      </c>
      <c r="K37" s="16" t="str">
        <f t="shared" si="23"/>
        <v>Y</v>
      </c>
      <c r="L37" s="8">
        <v>140</v>
      </c>
      <c r="M37" s="8">
        <f t="shared" si="25"/>
        <v>0</v>
      </c>
      <c r="N37" s="11">
        <f t="shared" si="26"/>
        <v>140</v>
      </c>
    </row>
    <row r="38" spans="1:18" x14ac:dyDescent="0.2">
      <c r="A38" s="3" t="s">
        <v>41</v>
      </c>
      <c r="B38" s="16" t="s">
        <v>17</v>
      </c>
      <c r="C38" s="16" t="s">
        <v>41</v>
      </c>
      <c r="D38" s="2">
        <v>0.81610000000000005</v>
      </c>
      <c r="E38" s="16">
        <v>-785</v>
      </c>
      <c r="F38" s="16">
        <v>445</v>
      </c>
      <c r="G38" s="2">
        <f t="shared" si="27"/>
        <v>0.81610000000000005</v>
      </c>
      <c r="H38" s="17">
        <f t="shared" si="21"/>
        <v>-7.9938216560509492</v>
      </c>
      <c r="I38" s="17">
        <f t="shared" si="22"/>
        <v>0.22549999999996828</v>
      </c>
      <c r="J38" s="16" t="s">
        <v>41</v>
      </c>
      <c r="K38" s="16" t="str">
        <f t="shared" si="23"/>
        <v>Y</v>
      </c>
      <c r="L38" s="8"/>
      <c r="M38" s="8">
        <f t="shared" si="25"/>
        <v>12.738853503184714</v>
      </c>
      <c r="N38" s="11">
        <f t="shared" si="26"/>
        <v>12.738853503184714</v>
      </c>
    </row>
    <row r="39" spans="1:18" ht="17" thickBot="1" x14ac:dyDescent="0.25">
      <c r="A39" s="20" t="s">
        <v>42</v>
      </c>
      <c r="B39" s="21" t="s">
        <v>15</v>
      </c>
      <c r="C39" s="21" t="s">
        <v>42</v>
      </c>
      <c r="D39" s="22">
        <v>0.66210000000000002</v>
      </c>
      <c r="E39" s="21">
        <v>-330</v>
      </c>
      <c r="F39" s="21">
        <v>225</v>
      </c>
      <c r="G39" s="22">
        <f t="shared" si="27"/>
        <v>0.66210000000000002</v>
      </c>
      <c r="H39" s="23">
        <f t="shared" si="21"/>
        <v>-13.726363636363633</v>
      </c>
      <c r="I39" s="23">
        <f t="shared" si="22"/>
        <v>9.8174999999999955</v>
      </c>
      <c r="J39" s="21" t="s">
        <v>42</v>
      </c>
      <c r="K39" s="21" t="str">
        <f t="shared" si="23"/>
        <v>Y</v>
      </c>
      <c r="L39" s="24"/>
      <c r="M39" s="24">
        <f t="shared" si="25"/>
        <v>30.303030303030305</v>
      </c>
      <c r="N39" s="25">
        <f t="shared" si="26"/>
        <v>30.303030303030305</v>
      </c>
    </row>
    <row r="40" spans="1:18" x14ac:dyDescent="0.2">
      <c r="A40" s="4" t="s">
        <v>38</v>
      </c>
      <c r="B40" s="5" t="s">
        <v>11</v>
      </c>
      <c r="C40" s="5" t="s">
        <v>38</v>
      </c>
      <c r="D40" s="6">
        <v>0.66779999999999995</v>
      </c>
      <c r="E40" s="5">
        <v>-615</v>
      </c>
      <c r="F40" s="5">
        <v>370</v>
      </c>
      <c r="G40" s="6">
        <f>IF(E40&lt;0,D40,1-D40)</f>
        <v>0.66779999999999995</v>
      </c>
      <c r="H40" s="7">
        <f t="shared" ref="H40:H45" si="28">G40*100*100/-E40+(1-G40)*-100</f>
        <v>-22.361463414634152</v>
      </c>
      <c r="I40" s="7">
        <f t="shared" ref="I40:I45" si="29">(1-G40)*100*F40/100+G40*-100</f>
        <v>56.134000000000015</v>
      </c>
      <c r="J40" s="5" t="s">
        <v>38</v>
      </c>
      <c r="K40" s="5" t="str">
        <f t="shared" ref="K40:K45" si="30">IF(C40=J40,"Y","N")</f>
        <v>Y</v>
      </c>
      <c r="L40" s="18">
        <v>-100</v>
      </c>
      <c r="M40" s="18">
        <f>IF(D40&gt;0.65, IF(K40="Y",100^2/-E40, -100), 0)</f>
        <v>16.260162601626018</v>
      </c>
      <c r="N40" s="19">
        <f>IF(K40="Y",IF(D40&gt;0.5,100^2/-E40,F40),-100)</f>
        <v>16.260162601626018</v>
      </c>
    </row>
    <row r="41" spans="1:18" x14ac:dyDescent="0.2">
      <c r="A41" s="3" t="s">
        <v>40</v>
      </c>
      <c r="B41" s="16" t="s">
        <v>5</v>
      </c>
      <c r="C41" s="16" t="s">
        <v>5</v>
      </c>
      <c r="D41" s="2">
        <v>0.50149999999999995</v>
      </c>
      <c r="E41" s="16">
        <v>-175</v>
      </c>
      <c r="F41" s="16">
        <v>125</v>
      </c>
      <c r="G41" s="2">
        <f t="shared" ref="G41:G43" si="31">IF(E41&lt;0,D41,1-D41)</f>
        <v>0.50149999999999995</v>
      </c>
      <c r="H41" s="17">
        <f t="shared" si="28"/>
        <v>-21.192857142857157</v>
      </c>
      <c r="I41" s="17">
        <f t="shared" si="29"/>
        <v>12.162500000000016</v>
      </c>
      <c r="J41" s="12" t="s">
        <v>40</v>
      </c>
      <c r="K41" s="16" t="str">
        <f t="shared" si="30"/>
        <v>N</v>
      </c>
      <c r="L41" s="8"/>
      <c r="M41" s="8">
        <f t="shared" ref="M41:M45" si="32">IF(D41&gt;0.65, IF(K41="Y",100^2/-E41, -100), 0)</f>
        <v>0</v>
      </c>
      <c r="N41" s="11">
        <f t="shared" ref="N41:N45" si="33">IF(K41="Y",IF(D41&gt;0.5,100^2/-E41,F41),-100)</f>
        <v>-100</v>
      </c>
    </row>
    <row r="42" spans="1:18" x14ac:dyDescent="0.2">
      <c r="A42" s="3" t="s">
        <v>8</v>
      </c>
      <c r="B42" s="16" t="s">
        <v>30</v>
      </c>
      <c r="C42" s="16" t="s">
        <v>8</v>
      </c>
      <c r="D42" s="2">
        <v>0.61270000000000002</v>
      </c>
      <c r="E42" s="16">
        <v>-270</v>
      </c>
      <c r="F42" s="16">
        <v>190</v>
      </c>
      <c r="G42" s="2">
        <f t="shared" si="31"/>
        <v>0.61270000000000002</v>
      </c>
      <c r="H42" s="17">
        <f t="shared" si="28"/>
        <v>-16.037407407407404</v>
      </c>
      <c r="I42" s="17">
        <f t="shared" si="29"/>
        <v>12.317</v>
      </c>
      <c r="J42" s="12" t="s">
        <v>8</v>
      </c>
      <c r="K42" s="16" t="str">
        <f t="shared" si="30"/>
        <v>Y</v>
      </c>
      <c r="L42" s="8"/>
      <c r="M42" s="8">
        <f t="shared" si="32"/>
        <v>0</v>
      </c>
      <c r="N42" s="11">
        <f t="shared" si="33"/>
        <v>37.037037037037038</v>
      </c>
    </row>
    <row r="43" spans="1:18" x14ac:dyDescent="0.2">
      <c r="A43" s="3" t="s">
        <v>14</v>
      </c>
      <c r="B43" s="16" t="s">
        <v>28</v>
      </c>
      <c r="C43" s="16" t="s">
        <v>14</v>
      </c>
      <c r="D43" s="2">
        <v>0.65820000000000001</v>
      </c>
      <c r="E43" s="16">
        <v>-755</v>
      </c>
      <c r="F43" s="16">
        <v>430</v>
      </c>
      <c r="G43" s="2">
        <f t="shared" si="31"/>
        <v>0.65820000000000001</v>
      </c>
      <c r="H43" s="17">
        <f t="shared" si="28"/>
        <v>-25.462119205298009</v>
      </c>
      <c r="I43" s="17">
        <f t="shared" si="29"/>
        <v>81.153999999999982</v>
      </c>
      <c r="J43" s="12" t="s">
        <v>14</v>
      </c>
      <c r="K43" s="16" t="str">
        <f t="shared" si="30"/>
        <v>Y</v>
      </c>
      <c r="L43" s="8">
        <v>-100</v>
      </c>
      <c r="M43" s="8">
        <f t="shared" si="32"/>
        <v>13.245033112582782</v>
      </c>
      <c r="N43" s="11">
        <f t="shared" si="33"/>
        <v>13.245033112582782</v>
      </c>
    </row>
    <row r="44" spans="1:18" x14ac:dyDescent="0.2">
      <c r="A44" s="3" t="s">
        <v>35</v>
      </c>
      <c r="B44" s="16" t="s">
        <v>21</v>
      </c>
      <c r="C44" s="16" t="s">
        <v>35</v>
      </c>
      <c r="D44" s="2">
        <v>0.81779999999999997</v>
      </c>
      <c r="E44" s="16">
        <v>-2770</v>
      </c>
      <c r="F44" s="16">
        <v>860</v>
      </c>
      <c r="G44" s="2">
        <f>IF(E44&lt;0,D44,1-D44)</f>
        <v>0.81779999999999997</v>
      </c>
      <c r="H44" s="17">
        <f t="shared" si="28"/>
        <v>-15.267653429602891</v>
      </c>
      <c r="I44" s="17">
        <f t="shared" si="29"/>
        <v>74.912000000000035</v>
      </c>
      <c r="J44" s="16" t="s">
        <v>21</v>
      </c>
      <c r="K44" s="16" t="str">
        <f t="shared" si="30"/>
        <v>N</v>
      </c>
      <c r="L44" s="8">
        <v>860</v>
      </c>
      <c r="M44" s="8">
        <f t="shared" si="32"/>
        <v>-100</v>
      </c>
      <c r="N44" s="11">
        <f t="shared" si="33"/>
        <v>-100</v>
      </c>
      <c r="R44">
        <f>25/32</f>
        <v>0.78125</v>
      </c>
    </row>
    <row r="45" spans="1:18" ht="17" thickBot="1" x14ac:dyDescent="0.25">
      <c r="A45" s="20" t="s">
        <v>16</v>
      </c>
      <c r="B45" s="21" t="s">
        <v>31</v>
      </c>
      <c r="C45" s="21" t="s">
        <v>16</v>
      </c>
      <c r="D45" s="22">
        <v>0.59160000000000001</v>
      </c>
      <c r="E45" s="21">
        <v>-165</v>
      </c>
      <c r="F45" s="21">
        <v>125</v>
      </c>
      <c r="G45" s="22">
        <f t="shared" ref="G45" si="34">IF(E45&lt;0,D45,1-D45)</f>
        <v>0.59160000000000001</v>
      </c>
      <c r="H45" s="23">
        <f t="shared" si="28"/>
        <v>-4.9854545454545445</v>
      </c>
      <c r="I45" s="23">
        <f t="shared" si="29"/>
        <v>-8.1100000000000136</v>
      </c>
      <c r="J45" s="21" t="s">
        <v>16</v>
      </c>
      <c r="K45" s="21" t="str">
        <f t="shared" si="30"/>
        <v>Y</v>
      </c>
      <c r="L45" s="24"/>
      <c r="M45" s="24">
        <f t="shared" si="32"/>
        <v>0</v>
      </c>
      <c r="N45" s="25">
        <f t="shared" si="33"/>
        <v>60.606060606060609</v>
      </c>
    </row>
    <row r="46" spans="1:18" x14ac:dyDescent="0.2">
      <c r="A46" s="4" t="s">
        <v>36</v>
      </c>
      <c r="B46" s="5" t="s">
        <v>29</v>
      </c>
      <c r="C46" s="5" t="s">
        <v>36</v>
      </c>
      <c r="D46" s="6">
        <v>0.77859999999999996</v>
      </c>
      <c r="E46" s="5">
        <v>-440</v>
      </c>
      <c r="F46" s="5">
        <v>340</v>
      </c>
      <c r="G46" s="6">
        <f>IF(E46&lt;0,D46,1-D46)</f>
        <v>0.77859999999999996</v>
      </c>
      <c r="H46" s="7">
        <f>G46*100*100/-E46+(1-G46)*-100</f>
        <v>-4.4445454545454588</v>
      </c>
      <c r="I46" s="7">
        <f>(1-G46)*100*F46/100+G46*-100</f>
        <v>-2.583999999999989</v>
      </c>
      <c r="J46" s="5" t="s">
        <v>36</v>
      </c>
      <c r="K46" s="5" t="str">
        <f t="shared" ref="K46:K57" si="35">IF(C46=J46,"Y","N")</f>
        <v>Y</v>
      </c>
      <c r="L46" s="18"/>
      <c r="M46" s="18">
        <f>IF(D46&gt;0.65, IF(K46="Y",100^2/-E46, -100), 0)</f>
        <v>22.727272727272727</v>
      </c>
      <c r="N46" s="19">
        <f>IF(K46="Y",IF(D46&gt;0.5,100^2/-E46,F46),-100)</f>
        <v>22.727272727272727</v>
      </c>
    </row>
    <row r="47" spans="1:18" x14ac:dyDescent="0.2">
      <c r="A47" s="3" t="s">
        <v>12</v>
      </c>
      <c r="B47" s="16" t="s">
        <v>37</v>
      </c>
      <c r="C47" s="12" t="s">
        <v>12</v>
      </c>
      <c r="D47" s="2">
        <v>0.50729999999999997</v>
      </c>
      <c r="E47" s="12">
        <v>-166</v>
      </c>
      <c r="F47" s="12">
        <v>140</v>
      </c>
      <c r="G47" s="2">
        <f>IF(E47&lt;0,D47,1-D47)</f>
        <v>0.50729999999999997</v>
      </c>
      <c r="H47" s="17">
        <f>G47*100*100/-E47+(1-G47)*-100</f>
        <v>-18.709759036144582</v>
      </c>
      <c r="I47" s="17">
        <f>(1-G47)*100*F47/100+G47*-100</f>
        <v>18.248000000000012</v>
      </c>
      <c r="J47" s="12" t="s">
        <v>12</v>
      </c>
      <c r="K47" s="16" t="str">
        <f t="shared" si="35"/>
        <v>Y</v>
      </c>
      <c r="L47" s="8">
        <v>-100</v>
      </c>
      <c r="M47" s="8">
        <f>IF(D47&gt;0.65, IF(K47="Y",100^2/-E47, -100), 0)</f>
        <v>0</v>
      </c>
      <c r="N47" s="11">
        <f>IF(K47="Y",IF(D47&gt;0.5,100^2/-E47,F47),-100)</f>
        <v>60.24096385542169</v>
      </c>
    </row>
    <row r="48" spans="1:18" x14ac:dyDescent="0.2">
      <c r="A48" s="3" t="s">
        <v>34</v>
      </c>
      <c r="B48" s="16" t="s">
        <v>40</v>
      </c>
      <c r="C48" s="12" t="s">
        <v>40</v>
      </c>
      <c r="D48" s="2">
        <v>0.59440000000000004</v>
      </c>
      <c r="E48" s="12">
        <v>-110</v>
      </c>
      <c r="F48" s="16">
        <f>100^2/110</f>
        <v>90.909090909090907</v>
      </c>
      <c r="G48" s="2">
        <f t="shared" ref="G48:G49" si="36">IF(E48&lt;0,D48,1-D48)</f>
        <v>0.59440000000000004</v>
      </c>
      <c r="H48" s="17">
        <f t="shared" ref="H48:H57" si="37">G48*100*100/-E48+(1-G48)*-100</f>
        <v>13.476363636363651</v>
      </c>
      <c r="I48" s="17">
        <f t="shared" ref="I48:I57" si="38">(1-G48)*100*F48/100+G48*-100</f>
        <v>-22.567272727272737</v>
      </c>
      <c r="J48" s="12" t="s">
        <v>34</v>
      </c>
      <c r="K48" s="16" t="str">
        <f t="shared" si="35"/>
        <v>N</v>
      </c>
      <c r="L48" s="8"/>
      <c r="M48" s="8">
        <f t="shared" ref="M48:M57" si="39">IF(D48&gt;0.65, IF(K48="Y",100^2/-E48, -100), 0)</f>
        <v>0</v>
      </c>
      <c r="N48" s="11">
        <f t="shared" ref="N48:N57" si="40">IF(K48="Y",IF(D48&gt;0.5,100^2/-E48,F48),-100)</f>
        <v>-100</v>
      </c>
    </row>
    <row r="49" spans="1:18" x14ac:dyDescent="0.2">
      <c r="A49" s="3" t="s">
        <v>10</v>
      </c>
      <c r="B49" s="16" t="s">
        <v>8</v>
      </c>
      <c r="C49" s="12" t="s">
        <v>10</v>
      </c>
      <c r="D49" s="2">
        <v>0.74980000000000002</v>
      </c>
      <c r="E49" s="12">
        <v>-265</v>
      </c>
      <c r="F49" s="16">
        <v>215</v>
      </c>
      <c r="G49" s="2">
        <f t="shared" si="36"/>
        <v>0.74980000000000002</v>
      </c>
      <c r="H49" s="17">
        <f t="shared" si="37"/>
        <v>3.2743396226415129</v>
      </c>
      <c r="I49" s="17">
        <f t="shared" si="38"/>
        <v>-21.187000000000012</v>
      </c>
      <c r="J49" s="12" t="s">
        <v>8</v>
      </c>
      <c r="K49" s="16" t="str">
        <f t="shared" si="35"/>
        <v>N</v>
      </c>
      <c r="L49" s="8"/>
      <c r="M49" s="8">
        <f t="shared" si="39"/>
        <v>-100</v>
      </c>
      <c r="N49" s="11">
        <f t="shared" si="40"/>
        <v>-100</v>
      </c>
    </row>
    <row r="50" spans="1:18" x14ac:dyDescent="0.2">
      <c r="A50" s="3" t="s">
        <v>39</v>
      </c>
      <c r="B50" s="16" t="s">
        <v>30</v>
      </c>
      <c r="C50" s="12" t="s">
        <v>39</v>
      </c>
      <c r="D50" s="2">
        <v>0.66180000000000005</v>
      </c>
      <c r="E50" s="12">
        <v>-205</v>
      </c>
      <c r="F50" s="16">
        <v>170</v>
      </c>
      <c r="G50" s="2">
        <f>IF(E50&lt;0,D50,1-D50)</f>
        <v>0.66180000000000005</v>
      </c>
      <c r="H50" s="17">
        <f t="shared" si="37"/>
        <v>-1.5370731707316949</v>
      </c>
      <c r="I50" s="17">
        <f t="shared" si="38"/>
        <v>-8.6860000000000213</v>
      </c>
      <c r="J50" s="12" t="s">
        <v>39</v>
      </c>
      <c r="K50" s="16" t="str">
        <f t="shared" si="35"/>
        <v>Y</v>
      </c>
      <c r="L50" s="8"/>
      <c r="M50" s="8">
        <f t="shared" si="39"/>
        <v>48.780487804878049</v>
      </c>
      <c r="N50" s="11">
        <f t="shared" si="40"/>
        <v>48.780487804878049</v>
      </c>
    </row>
    <row r="51" spans="1:18" x14ac:dyDescent="0.2">
      <c r="A51" s="3" t="s">
        <v>14</v>
      </c>
      <c r="B51" s="16" t="s">
        <v>33</v>
      </c>
      <c r="C51" s="12" t="s">
        <v>33</v>
      </c>
      <c r="D51" s="2">
        <v>0.59530000000000005</v>
      </c>
      <c r="E51" s="12">
        <v>-115</v>
      </c>
      <c r="F51" s="16">
        <f>100^2/105</f>
        <v>95.238095238095241</v>
      </c>
      <c r="G51" s="2">
        <f t="shared" ref="G51:G57" si="41">IF(E51&lt;0,D51,1-D51)</f>
        <v>0.59530000000000005</v>
      </c>
      <c r="H51" s="17">
        <f t="shared" si="37"/>
        <v>11.295217391304362</v>
      </c>
      <c r="I51" s="17">
        <f t="shared" si="38"/>
        <v>-20.987142857142871</v>
      </c>
      <c r="J51" s="12" t="s">
        <v>33</v>
      </c>
      <c r="K51" s="16" t="str">
        <f t="shared" si="35"/>
        <v>Y</v>
      </c>
      <c r="L51" s="8"/>
      <c r="M51" s="8">
        <f t="shared" si="39"/>
        <v>0</v>
      </c>
      <c r="N51" s="11">
        <f t="shared" si="40"/>
        <v>86.956521739130437</v>
      </c>
    </row>
    <row r="52" spans="1:18" x14ac:dyDescent="0.2">
      <c r="A52" s="3" t="s">
        <v>9</v>
      </c>
      <c r="B52" s="16" t="s">
        <v>17</v>
      </c>
      <c r="C52" s="12" t="s">
        <v>9</v>
      </c>
      <c r="D52" s="2">
        <v>0.80259999999999998</v>
      </c>
      <c r="E52" s="12">
        <v>-650</v>
      </c>
      <c r="F52" s="16">
        <v>470</v>
      </c>
      <c r="G52" s="2">
        <f t="shared" si="41"/>
        <v>0.80259999999999998</v>
      </c>
      <c r="H52" s="17">
        <f t="shared" si="37"/>
        <v>-7.3923076923076962</v>
      </c>
      <c r="I52" s="17">
        <f t="shared" si="38"/>
        <v>12.518000000000015</v>
      </c>
      <c r="J52" s="12" t="s">
        <v>9</v>
      </c>
      <c r="K52" s="16" t="str">
        <f t="shared" si="35"/>
        <v>Y</v>
      </c>
      <c r="L52" s="8"/>
      <c r="M52" s="8">
        <f t="shared" si="39"/>
        <v>15.384615384615385</v>
      </c>
      <c r="N52" s="11">
        <f t="shared" si="40"/>
        <v>15.384615384615385</v>
      </c>
    </row>
    <row r="53" spans="1:18" x14ac:dyDescent="0.2">
      <c r="A53" s="3" t="s">
        <v>32</v>
      </c>
      <c r="B53" s="16" t="s">
        <v>11</v>
      </c>
      <c r="C53" s="12" t="s">
        <v>32</v>
      </c>
      <c r="D53" s="2">
        <v>0.66579999999999995</v>
      </c>
      <c r="E53" s="12">
        <v>-410</v>
      </c>
      <c r="F53" s="16">
        <v>320</v>
      </c>
      <c r="G53" s="2">
        <f t="shared" si="41"/>
        <v>0.66579999999999995</v>
      </c>
      <c r="H53" s="17">
        <f t="shared" si="37"/>
        <v>-17.1809756097561</v>
      </c>
      <c r="I53" s="17">
        <f t="shared" si="38"/>
        <v>40.364000000000019</v>
      </c>
      <c r="J53" s="12" t="s">
        <v>32</v>
      </c>
      <c r="K53" s="16" t="str">
        <f t="shared" si="35"/>
        <v>Y</v>
      </c>
      <c r="L53" s="8">
        <v>-100</v>
      </c>
      <c r="M53" s="8">
        <f t="shared" si="39"/>
        <v>24.390243902439025</v>
      </c>
      <c r="N53" s="11">
        <f t="shared" si="40"/>
        <v>24.390243902439025</v>
      </c>
    </row>
    <row r="54" spans="1:18" x14ac:dyDescent="0.2">
      <c r="A54" s="3" t="s">
        <v>41</v>
      </c>
      <c r="B54" s="16" t="s">
        <v>42</v>
      </c>
      <c r="C54" s="12" t="s">
        <v>41</v>
      </c>
      <c r="D54" s="2">
        <v>0.56950000000000001</v>
      </c>
      <c r="E54" s="12">
        <v>-162</v>
      </c>
      <c r="F54" s="16">
        <v>136</v>
      </c>
      <c r="G54" s="2">
        <f t="shared" si="41"/>
        <v>0.56950000000000001</v>
      </c>
      <c r="H54" s="17">
        <f t="shared" si="37"/>
        <v>-7.8956790123456742</v>
      </c>
      <c r="I54" s="17">
        <f t="shared" si="38"/>
        <v>1.5979999999999919</v>
      </c>
      <c r="J54" s="12" t="s">
        <v>42</v>
      </c>
      <c r="K54" s="16" t="str">
        <f t="shared" si="35"/>
        <v>N</v>
      </c>
      <c r="L54" s="8"/>
      <c r="M54" s="8">
        <f t="shared" si="39"/>
        <v>0</v>
      </c>
      <c r="N54" s="11">
        <f t="shared" si="40"/>
        <v>-100</v>
      </c>
    </row>
    <row r="55" spans="1:18" x14ac:dyDescent="0.2">
      <c r="A55" s="3" t="s">
        <v>7</v>
      </c>
      <c r="B55" s="16" t="s">
        <v>6</v>
      </c>
      <c r="C55" s="12" t="s">
        <v>7</v>
      </c>
      <c r="D55" s="2">
        <v>0.78239999999999998</v>
      </c>
      <c r="E55" s="12">
        <v>-380</v>
      </c>
      <c r="F55" s="16">
        <v>300</v>
      </c>
      <c r="G55" s="2">
        <f t="shared" si="41"/>
        <v>0.78239999999999998</v>
      </c>
      <c r="H55" s="17">
        <f t="shared" si="37"/>
        <v>-1.170526315789477</v>
      </c>
      <c r="I55" s="17">
        <f t="shared" si="38"/>
        <v>-12.95999999999998</v>
      </c>
      <c r="J55" s="12" t="s">
        <v>7</v>
      </c>
      <c r="K55" s="16" t="str">
        <f t="shared" si="35"/>
        <v>Y</v>
      </c>
      <c r="L55" s="8"/>
      <c r="M55" s="8">
        <f t="shared" si="39"/>
        <v>26.315789473684209</v>
      </c>
      <c r="N55" s="11">
        <f t="shared" si="40"/>
        <v>26.315789473684209</v>
      </c>
    </row>
    <row r="56" spans="1:18" x14ac:dyDescent="0.2">
      <c r="A56" s="3" t="s">
        <v>35</v>
      </c>
      <c r="B56" s="16" t="s">
        <v>31</v>
      </c>
      <c r="C56" s="12" t="s">
        <v>35</v>
      </c>
      <c r="D56" s="2">
        <v>0.60609999999999997</v>
      </c>
      <c r="E56" s="12">
        <v>-192</v>
      </c>
      <c r="F56" s="16">
        <v>160</v>
      </c>
      <c r="G56" s="2">
        <f t="shared" si="41"/>
        <v>0.60609999999999997</v>
      </c>
      <c r="H56" s="17">
        <f t="shared" si="37"/>
        <v>-7.8222916666666684</v>
      </c>
      <c r="I56" s="17">
        <f t="shared" si="38"/>
        <v>2.4139999999999944</v>
      </c>
      <c r="J56" s="12" t="s">
        <v>35</v>
      </c>
      <c r="K56" s="16" t="str">
        <f t="shared" si="35"/>
        <v>Y</v>
      </c>
      <c r="L56" s="8"/>
      <c r="M56" s="8">
        <f t="shared" si="39"/>
        <v>0</v>
      </c>
      <c r="N56" s="11">
        <f t="shared" si="40"/>
        <v>52.083333333333336</v>
      </c>
      <c r="R56" t="s">
        <v>45</v>
      </c>
    </row>
    <row r="57" spans="1:18" ht="17" thickBot="1" x14ac:dyDescent="0.25">
      <c r="A57" s="20" t="s">
        <v>19</v>
      </c>
      <c r="B57" s="21" t="s">
        <v>15</v>
      </c>
      <c r="C57" s="26" t="s">
        <v>19</v>
      </c>
      <c r="D57" s="22">
        <v>0.58199999999999996</v>
      </c>
      <c r="E57" s="26">
        <v>-218</v>
      </c>
      <c r="F57" s="21">
        <v>180</v>
      </c>
      <c r="G57" s="22">
        <f t="shared" si="41"/>
        <v>0.58199999999999996</v>
      </c>
      <c r="H57" s="23">
        <f t="shared" si="37"/>
        <v>-15.102752293577986</v>
      </c>
      <c r="I57" s="23">
        <f t="shared" si="38"/>
        <v>17.040000000000013</v>
      </c>
      <c r="J57" s="26" t="s">
        <v>15</v>
      </c>
      <c r="K57" s="21" t="str">
        <f t="shared" si="35"/>
        <v>N</v>
      </c>
      <c r="L57" s="24">
        <v>180</v>
      </c>
      <c r="M57" s="24">
        <f t="shared" si="39"/>
        <v>0</v>
      </c>
      <c r="N57" s="25">
        <f t="shared" si="40"/>
        <v>-100</v>
      </c>
    </row>
    <row r="58" spans="1:18" x14ac:dyDescent="0.2">
      <c r="A58" s="4" t="s">
        <v>28</v>
      </c>
      <c r="B58" s="5" t="s">
        <v>37</v>
      </c>
      <c r="C58" s="5" t="s">
        <v>37</v>
      </c>
      <c r="D58" s="6">
        <v>0.80359999999999998</v>
      </c>
      <c r="E58" s="5">
        <v>-520</v>
      </c>
      <c r="F58" s="5">
        <v>390</v>
      </c>
      <c r="G58" s="6">
        <f>IF(E58&lt;0,D58,1-D58)</f>
        <v>0.80359999999999998</v>
      </c>
      <c r="H58" s="7">
        <f>G58*100*100/-E58+(1-G58)*-100</f>
        <v>-4.1861538461538466</v>
      </c>
      <c r="I58" s="7">
        <f>(1-G58)*100*F58/100+G58*-100</f>
        <v>-3.7639999999999958</v>
      </c>
      <c r="J58" s="5"/>
      <c r="K58" s="5" t="str">
        <f t="shared" ref="K58:K59" si="42">IF(C58=J58,"Y","N")</f>
        <v>N</v>
      </c>
      <c r="L58" s="18"/>
      <c r="M58" s="18">
        <f>IF(D58&gt;0.65, IF(K58="Y",100^2/-E58, -100), 0)</f>
        <v>-100</v>
      </c>
      <c r="N58" s="19">
        <f>IF(K58="Y",IF(D58&gt;0.5,100^2/-E58,F58),-100)</f>
        <v>-100</v>
      </c>
    </row>
    <row r="59" spans="1:18" ht="17" thickBot="1" x14ac:dyDescent="0.25">
      <c r="A59" s="20" t="s">
        <v>16</v>
      </c>
      <c r="B59" s="21" t="s">
        <v>13</v>
      </c>
      <c r="C59" s="26" t="s">
        <v>13</v>
      </c>
      <c r="D59" s="22">
        <v>0.52800000000000002</v>
      </c>
      <c r="E59" s="26">
        <v>-162</v>
      </c>
      <c r="F59" s="26">
        <v>136</v>
      </c>
      <c r="G59" s="22">
        <f>IF(E59&lt;0,D59,1-D59)</f>
        <v>0.52800000000000002</v>
      </c>
      <c r="H59" s="23">
        <f>G59*100*100/-E59+(1-G59)*-100</f>
        <v>-14.607407407407401</v>
      </c>
      <c r="I59" s="23">
        <f>(1-G59)*100*F59/100+G59*-100</f>
        <v>11.391999999999989</v>
      </c>
      <c r="J59" s="26"/>
      <c r="K59" s="21" t="str">
        <f t="shared" si="42"/>
        <v>N</v>
      </c>
      <c r="L59" s="24">
        <v>-100</v>
      </c>
      <c r="M59" s="24">
        <f>IF(D59&gt;0.65, IF(K59="Y",100^2/-E59, -100), 0)</f>
        <v>0</v>
      </c>
      <c r="N59" s="25">
        <f>IF(K59="Y",IF(D59&gt;0.5,100^2/-E59,F59),-100)</f>
        <v>-100</v>
      </c>
    </row>
  </sheetData>
  <conditionalFormatting sqref="D10:D19">
    <cfRule type="colorScale" priority="25">
      <colorScale>
        <cfvo type="num" val="0.5"/>
        <cfvo type="num" val="1"/>
        <color rgb="FFFCFCFF"/>
        <color rgb="FF63BE7B"/>
      </colorScale>
    </cfRule>
  </conditionalFormatting>
  <conditionalFormatting sqref="D20:D25">
    <cfRule type="colorScale" priority="21">
      <colorScale>
        <cfvo type="num" val="0.5"/>
        <cfvo type="num" val="1"/>
        <color rgb="FFFCFCFF"/>
        <color rgb="FF63BE7B"/>
      </colorScale>
    </cfRule>
  </conditionalFormatting>
  <conditionalFormatting sqref="D26:D31">
    <cfRule type="colorScale" priority="17">
      <colorScale>
        <cfvo type="num" val="0.5"/>
        <cfvo type="num" val="1"/>
        <color rgb="FFFCFCFF"/>
        <color rgb="FF63BE7B"/>
      </colorScale>
    </cfRule>
  </conditionalFormatting>
  <conditionalFormatting sqref="D32:D39">
    <cfRule type="colorScale" priority="13">
      <colorScale>
        <cfvo type="num" val="0.5"/>
        <cfvo type="num" val="1"/>
        <color rgb="FFFCFCFF"/>
        <color rgb="FF63BE7B"/>
      </colorScale>
    </cfRule>
  </conditionalFormatting>
  <conditionalFormatting sqref="D40:D45">
    <cfRule type="colorScale" priority="9">
      <colorScale>
        <cfvo type="num" val="0.5"/>
        <cfvo type="num" val="1"/>
        <color rgb="FFFCFCFF"/>
        <color rgb="FF63BE7B"/>
      </colorScale>
    </cfRule>
  </conditionalFormatting>
  <conditionalFormatting sqref="H2:I9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:I19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:I2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6:I31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2:I3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0:I45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9">
    <cfRule type="containsText" dxfId="7" priority="30" operator="containsText" text="Y">
      <formula>NOT(ISERROR(SEARCH("Y",K2)))</formula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K19">
    <cfRule type="containsText" dxfId="6" priority="27" operator="containsText" text="Y">
      <formula>NOT(ISERROR(SEARCH("Y",K10)))</formula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:K25">
    <cfRule type="containsText" dxfId="5" priority="37" operator="containsText" text="Y">
      <formula>NOT(ISERROR(SEARCH("Y",K20)))</formula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K31">
    <cfRule type="containsText" dxfId="4" priority="19" operator="containsText" text="Y">
      <formula>NOT(ISERROR(SEARCH("Y",K26)))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:K39">
    <cfRule type="containsText" dxfId="3" priority="15" operator="containsText" text="Y">
      <formula>NOT(ISERROR(SEARCH("Y",K32)))</formula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:K45">
    <cfRule type="containsText" dxfId="2" priority="40" operator="containsText" text="Y">
      <formula>NOT(ISERROR(SEARCH("Y",K40)))</formula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6:D57">
    <cfRule type="colorScale" priority="5">
      <colorScale>
        <cfvo type="num" val="0.5"/>
        <cfvo type="num" val="1"/>
        <color rgb="FFFCFCFF"/>
        <color rgb="FF63BE7B"/>
      </colorScale>
    </cfRule>
  </conditionalFormatting>
  <conditionalFormatting sqref="H46:I5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6:K57">
    <cfRule type="containsText" dxfId="1" priority="7" operator="containsText" text="Y">
      <formula>NOT(ISERROR(SEARCH("Y",K46)))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D59">
    <cfRule type="colorScale" priority="1">
      <colorScale>
        <cfvo type="num" val="0.5"/>
        <cfvo type="num" val="1"/>
        <color rgb="FFFCFCFF"/>
        <color rgb="FF63BE7B"/>
      </colorScale>
    </cfRule>
  </conditionalFormatting>
  <conditionalFormatting sqref="H58:I5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8:K59">
    <cfRule type="containsText" dxfId="0" priority="3" operator="containsText" text="Y">
      <formula>NOT(ISERROR(SEARCH("Y",K58)))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Rex, Atticus</dc:creator>
  <cp:lastModifiedBy>Rex, Atticus</cp:lastModifiedBy>
  <dcterms:created xsi:type="dcterms:W3CDTF">2023-12-28T13:41:26Z</dcterms:created>
  <dcterms:modified xsi:type="dcterms:W3CDTF">2024-01-04T20:01:23Z</dcterms:modified>
</cp:coreProperties>
</file>