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NBADataScience/"/>
    </mc:Choice>
  </mc:AlternateContent>
  <xr:revisionPtr revIDLastSave="0" documentId="13_ncr:1_{6B178EE6-5294-6143-A825-16D2DB641D07}" xr6:coauthVersionLast="47" xr6:coauthVersionMax="47" xr10:uidLastSave="{00000000-0000-0000-0000-000000000000}"/>
  <bookViews>
    <workbookView xWindow="0" yWindow="500" windowWidth="28800" windowHeight="16140" xr2:uid="{0B0A54B6-9E21-F749-A70B-9633D2A51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5" i="1"/>
  <c r="M55" i="1"/>
  <c r="K54" i="1"/>
  <c r="M54" i="1" s="1"/>
  <c r="G54" i="1"/>
  <c r="I54" i="1" s="1"/>
  <c r="K53" i="1"/>
  <c r="M53" i="1" s="1"/>
  <c r="G53" i="1"/>
  <c r="I53" i="1" s="1"/>
  <c r="K52" i="1"/>
  <c r="N52" i="1" s="1"/>
  <c r="G52" i="1"/>
  <c r="H52" i="1" s="1"/>
  <c r="M51" i="1"/>
  <c r="K51" i="1"/>
  <c r="N51" i="1" s="1"/>
  <c r="G51" i="1"/>
  <c r="H51" i="1" s="1"/>
  <c r="K50" i="1"/>
  <c r="N50" i="1" s="1"/>
  <c r="G50" i="1"/>
  <c r="H50" i="1" s="1"/>
  <c r="N46" i="1"/>
  <c r="N47" i="1"/>
  <c r="N37" i="1"/>
  <c r="N36" i="1"/>
  <c r="N35" i="1"/>
  <c r="N29" i="1"/>
  <c r="N28" i="1"/>
  <c r="N27" i="1"/>
  <c r="N26" i="1"/>
  <c r="N19" i="1"/>
  <c r="N18" i="1"/>
  <c r="N17" i="1"/>
  <c r="N12" i="1"/>
  <c r="N3" i="1"/>
  <c r="N4" i="1"/>
  <c r="N9" i="1"/>
  <c r="N2" i="1"/>
  <c r="D45" i="1"/>
  <c r="G45" i="1" s="1"/>
  <c r="F40" i="1"/>
  <c r="G46" i="1"/>
  <c r="I46" i="1" s="1"/>
  <c r="G47" i="1"/>
  <c r="H47" i="1" s="1"/>
  <c r="K40" i="1"/>
  <c r="N40" i="1" s="1"/>
  <c r="K41" i="1"/>
  <c r="N41" i="1" s="1"/>
  <c r="K42" i="1"/>
  <c r="N42" i="1" s="1"/>
  <c r="K43" i="1"/>
  <c r="M43" i="1" s="1"/>
  <c r="K44" i="1"/>
  <c r="K45" i="1"/>
  <c r="K46" i="1"/>
  <c r="M46" i="1" s="1"/>
  <c r="K47" i="1"/>
  <c r="M47" i="1" s="1"/>
  <c r="S16" i="1"/>
  <c r="L48" i="1"/>
  <c r="G44" i="1"/>
  <c r="H44" i="1" s="1"/>
  <c r="G43" i="1"/>
  <c r="I43" i="1" s="1"/>
  <c r="G42" i="1"/>
  <c r="H42" i="1" s="1"/>
  <c r="M41" i="1"/>
  <c r="G41" i="1"/>
  <c r="I41" i="1" s="1"/>
  <c r="M40" i="1"/>
  <c r="G40" i="1"/>
  <c r="H40" i="1" s="1"/>
  <c r="M37" i="1"/>
  <c r="F37" i="1"/>
  <c r="K37" i="1"/>
  <c r="G37" i="1"/>
  <c r="H37" i="1" s="1"/>
  <c r="K36" i="1"/>
  <c r="G36" i="1"/>
  <c r="K35" i="1"/>
  <c r="M35" i="1" s="1"/>
  <c r="G35" i="1"/>
  <c r="I35" i="1" s="1"/>
  <c r="L38" i="1"/>
  <c r="K34" i="1"/>
  <c r="M34" i="1" s="1"/>
  <c r="G34" i="1"/>
  <c r="I34" i="1" s="1"/>
  <c r="K33" i="1"/>
  <c r="M33" i="1" s="1"/>
  <c r="G33" i="1"/>
  <c r="H33" i="1" s="1"/>
  <c r="M32" i="1"/>
  <c r="K32" i="1"/>
  <c r="N32" i="1" s="1"/>
  <c r="G32" i="1"/>
  <c r="I32" i="1" s="1"/>
  <c r="L26" i="1"/>
  <c r="L27" i="1"/>
  <c r="D28" i="1"/>
  <c r="G28" i="1" s="1"/>
  <c r="F24" i="1"/>
  <c r="S3" i="1"/>
  <c r="S2" i="1"/>
  <c r="R3" i="1"/>
  <c r="R2" i="1"/>
  <c r="L17" i="1"/>
  <c r="L13" i="1"/>
  <c r="K29" i="1"/>
  <c r="M29" i="1" s="1"/>
  <c r="G29" i="1"/>
  <c r="I29" i="1" s="1"/>
  <c r="K28" i="1"/>
  <c r="K27" i="1"/>
  <c r="M27" i="1" s="1"/>
  <c r="G27" i="1"/>
  <c r="I27" i="1" s="1"/>
  <c r="K26" i="1"/>
  <c r="M26" i="1" s="1"/>
  <c r="G26" i="1"/>
  <c r="I26" i="1" s="1"/>
  <c r="K25" i="1"/>
  <c r="M25" i="1" s="1"/>
  <c r="G25" i="1"/>
  <c r="I25" i="1" s="1"/>
  <c r="M24" i="1"/>
  <c r="K24" i="1"/>
  <c r="N24" i="1" s="1"/>
  <c r="G24" i="1"/>
  <c r="H24" i="1" s="1"/>
  <c r="F15" i="1"/>
  <c r="F13" i="1"/>
  <c r="M5" i="1"/>
  <c r="M7" i="1"/>
  <c r="M8" i="1"/>
  <c r="M15" i="1"/>
  <c r="M16" i="1"/>
  <c r="M18" i="1"/>
  <c r="M20" i="1"/>
  <c r="M12" i="1"/>
  <c r="G2" i="1"/>
  <c r="H2" i="1" s="1"/>
  <c r="G3" i="1"/>
  <c r="I3" i="1" s="1"/>
  <c r="G4" i="1"/>
  <c r="I4" i="1" s="1"/>
  <c r="G5" i="1"/>
  <c r="G6" i="1"/>
  <c r="G7" i="1"/>
  <c r="I7" i="1" s="1"/>
  <c r="G8" i="1"/>
  <c r="H8" i="1" s="1"/>
  <c r="G9" i="1"/>
  <c r="I9" i="1" s="1"/>
  <c r="G12" i="1"/>
  <c r="I12" i="1" s="1"/>
  <c r="G13" i="1"/>
  <c r="H13" i="1" s="1"/>
  <c r="G14" i="1"/>
  <c r="I14" i="1" s="1"/>
  <c r="G15" i="1"/>
  <c r="G16" i="1"/>
  <c r="I16" i="1" s="1"/>
  <c r="G17" i="1"/>
  <c r="I17" i="1" s="1"/>
  <c r="G18" i="1"/>
  <c r="H18" i="1" s="1"/>
  <c r="G19" i="1"/>
  <c r="H19" i="1" s="1"/>
  <c r="G20" i="1"/>
  <c r="H20" i="1" s="1"/>
  <c r="G21" i="1"/>
  <c r="I21" i="1" s="1"/>
  <c r="K19" i="1"/>
  <c r="M19" i="1" s="1"/>
  <c r="K20" i="1"/>
  <c r="N20" i="1" s="1"/>
  <c r="K21" i="1"/>
  <c r="M21" i="1" s="1"/>
  <c r="K18" i="1"/>
  <c r="K17" i="1"/>
  <c r="M17" i="1" s="1"/>
  <c r="K16" i="1"/>
  <c r="N16" i="1" s="1"/>
  <c r="K15" i="1"/>
  <c r="N15" i="1" s="1"/>
  <c r="K14" i="1"/>
  <c r="M14" i="1" s="1"/>
  <c r="K13" i="1"/>
  <c r="M13" i="1" s="1"/>
  <c r="K12" i="1"/>
  <c r="K3" i="1"/>
  <c r="M3" i="1" s="1"/>
  <c r="K4" i="1"/>
  <c r="M4" i="1" s="1"/>
  <c r="K5" i="1"/>
  <c r="N5" i="1" s="1"/>
  <c r="K6" i="1"/>
  <c r="M6" i="1" s="1"/>
  <c r="K7" i="1"/>
  <c r="N7" i="1" s="1"/>
  <c r="K8" i="1"/>
  <c r="N8" i="1" s="1"/>
  <c r="K9" i="1"/>
  <c r="M9" i="1" s="1"/>
  <c r="K2" i="1"/>
  <c r="M2" i="1" s="1"/>
  <c r="L6" i="1"/>
  <c r="L10" i="1" s="1"/>
  <c r="I5" i="1"/>
  <c r="I6" i="1"/>
  <c r="M50" i="1" l="1"/>
  <c r="I50" i="1"/>
  <c r="N53" i="1"/>
  <c r="N54" i="1"/>
  <c r="N22" i="1"/>
  <c r="M45" i="1"/>
  <c r="I52" i="1"/>
  <c r="N25" i="1"/>
  <c r="N30" i="1" s="1"/>
  <c r="N34" i="1"/>
  <c r="N43" i="1"/>
  <c r="N48" i="1" s="1"/>
  <c r="N13" i="1"/>
  <c r="I51" i="1"/>
  <c r="G55" i="1"/>
  <c r="I55" i="1" s="1"/>
  <c r="S15" i="1"/>
  <c r="N45" i="1"/>
  <c r="N21" i="1"/>
  <c r="N14" i="1"/>
  <c r="H53" i="1"/>
  <c r="N55" i="1"/>
  <c r="N44" i="1"/>
  <c r="M42" i="1"/>
  <c r="N6" i="1"/>
  <c r="N10" i="1" s="1"/>
  <c r="N33" i="1"/>
  <c r="N38" i="1" s="1"/>
  <c r="M52" i="1"/>
  <c r="M56" i="1" s="1"/>
  <c r="H54" i="1"/>
  <c r="I47" i="1"/>
  <c r="H46" i="1"/>
  <c r="M44" i="1"/>
  <c r="S14" i="1"/>
  <c r="L22" i="1"/>
  <c r="I40" i="1"/>
  <c r="I45" i="1"/>
  <c r="H43" i="1"/>
  <c r="H45" i="1"/>
  <c r="I44" i="1"/>
  <c r="I42" i="1"/>
  <c r="H41" i="1"/>
  <c r="I37" i="1"/>
  <c r="H34" i="1"/>
  <c r="H36" i="1"/>
  <c r="I36" i="1"/>
  <c r="M36" i="1"/>
  <c r="M38" i="1" s="1"/>
  <c r="I33" i="1"/>
  <c r="H32" i="1"/>
  <c r="H35" i="1"/>
  <c r="L30" i="1"/>
  <c r="I28" i="1"/>
  <c r="H25" i="1"/>
  <c r="H26" i="1"/>
  <c r="I24" i="1"/>
  <c r="I15" i="1"/>
  <c r="M30" i="1"/>
  <c r="H28" i="1"/>
  <c r="H27" i="1"/>
  <c r="H29" i="1"/>
  <c r="I20" i="1"/>
  <c r="I13" i="1"/>
  <c r="H12" i="1"/>
  <c r="H21" i="1"/>
  <c r="H17" i="1"/>
  <c r="H15" i="1"/>
  <c r="H14" i="1"/>
  <c r="H16" i="1"/>
  <c r="I19" i="1"/>
  <c r="I18" i="1"/>
  <c r="M10" i="1"/>
  <c r="M22" i="1"/>
  <c r="I2" i="1"/>
  <c r="I8" i="1"/>
  <c r="H9" i="1"/>
  <c r="H7" i="1"/>
  <c r="H6" i="1"/>
  <c r="H5" i="1"/>
  <c r="H4" i="1"/>
  <c r="H3" i="1"/>
  <c r="N56" i="1" l="1"/>
  <c r="H55" i="1"/>
  <c r="M48" i="1"/>
</calcChain>
</file>

<file path=xl/sharedStrings.xml><?xml version="1.0" encoding="utf-8"?>
<sst xmlns="http://schemas.openxmlformats.org/spreadsheetml/2006/main" count="258" uniqueCount="47">
  <si>
    <t>Home Team</t>
  </si>
  <si>
    <t>Away Team</t>
  </si>
  <si>
    <t>Model Pred</t>
  </si>
  <si>
    <t>Over Return</t>
  </si>
  <si>
    <t>Under Return</t>
  </si>
  <si>
    <t>BOS</t>
  </si>
  <si>
    <t>DET</t>
  </si>
  <si>
    <t>UTA</t>
  </si>
  <si>
    <t>NOP</t>
  </si>
  <si>
    <t>DAL</t>
  </si>
  <si>
    <t>MIN</t>
  </si>
  <si>
    <t>CHI</t>
  </si>
  <si>
    <t>IND</t>
  </si>
  <si>
    <t>DEN</t>
  </si>
  <si>
    <t>MEM</t>
  </si>
  <si>
    <t>MIA</t>
  </si>
  <si>
    <t>GSW</t>
  </si>
  <si>
    <t>POR</t>
  </si>
  <si>
    <t>SA</t>
  </si>
  <si>
    <t>LAL</t>
  </si>
  <si>
    <t>Over Win Prob</t>
  </si>
  <si>
    <t>CHA</t>
  </si>
  <si>
    <t>Result</t>
  </si>
  <si>
    <t>P/L</t>
  </si>
  <si>
    <t>Model Corr</t>
  </si>
  <si>
    <t>Over Confidence</t>
  </si>
  <si>
    <t>Over</t>
  </si>
  <si>
    <t>Under</t>
  </si>
  <si>
    <t>SAS</t>
  </si>
  <si>
    <t>WAS</t>
  </si>
  <si>
    <t>BKN</t>
  </si>
  <si>
    <t>ORL</t>
  </si>
  <si>
    <t>NYK</t>
  </si>
  <si>
    <t>TOR</t>
  </si>
  <si>
    <t>ATL</t>
  </si>
  <si>
    <t>SAC</t>
  </si>
  <si>
    <t>CLE</t>
  </si>
  <si>
    <t>MIL</t>
  </si>
  <si>
    <t>PHI</t>
  </si>
  <si>
    <t>HOU</t>
  </si>
  <si>
    <t>OKC</t>
  </si>
  <si>
    <t>PHX</t>
  </si>
  <si>
    <t>LAC</t>
  </si>
  <si>
    <t>Betting 65%+ Overs</t>
  </si>
  <si>
    <t>Day</t>
  </si>
  <si>
    <t>P(Optimal) Strat</t>
  </si>
  <si>
    <t>Betting Overs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</si>
</sst>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0" fontId="0" fillId="0" borderId="0" xfId="2" applyNumberFormat="1" applyFont="1" applyBorder="1"/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0" fillId="0" borderId="2" xfId="0" applyBorder="1"/>
    <xf numFmtId="10" fontId="0" fillId="0" borderId="2" xfId="2" applyNumberFormat="1" applyFont="1" applyBorder="1"/>
    <xf numFmtId="164" fontId="0" fillId="0" borderId="2" xfId="0" applyNumberFormat="1" applyBorder="1"/>
    <xf numFmtId="44" fontId="0" fillId="0" borderId="4" xfId="1" applyFont="1" applyBorder="1"/>
    <xf numFmtId="44" fontId="0" fillId="0" borderId="6" xfId="0" applyNumberForma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7" xfId="0" applyFill="1" applyBorder="1"/>
    <xf numFmtId="9" fontId="0" fillId="0" borderId="0" xfId="2" applyFont="1"/>
    <xf numFmtId="0" fontId="2" fillId="0" borderId="9" xfId="0" applyFont="1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0" fillId="2" borderId="8" xfId="0" applyFill="1" applyBorder="1"/>
    <xf numFmtId="0" fontId="0" fillId="0" borderId="6" xfId="0" applyBorder="1"/>
    <xf numFmtId="0" fontId="0" fillId="0" borderId="0" xfId="0" applyFill="1" applyBorder="1"/>
    <xf numFmtId="4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B43-6E66-9D44-9537-2703A72D2A98}">
  <dimension ref="A1:S56"/>
  <sheetViews>
    <sheetView tabSelected="1" topLeftCell="A39" zoomScaleNormal="100" workbookViewId="0">
      <selection activeCell="O9" sqref="O9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7.33203125" bestFit="1" customWidth="1"/>
    <col min="5" max="5" width="5.83203125" bestFit="1" customWidth="1"/>
    <col min="6" max="6" width="12.1640625" bestFit="1" customWidth="1"/>
    <col min="7" max="7" width="13.1640625" bestFit="1" customWidth="1"/>
    <col min="8" max="8" width="11.1640625" bestFit="1" customWidth="1"/>
    <col min="9" max="9" width="12.1640625" bestFit="1" customWidth="1"/>
    <col min="10" max="10" width="6.33203125" bestFit="1" customWidth="1"/>
    <col min="11" max="11" width="10.1640625" bestFit="1" customWidth="1"/>
    <col min="12" max="12" width="9.6640625" bestFit="1" customWidth="1"/>
    <col min="13" max="13" width="17.6640625" bestFit="1" customWidth="1"/>
    <col min="14" max="14" width="10.5" customWidth="1"/>
    <col min="15" max="16" width="12.1640625" bestFit="1" customWidth="1"/>
    <col min="17" max="17" width="4.5" bestFit="1" customWidth="1"/>
    <col min="18" max="18" width="14.6640625" bestFit="1" customWidth="1"/>
    <col min="19" max="19" width="17.1640625" bestFit="1" customWidth="1"/>
  </cols>
  <sheetData>
    <row r="1" spans="1:19" ht="17" thickBot="1" x14ac:dyDescent="0.25">
      <c r="A1" s="13" t="s">
        <v>0</v>
      </c>
      <c r="B1" s="14" t="s">
        <v>1</v>
      </c>
      <c r="C1" s="14" t="s">
        <v>2</v>
      </c>
      <c r="D1" s="14" t="s">
        <v>25</v>
      </c>
      <c r="E1" s="14" t="s">
        <v>26</v>
      </c>
      <c r="F1" s="14" t="s">
        <v>27</v>
      </c>
      <c r="G1" s="14" t="s">
        <v>20</v>
      </c>
      <c r="H1" s="14" t="s">
        <v>3</v>
      </c>
      <c r="I1" s="14" t="s">
        <v>4</v>
      </c>
      <c r="J1" s="14" t="s">
        <v>22</v>
      </c>
      <c r="K1" s="14" t="s">
        <v>24</v>
      </c>
      <c r="L1" s="11" t="s">
        <v>23</v>
      </c>
      <c r="M1" s="11" t="s">
        <v>43</v>
      </c>
      <c r="N1" s="17" t="s">
        <v>2</v>
      </c>
      <c r="O1" s="24"/>
      <c r="P1" s="1"/>
      <c r="Q1" s="1" t="s">
        <v>44</v>
      </c>
      <c r="R1" s="1" t="s">
        <v>45</v>
      </c>
      <c r="S1" s="1" t="s">
        <v>46</v>
      </c>
    </row>
    <row r="2" spans="1:19" x14ac:dyDescent="0.2">
      <c r="A2" s="4" t="s">
        <v>5</v>
      </c>
      <c r="B2" t="s">
        <v>6</v>
      </c>
      <c r="C2" t="s">
        <v>5</v>
      </c>
      <c r="D2" s="2">
        <v>0.84970000000000001</v>
      </c>
      <c r="E2">
        <v>-3000</v>
      </c>
      <c r="F2">
        <v>900</v>
      </c>
      <c r="G2" s="2">
        <f>IF(E2&lt;0,D2,1-D2)</f>
        <v>0.84970000000000001</v>
      </c>
      <c r="H2" s="3">
        <f t="shared" ref="H2:H9" si="0">G2*100*100/-E2+(1-G2)*-100</f>
        <v>-12.197666666666667</v>
      </c>
      <c r="I2" s="3">
        <f t="shared" ref="I2:I9" si="1">(1-G2)*100*F2/100+G2*-100</f>
        <v>50.300000000000011</v>
      </c>
      <c r="J2" t="s">
        <v>5</v>
      </c>
      <c r="K2" t="str">
        <f t="shared" ref="K2:K9" si="2">IF(C2=J2,"Y","N")</f>
        <v>Y</v>
      </c>
      <c r="L2" s="9">
        <v>-100</v>
      </c>
      <c r="M2" s="9">
        <f>IF(D2&gt;0.65, IF(K2="Y",100^2/-E2, -100), 0)</f>
        <v>3.3333333333333335</v>
      </c>
      <c r="N2" s="18">
        <f>IF(K2="Y",IF(D2&gt;0.5,100^2/-E2,F2),-100)</f>
        <v>3.3333333333333335</v>
      </c>
      <c r="Q2">
        <v>0</v>
      </c>
      <c r="R2" s="16">
        <f>-166.67/300</f>
        <v>-0.55556666666666665</v>
      </c>
      <c r="S2" s="16">
        <f>97.46/500</f>
        <v>0.19491999999999998</v>
      </c>
    </row>
    <row r="3" spans="1:19" x14ac:dyDescent="0.2">
      <c r="A3" s="4" t="s">
        <v>8</v>
      </c>
      <c r="B3" t="s">
        <v>7</v>
      </c>
      <c r="C3" t="s">
        <v>8</v>
      </c>
      <c r="D3" s="2">
        <v>0.71599999999999997</v>
      </c>
      <c r="E3">
        <v>-350</v>
      </c>
      <c r="F3">
        <v>280</v>
      </c>
      <c r="G3" s="2">
        <f t="shared" ref="G3:G9" si="3">IF(E3&lt;0,D3,1-D3)</f>
        <v>0.71599999999999997</v>
      </c>
      <c r="H3" s="3">
        <f t="shared" si="0"/>
        <v>-7.9428571428571466</v>
      </c>
      <c r="I3" s="3">
        <f t="shared" si="1"/>
        <v>7.9200000000000159</v>
      </c>
      <c r="J3" t="s">
        <v>8</v>
      </c>
      <c r="K3" t="str">
        <f t="shared" si="2"/>
        <v>Y</v>
      </c>
      <c r="L3" s="9"/>
      <c r="M3" s="9">
        <f t="shared" ref="M3:M9" si="4">IF(D3&gt;0.65, IF(K3="Y",100^2/-E3, -100), 0)</f>
        <v>28.571428571428573</v>
      </c>
      <c r="N3" s="18">
        <f t="shared" ref="N3:N9" si="5">IF(K3="Y",IF(D3&gt;0.5,100^2/-E3,F3),-100)</f>
        <v>28.571428571428573</v>
      </c>
      <c r="Q3">
        <v>1</v>
      </c>
      <c r="R3" s="16">
        <f>138.35/500</f>
        <v>0.2767</v>
      </c>
      <c r="S3" s="16">
        <f>211/500</f>
        <v>0.42199999999999999</v>
      </c>
    </row>
    <row r="4" spans="1:19" x14ac:dyDescent="0.2">
      <c r="A4" s="4" t="s">
        <v>10</v>
      </c>
      <c r="B4" t="s">
        <v>9</v>
      </c>
      <c r="C4" t="s">
        <v>10</v>
      </c>
      <c r="D4" s="2">
        <v>0.76119999999999999</v>
      </c>
      <c r="E4">
        <v>-450</v>
      </c>
      <c r="F4">
        <v>333</v>
      </c>
      <c r="G4" s="2">
        <f t="shared" si="3"/>
        <v>0.76119999999999999</v>
      </c>
      <c r="H4" s="3">
        <f t="shared" si="0"/>
        <v>-6.964444444444446</v>
      </c>
      <c r="I4" s="3">
        <f t="shared" si="1"/>
        <v>3.4004000000000048</v>
      </c>
      <c r="J4" t="s">
        <v>10</v>
      </c>
      <c r="K4" t="str">
        <f t="shared" si="2"/>
        <v>Y</v>
      </c>
      <c r="L4" s="9"/>
      <c r="M4" s="9">
        <f t="shared" si="4"/>
        <v>22.222222222222221</v>
      </c>
      <c r="N4" s="18">
        <f t="shared" si="5"/>
        <v>22.222222222222221</v>
      </c>
      <c r="Q4">
        <v>2</v>
      </c>
    </row>
    <row r="5" spans="1:19" x14ac:dyDescent="0.2">
      <c r="A5" s="4" t="s">
        <v>11</v>
      </c>
      <c r="B5" t="s">
        <v>12</v>
      </c>
      <c r="C5" t="s">
        <v>11</v>
      </c>
      <c r="D5" s="2">
        <v>0.49440000000000001</v>
      </c>
      <c r="E5">
        <v>-120</v>
      </c>
      <c r="F5">
        <v>100</v>
      </c>
      <c r="G5" s="2">
        <f t="shared" si="3"/>
        <v>0.49440000000000001</v>
      </c>
      <c r="H5" s="3">
        <f t="shared" si="0"/>
        <v>-9.36</v>
      </c>
      <c r="I5" s="3">
        <f t="shared" si="1"/>
        <v>1.1200000000000045</v>
      </c>
      <c r="J5" t="s">
        <v>12</v>
      </c>
      <c r="K5" t="str">
        <f t="shared" si="2"/>
        <v>N</v>
      </c>
      <c r="L5" s="9"/>
      <c r="M5" s="9">
        <f t="shared" si="4"/>
        <v>0</v>
      </c>
      <c r="N5" s="18">
        <f t="shared" si="5"/>
        <v>-100</v>
      </c>
    </row>
    <row r="6" spans="1:19" x14ac:dyDescent="0.2">
      <c r="A6" s="4" t="s">
        <v>13</v>
      </c>
      <c r="B6" t="s">
        <v>14</v>
      </c>
      <c r="C6" t="s">
        <v>13</v>
      </c>
      <c r="D6" s="2">
        <v>0.82179999999999997</v>
      </c>
      <c r="E6">
        <v>-300</v>
      </c>
      <c r="F6">
        <v>230</v>
      </c>
      <c r="G6" s="2">
        <f t="shared" si="3"/>
        <v>0.82179999999999997</v>
      </c>
      <c r="H6" s="3">
        <f t="shared" si="0"/>
        <v>9.5733333333333306</v>
      </c>
      <c r="I6" s="3">
        <f t="shared" si="1"/>
        <v>-41.193999999999981</v>
      </c>
      <c r="J6" t="s">
        <v>13</v>
      </c>
      <c r="K6" t="str">
        <f t="shared" si="2"/>
        <v>Y</v>
      </c>
      <c r="L6" s="9">
        <f>100*100/300</f>
        <v>33.333333333333336</v>
      </c>
      <c r="M6" s="9">
        <f t="shared" si="4"/>
        <v>33.333333333333336</v>
      </c>
      <c r="N6" s="18">
        <f t="shared" si="5"/>
        <v>33.333333333333336</v>
      </c>
    </row>
    <row r="7" spans="1:19" x14ac:dyDescent="0.2">
      <c r="A7" s="4" t="s">
        <v>15</v>
      </c>
      <c r="B7" t="s">
        <v>16</v>
      </c>
      <c r="C7" t="s">
        <v>16</v>
      </c>
      <c r="D7" s="2">
        <v>0.58099999999999996</v>
      </c>
      <c r="E7">
        <v>-155</v>
      </c>
      <c r="F7">
        <v>125</v>
      </c>
      <c r="G7" s="2">
        <f t="shared" si="3"/>
        <v>0.58099999999999996</v>
      </c>
      <c r="H7" s="3">
        <f t="shared" si="0"/>
        <v>-4.4161290322580768</v>
      </c>
      <c r="I7" s="3">
        <f t="shared" si="1"/>
        <v>-5.7249999999999872</v>
      </c>
      <c r="J7" t="s">
        <v>15</v>
      </c>
      <c r="K7" t="str">
        <f t="shared" si="2"/>
        <v>N</v>
      </c>
      <c r="L7" s="9"/>
      <c r="M7" s="9">
        <f t="shared" si="4"/>
        <v>0</v>
      </c>
      <c r="N7" s="18">
        <f t="shared" si="5"/>
        <v>-100</v>
      </c>
    </row>
    <row r="8" spans="1:19" x14ac:dyDescent="0.2">
      <c r="A8" s="4" t="s">
        <v>17</v>
      </c>
      <c r="B8" t="s">
        <v>18</v>
      </c>
      <c r="C8" t="s">
        <v>17</v>
      </c>
      <c r="D8" s="2">
        <v>0.59119999999999995</v>
      </c>
      <c r="E8">
        <v>-185</v>
      </c>
      <c r="F8">
        <v>150</v>
      </c>
      <c r="G8" s="2">
        <f t="shared" si="3"/>
        <v>0.59119999999999995</v>
      </c>
      <c r="H8" s="3">
        <f t="shared" si="0"/>
        <v>-8.9232432432432454</v>
      </c>
      <c r="I8" s="3">
        <f t="shared" si="1"/>
        <v>2.2000000000000028</v>
      </c>
      <c r="J8" t="s">
        <v>28</v>
      </c>
      <c r="K8" t="str">
        <f t="shared" si="2"/>
        <v>N</v>
      </c>
      <c r="L8" s="9"/>
      <c r="M8" s="9">
        <f t="shared" si="4"/>
        <v>0</v>
      </c>
      <c r="N8" s="18">
        <f t="shared" si="5"/>
        <v>-100</v>
      </c>
    </row>
    <row r="9" spans="1:19" ht="17" thickBot="1" x14ac:dyDescent="0.25">
      <c r="A9" s="4" t="s">
        <v>19</v>
      </c>
      <c r="B9" t="s">
        <v>21</v>
      </c>
      <c r="C9" t="s">
        <v>19</v>
      </c>
      <c r="D9" s="2">
        <v>0.80610000000000004</v>
      </c>
      <c r="E9">
        <v>-1000</v>
      </c>
      <c r="F9">
        <v>535</v>
      </c>
      <c r="G9" s="2">
        <f t="shared" si="3"/>
        <v>0.80610000000000004</v>
      </c>
      <c r="H9" s="3">
        <f t="shared" si="0"/>
        <v>-11.328999999999997</v>
      </c>
      <c r="I9" s="3">
        <f t="shared" si="1"/>
        <v>23.126499999999979</v>
      </c>
      <c r="J9" t="s">
        <v>19</v>
      </c>
      <c r="K9" t="str">
        <f t="shared" si="2"/>
        <v>Y</v>
      </c>
      <c r="L9" s="9">
        <v>-100</v>
      </c>
      <c r="M9" s="9">
        <f t="shared" si="4"/>
        <v>10</v>
      </c>
      <c r="N9" s="18">
        <f t="shared" si="5"/>
        <v>10</v>
      </c>
    </row>
    <row r="10" spans="1:19" ht="17" thickBot="1" x14ac:dyDescent="0.25">
      <c r="A10" s="1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10">
        <f>SUM(L2:L9)</f>
        <v>-166.66666666666666</v>
      </c>
      <c r="M10" s="10">
        <f>SUM(M2:M9)</f>
        <v>97.460317460317469</v>
      </c>
      <c r="N10" s="22">
        <f>SUM(N2:N9)</f>
        <v>-202.53968253968253</v>
      </c>
    </row>
    <row r="11" spans="1:19" ht="17" thickBot="1" x14ac:dyDescent="0.25">
      <c r="A11" s="20" t="s">
        <v>0</v>
      </c>
      <c r="B11" s="1" t="s">
        <v>1</v>
      </c>
      <c r="C11" s="1" t="s">
        <v>2</v>
      </c>
      <c r="D11" s="1" t="s">
        <v>25</v>
      </c>
      <c r="E11" s="1" t="s">
        <v>26</v>
      </c>
      <c r="F11" s="1" t="s">
        <v>27</v>
      </c>
      <c r="G11" s="1" t="s">
        <v>20</v>
      </c>
      <c r="H11" s="1" t="s">
        <v>3</v>
      </c>
      <c r="I11" s="1" t="s">
        <v>4</v>
      </c>
      <c r="J11" s="1" t="s">
        <v>22</v>
      </c>
      <c r="K11" s="1" t="s">
        <v>24</v>
      </c>
      <c r="L11" s="12" t="s">
        <v>23</v>
      </c>
      <c r="M11" s="12" t="s">
        <v>43</v>
      </c>
      <c r="N11" s="19"/>
      <c r="O11" s="1"/>
      <c r="P11" s="1"/>
    </row>
    <row r="12" spans="1:19" x14ac:dyDescent="0.2">
      <c r="A12" s="5" t="s">
        <v>29</v>
      </c>
      <c r="B12" s="6" t="s">
        <v>30</v>
      </c>
      <c r="C12" s="6" t="s">
        <v>30</v>
      </c>
      <c r="D12" s="7">
        <v>0.5726</v>
      </c>
      <c r="E12" s="6">
        <v>-270</v>
      </c>
      <c r="F12" s="6">
        <v>190</v>
      </c>
      <c r="G12" s="7">
        <f>IF(E12&lt;0,D12,1-D12)</f>
        <v>0.5726</v>
      </c>
      <c r="H12" s="8">
        <f t="shared" ref="H12:H21" si="6">G12*100*100/-E12+(1-G12)*-100</f>
        <v>-21.532592592592593</v>
      </c>
      <c r="I12" s="8">
        <f t="shared" ref="I12:I21" si="7">(1-G12)*100*F12/100+G12*-100</f>
        <v>23.946000000000005</v>
      </c>
      <c r="J12" s="6" t="s">
        <v>29</v>
      </c>
      <c r="K12" s="6" t="str">
        <f t="shared" ref="K12:K21" si="8">IF(C12=J12,"Y","N")</f>
        <v>N</v>
      </c>
      <c r="L12" s="9">
        <v>190</v>
      </c>
      <c r="M12" s="9">
        <f>IF(D12&gt;0.65, IF(K12="Y",100^2/-E12, -100), 0)</f>
        <v>0</v>
      </c>
      <c r="N12" s="18">
        <f>IF(K12="Y",IF(D12&gt;0.5,100^2/-E12,F12),-100)</f>
        <v>-100</v>
      </c>
    </row>
    <row r="13" spans="1:19" x14ac:dyDescent="0.2">
      <c r="A13" s="4" t="s">
        <v>31</v>
      </c>
      <c r="B13" t="s">
        <v>32</v>
      </c>
      <c r="C13" t="s">
        <v>31</v>
      </c>
      <c r="D13" s="2">
        <v>0.67549999999999999</v>
      </c>
      <c r="E13">
        <v>-130</v>
      </c>
      <c r="F13">
        <f>100^2/110</f>
        <v>90.909090909090907</v>
      </c>
      <c r="G13" s="2">
        <f t="shared" ref="G13:G21" si="9">IF(E13&lt;0,D13,1-D13)</f>
        <v>0.67549999999999999</v>
      </c>
      <c r="H13" s="3">
        <f t="shared" si="6"/>
        <v>19.511538461538457</v>
      </c>
      <c r="I13" s="3">
        <f t="shared" si="7"/>
        <v>-38.049999999999997</v>
      </c>
      <c r="J13" t="s">
        <v>31</v>
      </c>
      <c r="K13" t="str">
        <f t="shared" si="8"/>
        <v>Y</v>
      </c>
      <c r="L13" s="9">
        <f>100^2/-E13</f>
        <v>76.92307692307692</v>
      </c>
      <c r="M13" s="9">
        <f t="shared" ref="M13:M21" si="10">IF(D13&gt;0.65, IF(K13="Y",100^2/-E13, -100), 0)</f>
        <v>76.92307692307692</v>
      </c>
      <c r="N13" s="18">
        <f t="shared" ref="N13:N21" si="11">IF(K13="Y",IF(D13&gt;0.5,100^2/-E13,F13),-100)</f>
        <v>76.92307692307692</v>
      </c>
    </row>
    <row r="14" spans="1:19" x14ac:dyDescent="0.2">
      <c r="A14" s="4" t="s">
        <v>5</v>
      </c>
      <c r="B14" t="s">
        <v>33</v>
      </c>
      <c r="C14" t="s">
        <v>5</v>
      </c>
      <c r="D14" s="2">
        <v>0.79979999999999996</v>
      </c>
      <c r="E14">
        <v>-370</v>
      </c>
      <c r="F14">
        <v>250</v>
      </c>
      <c r="G14" s="2">
        <f t="shared" si="9"/>
        <v>0.79979999999999996</v>
      </c>
      <c r="H14" s="3">
        <f t="shared" si="6"/>
        <v>1.5962162162162095</v>
      </c>
      <c r="I14" s="3">
        <f t="shared" si="7"/>
        <v>-29.929999999999978</v>
      </c>
      <c r="J14" t="s">
        <v>5</v>
      </c>
      <c r="K14" t="str">
        <f t="shared" si="8"/>
        <v>Y</v>
      </c>
      <c r="L14" s="9"/>
      <c r="M14" s="9">
        <f t="shared" si="10"/>
        <v>27.027027027027028</v>
      </c>
      <c r="N14" s="18">
        <f t="shared" si="11"/>
        <v>27.027027027027028</v>
      </c>
      <c r="S14">
        <f>COUNTIF(K2:K98,"=Y")</f>
        <v>30</v>
      </c>
    </row>
    <row r="15" spans="1:19" x14ac:dyDescent="0.2">
      <c r="A15" s="4" t="s">
        <v>34</v>
      </c>
      <c r="B15" t="s">
        <v>35</v>
      </c>
      <c r="C15" t="s">
        <v>34</v>
      </c>
      <c r="D15" s="2">
        <v>0.53449999999999998</v>
      </c>
      <c r="E15">
        <v>-120</v>
      </c>
      <c r="F15">
        <f>100^2/115</f>
        <v>86.956521739130437</v>
      </c>
      <c r="G15" s="2">
        <f t="shared" si="9"/>
        <v>0.53449999999999998</v>
      </c>
      <c r="H15" s="3">
        <f t="shared" si="6"/>
        <v>-2.00833333333334</v>
      </c>
      <c r="I15" s="3">
        <f t="shared" si="7"/>
        <v>-12.97173913043477</v>
      </c>
      <c r="J15" t="s">
        <v>35</v>
      </c>
      <c r="K15" t="str">
        <f t="shared" si="8"/>
        <v>N</v>
      </c>
      <c r="L15" s="9"/>
      <c r="M15" s="9">
        <f t="shared" si="10"/>
        <v>0</v>
      </c>
      <c r="N15" s="18">
        <f t="shared" si="11"/>
        <v>-100</v>
      </c>
      <c r="S15">
        <f>COUNTIF(K2:K98,"=Y")+COUNTIF(K2:K98,"=N")</f>
        <v>44</v>
      </c>
    </row>
    <row r="16" spans="1:19" x14ac:dyDescent="0.2">
      <c r="A16" s="4" t="s">
        <v>36</v>
      </c>
      <c r="B16" t="s">
        <v>37</v>
      </c>
      <c r="C16" t="s">
        <v>37</v>
      </c>
      <c r="D16" s="2">
        <v>0.50339999999999996</v>
      </c>
      <c r="E16">
        <v>-265</v>
      </c>
      <c r="F16">
        <v>185</v>
      </c>
      <c r="G16" s="2">
        <f t="shared" si="9"/>
        <v>0.50339999999999996</v>
      </c>
      <c r="H16" s="3">
        <f t="shared" si="6"/>
        <v>-30.663773584905663</v>
      </c>
      <c r="I16" s="3">
        <f t="shared" si="7"/>
        <v>41.531000000000013</v>
      </c>
      <c r="J16" t="s">
        <v>37</v>
      </c>
      <c r="K16" t="str">
        <f t="shared" si="8"/>
        <v>Y</v>
      </c>
      <c r="L16" s="9">
        <v>-100</v>
      </c>
      <c r="M16" s="9">
        <f t="shared" si="10"/>
        <v>0</v>
      </c>
      <c r="N16" s="18">
        <f t="shared" si="11"/>
        <v>37.735849056603776</v>
      </c>
      <c r="S16">
        <f>20/38</f>
        <v>0.52631578947368418</v>
      </c>
    </row>
    <row r="17" spans="1:16" x14ac:dyDescent="0.2">
      <c r="A17" s="4" t="s">
        <v>38</v>
      </c>
      <c r="B17" t="s">
        <v>39</v>
      </c>
      <c r="C17" t="s">
        <v>38</v>
      </c>
      <c r="D17" s="2">
        <v>0.70809999999999995</v>
      </c>
      <c r="E17">
        <v>-140</v>
      </c>
      <c r="F17">
        <v>100</v>
      </c>
      <c r="G17" s="2">
        <f t="shared" si="9"/>
        <v>0.70809999999999995</v>
      </c>
      <c r="H17" s="3">
        <f t="shared" si="6"/>
        <v>21.388571428571424</v>
      </c>
      <c r="I17" s="3">
        <f t="shared" si="7"/>
        <v>-41.62</v>
      </c>
      <c r="J17" t="s">
        <v>38</v>
      </c>
      <c r="K17" t="str">
        <f t="shared" si="8"/>
        <v>Y</v>
      </c>
      <c r="L17" s="9">
        <f>100^2/-E17</f>
        <v>71.428571428571431</v>
      </c>
      <c r="M17" s="9">
        <f t="shared" si="10"/>
        <v>71.428571428571431</v>
      </c>
      <c r="N17" s="18">
        <f t="shared" si="11"/>
        <v>71.428571428571431</v>
      </c>
    </row>
    <row r="18" spans="1:16" x14ac:dyDescent="0.2">
      <c r="A18" s="4" t="s">
        <v>13</v>
      </c>
      <c r="B18" t="s">
        <v>40</v>
      </c>
      <c r="C18" t="s">
        <v>13</v>
      </c>
      <c r="D18" s="2">
        <v>0.60040000000000004</v>
      </c>
      <c r="E18">
        <v>-160</v>
      </c>
      <c r="F18">
        <v>115</v>
      </c>
      <c r="G18" s="2">
        <f t="shared" si="9"/>
        <v>0.60040000000000004</v>
      </c>
      <c r="H18" s="3">
        <f t="shared" si="6"/>
        <v>-2.4349999999999881</v>
      </c>
      <c r="I18" s="3">
        <f t="shared" si="7"/>
        <v>-14.086000000000013</v>
      </c>
      <c r="J18" t="s">
        <v>40</v>
      </c>
      <c r="K18" t="str">
        <f t="shared" si="8"/>
        <v>N</v>
      </c>
      <c r="L18" s="9"/>
      <c r="M18" s="9">
        <f t="shared" si="10"/>
        <v>0</v>
      </c>
      <c r="N18" s="18">
        <f t="shared" si="11"/>
        <v>-100</v>
      </c>
    </row>
    <row r="19" spans="1:16" x14ac:dyDescent="0.2">
      <c r="A19" s="4" t="s">
        <v>41</v>
      </c>
      <c r="B19" t="s">
        <v>21</v>
      </c>
      <c r="C19" t="s">
        <v>41</v>
      </c>
      <c r="D19" s="2">
        <v>0.80830000000000002</v>
      </c>
      <c r="E19">
        <v>-2290</v>
      </c>
      <c r="F19">
        <v>800</v>
      </c>
      <c r="G19" s="2">
        <f t="shared" si="9"/>
        <v>0.80830000000000002</v>
      </c>
      <c r="H19" s="3">
        <f t="shared" si="6"/>
        <v>-15.640305676855894</v>
      </c>
      <c r="I19" s="3">
        <f t="shared" si="7"/>
        <v>72.529999999999987</v>
      </c>
      <c r="J19" t="s">
        <v>41</v>
      </c>
      <c r="K19" t="str">
        <f t="shared" si="8"/>
        <v>Y</v>
      </c>
      <c r="L19" s="9">
        <v>-100</v>
      </c>
      <c r="M19" s="9">
        <f t="shared" si="10"/>
        <v>4.3668122270742362</v>
      </c>
      <c r="N19" s="18">
        <f t="shared" si="11"/>
        <v>4.3668122270742362</v>
      </c>
    </row>
    <row r="20" spans="1:16" x14ac:dyDescent="0.2">
      <c r="A20" s="4" t="s">
        <v>17</v>
      </c>
      <c r="B20" t="s">
        <v>28</v>
      </c>
      <c r="C20" t="s">
        <v>17</v>
      </c>
      <c r="D20" s="2">
        <v>0.59619999999999995</v>
      </c>
      <c r="E20">
        <v>-245</v>
      </c>
      <c r="F20">
        <v>175</v>
      </c>
      <c r="G20" s="2">
        <f t="shared" si="9"/>
        <v>0.59619999999999995</v>
      </c>
      <c r="H20" s="3">
        <f t="shared" si="6"/>
        <v>-16.045306122448981</v>
      </c>
      <c r="I20" s="3">
        <f t="shared" si="7"/>
        <v>11.045000000000009</v>
      </c>
      <c r="J20" t="s">
        <v>17</v>
      </c>
      <c r="K20" t="str">
        <f t="shared" si="8"/>
        <v>Y</v>
      </c>
      <c r="L20" s="9"/>
      <c r="M20" s="9">
        <f t="shared" si="10"/>
        <v>0</v>
      </c>
      <c r="N20" s="18">
        <f t="shared" si="11"/>
        <v>40.816326530612244</v>
      </c>
    </row>
    <row r="21" spans="1:16" ht="17" thickBot="1" x14ac:dyDescent="0.25">
      <c r="A21" s="4" t="s">
        <v>42</v>
      </c>
      <c r="B21" t="s">
        <v>14</v>
      </c>
      <c r="C21" t="s">
        <v>42</v>
      </c>
      <c r="D21" s="2">
        <v>0.7843</v>
      </c>
      <c r="E21">
        <v>-320</v>
      </c>
      <c r="F21">
        <v>220</v>
      </c>
      <c r="G21" s="2">
        <f t="shared" si="9"/>
        <v>0.7843</v>
      </c>
      <c r="H21" s="3">
        <f t="shared" si="6"/>
        <v>2.9393750000000018</v>
      </c>
      <c r="I21" s="3">
        <f t="shared" si="7"/>
        <v>-30.976000000000013</v>
      </c>
      <c r="J21" t="s">
        <v>42</v>
      </c>
      <c r="K21" t="str">
        <f t="shared" si="8"/>
        <v>Y</v>
      </c>
      <c r="L21" s="9"/>
      <c r="M21" s="9">
        <f t="shared" si="10"/>
        <v>31.25</v>
      </c>
      <c r="N21" s="18">
        <f t="shared" si="11"/>
        <v>31.25</v>
      </c>
    </row>
    <row r="22" spans="1:16" ht="17" thickBot="1" x14ac:dyDescent="0.25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15"/>
      <c r="L22" s="10">
        <f>SUM(L12:L21)</f>
        <v>138.35164835164835</v>
      </c>
      <c r="M22" s="10">
        <f>SUM(M12:M21)</f>
        <v>210.99548760574962</v>
      </c>
      <c r="N22" s="22">
        <f>SUM(N12:N21)</f>
        <v>-10.452336807034371</v>
      </c>
    </row>
    <row r="23" spans="1:16" ht="17" thickBot="1" x14ac:dyDescent="0.25">
      <c r="A23" s="20" t="s">
        <v>0</v>
      </c>
      <c r="B23" s="1" t="s">
        <v>1</v>
      </c>
      <c r="C23" s="1" t="s">
        <v>2</v>
      </c>
      <c r="D23" s="1" t="s">
        <v>25</v>
      </c>
      <c r="E23" s="1" t="s">
        <v>26</v>
      </c>
      <c r="F23" s="1" t="s">
        <v>27</v>
      </c>
      <c r="G23" s="1" t="s">
        <v>20</v>
      </c>
      <c r="H23" s="1" t="s">
        <v>3</v>
      </c>
      <c r="I23" s="1" t="s">
        <v>4</v>
      </c>
      <c r="J23" s="1" t="s">
        <v>22</v>
      </c>
      <c r="K23" s="1" t="s">
        <v>24</v>
      </c>
      <c r="L23" s="12" t="s">
        <v>23</v>
      </c>
      <c r="M23" s="12" t="s">
        <v>43</v>
      </c>
      <c r="N23" s="19"/>
      <c r="O23" s="1"/>
      <c r="P23" s="1"/>
    </row>
    <row r="24" spans="1:16" x14ac:dyDescent="0.2">
      <c r="A24" s="5" t="s">
        <v>7</v>
      </c>
      <c r="B24" s="6" t="s">
        <v>15</v>
      </c>
      <c r="C24" s="6" t="s">
        <v>15</v>
      </c>
      <c r="D24" s="7">
        <v>0.50339999999999996</v>
      </c>
      <c r="E24" s="6">
        <v>-130</v>
      </c>
      <c r="F24" s="6">
        <f>100^2/105</f>
        <v>95.238095238095241</v>
      </c>
      <c r="G24" s="7">
        <f>IF(E24&lt;0,D24,1-D24)</f>
        <v>0.50339999999999996</v>
      </c>
      <c r="H24" s="8">
        <f t="shared" ref="H24:H29" si="12">G24*100*100/-E24+(1-G24)*-100</f>
        <v>-10.93692307692308</v>
      </c>
      <c r="I24" s="8">
        <f t="shared" ref="I24:I29" si="13">(1-G24)*100*F24/100+G24*-100</f>
        <v>-3.0447619047618986</v>
      </c>
      <c r="J24" s="6" t="s">
        <v>7</v>
      </c>
      <c r="K24" s="6" t="str">
        <f t="shared" ref="K24:K29" si="14">IF(C24=J24,"Y","N")</f>
        <v>N</v>
      </c>
      <c r="L24" s="9"/>
      <c r="M24" s="9">
        <f>IF(D24&gt;0.65, IF(K24="Y",100^2/-E24, -100), 0)</f>
        <v>0</v>
      </c>
      <c r="N24" s="18">
        <f>IF(K24="Y",IF(D24&gt;0.5,100^2/-E24,F24),-100)</f>
        <v>-100</v>
      </c>
    </row>
    <row r="25" spans="1:16" x14ac:dyDescent="0.2">
      <c r="A25" s="4" t="s">
        <v>6</v>
      </c>
      <c r="B25" t="s">
        <v>33</v>
      </c>
      <c r="C25" t="s">
        <v>33</v>
      </c>
      <c r="D25" s="2">
        <v>0.7218</v>
      </c>
      <c r="E25">
        <v>-220</v>
      </c>
      <c r="F25">
        <v>155</v>
      </c>
      <c r="G25" s="2">
        <f t="shared" ref="G25:G29" si="15">IF(E25&lt;0,D25,1-D25)</f>
        <v>0.7218</v>
      </c>
      <c r="H25" s="3">
        <f t="shared" si="12"/>
        <v>4.9890909090909119</v>
      </c>
      <c r="I25" s="3">
        <f t="shared" si="13"/>
        <v>-29.059000000000005</v>
      </c>
      <c r="J25" t="s">
        <v>6</v>
      </c>
      <c r="K25" t="str">
        <f t="shared" si="14"/>
        <v>N</v>
      </c>
      <c r="L25" s="9"/>
      <c r="M25" s="9">
        <f t="shared" ref="M25:M29" si="16">IF(D25&gt;0.65, IF(K25="Y",100^2/-E25, -100), 0)</f>
        <v>-100</v>
      </c>
      <c r="N25" s="18">
        <f t="shared" ref="N25:N29" si="17">IF(K25="Y",IF(D25&gt;0.5,100^2/-E25,F25),-100)</f>
        <v>-100</v>
      </c>
    </row>
    <row r="26" spans="1:16" x14ac:dyDescent="0.2">
      <c r="A26" s="4" t="s">
        <v>12</v>
      </c>
      <c r="B26" t="s">
        <v>32</v>
      </c>
      <c r="C26" t="s">
        <v>12</v>
      </c>
      <c r="D26" s="2">
        <v>0.64419999999999999</v>
      </c>
      <c r="E26">
        <v>-180</v>
      </c>
      <c r="F26">
        <v>130</v>
      </c>
      <c r="G26" s="2">
        <f t="shared" si="15"/>
        <v>0.64419999999999999</v>
      </c>
      <c r="H26" s="3">
        <f t="shared" si="12"/>
        <v>0.20888888888889312</v>
      </c>
      <c r="I26" s="3">
        <f t="shared" si="13"/>
        <v>-18.166000000000004</v>
      </c>
      <c r="J26" t="s">
        <v>12</v>
      </c>
      <c r="K26" t="str">
        <f t="shared" si="14"/>
        <v>Y</v>
      </c>
      <c r="L26" s="9">
        <f>100^2/180</f>
        <v>55.555555555555557</v>
      </c>
      <c r="M26" s="9">
        <f t="shared" si="16"/>
        <v>0</v>
      </c>
      <c r="N26" s="18">
        <f t="shared" si="17"/>
        <v>55.555555555555557</v>
      </c>
    </row>
    <row r="27" spans="1:16" x14ac:dyDescent="0.2">
      <c r="A27" s="4" t="s">
        <v>10</v>
      </c>
      <c r="B27" t="s">
        <v>19</v>
      </c>
      <c r="C27" t="s">
        <v>10</v>
      </c>
      <c r="D27" s="2">
        <v>0.78129999999999999</v>
      </c>
      <c r="E27">
        <v>-175</v>
      </c>
      <c r="F27">
        <v>130</v>
      </c>
      <c r="G27" s="2">
        <f t="shared" si="15"/>
        <v>0.78129999999999999</v>
      </c>
      <c r="H27" s="3">
        <f t="shared" si="12"/>
        <v>22.775714285714283</v>
      </c>
      <c r="I27" s="3">
        <f t="shared" si="13"/>
        <v>-49.698999999999998</v>
      </c>
      <c r="J27" t="s">
        <v>10</v>
      </c>
      <c r="K27" t="str">
        <f t="shared" si="14"/>
        <v>Y</v>
      </c>
      <c r="L27" s="9">
        <f>100^2/175</f>
        <v>57.142857142857146</v>
      </c>
      <c r="M27" s="9">
        <f t="shared" si="16"/>
        <v>57.142857142857146</v>
      </c>
      <c r="N27" s="18">
        <f t="shared" si="17"/>
        <v>57.142857142857146</v>
      </c>
    </row>
    <row r="28" spans="1:16" x14ac:dyDescent="0.2">
      <c r="A28" s="4" t="s">
        <v>11</v>
      </c>
      <c r="B28" t="s">
        <v>38</v>
      </c>
      <c r="C28" t="s">
        <v>38</v>
      </c>
      <c r="D28" s="2">
        <f>100%-67.69%</f>
        <v>0.32310000000000005</v>
      </c>
      <c r="E28">
        <v>-145</v>
      </c>
      <c r="F28">
        <v>105</v>
      </c>
      <c r="G28" s="2">
        <f>IF(E28&lt;0,D28,1-D28)</f>
        <v>0.32310000000000005</v>
      </c>
      <c r="H28" s="3">
        <f t="shared" si="12"/>
        <v>-45.407241379310342</v>
      </c>
      <c r="I28" s="3">
        <f t="shared" si="13"/>
        <v>38.764499999999998</v>
      </c>
      <c r="J28" t="s">
        <v>11</v>
      </c>
      <c r="K28" t="str">
        <f t="shared" si="14"/>
        <v>N</v>
      </c>
      <c r="L28" s="9">
        <v>-100</v>
      </c>
      <c r="M28" s="9">
        <v>-100</v>
      </c>
      <c r="N28" s="18">
        <f t="shared" si="17"/>
        <v>-100</v>
      </c>
    </row>
    <row r="29" spans="1:16" ht="17" thickBot="1" x14ac:dyDescent="0.25">
      <c r="A29" s="4" t="s">
        <v>16</v>
      </c>
      <c r="B29" t="s">
        <v>9</v>
      </c>
      <c r="C29" t="s">
        <v>16</v>
      </c>
      <c r="D29" s="2">
        <v>0.62570000000000003</v>
      </c>
      <c r="E29">
        <v>-185</v>
      </c>
      <c r="F29">
        <v>130</v>
      </c>
      <c r="G29" s="2">
        <f t="shared" si="15"/>
        <v>0.62570000000000003</v>
      </c>
      <c r="H29" s="3">
        <f t="shared" si="12"/>
        <v>-3.6083783783783758</v>
      </c>
      <c r="I29" s="3">
        <f t="shared" si="13"/>
        <v>-13.911000000000001</v>
      </c>
      <c r="J29" t="s">
        <v>9</v>
      </c>
      <c r="K29" t="str">
        <f t="shared" si="14"/>
        <v>N</v>
      </c>
      <c r="L29" s="9"/>
      <c r="M29" s="9">
        <f t="shared" si="16"/>
        <v>0</v>
      </c>
      <c r="N29" s="18">
        <f t="shared" si="17"/>
        <v>-100</v>
      </c>
    </row>
    <row r="30" spans="1:16" ht="17" thickBot="1" x14ac:dyDescent="0.25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15"/>
      <c r="L30" s="10">
        <f>SUM(L24:L29)</f>
        <v>12.69841269841271</v>
      </c>
      <c r="M30" s="10">
        <f>SUM(M24:M29)</f>
        <v>-142.85714285714286</v>
      </c>
      <c r="N30" s="22">
        <f>SUM(N24:N29)</f>
        <v>-287.30158730158735</v>
      </c>
    </row>
    <row r="31" spans="1:16" ht="17" thickBot="1" x14ac:dyDescent="0.25">
      <c r="A31" s="20" t="s">
        <v>0</v>
      </c>
      <c r="B31" s="1" t="s">
        <v>1</v>
      </c>
      <c r="C31" s="1" t="s">
        <v>2</v>
      </c>
      <c r="D31" s="1" t="s">
        <v>25</v>
      </c>
      <c r="E31" s="1" t="s">
        <v>26</v>
      </c>
      <c r="F31" s="1" t="s">
        <v>27</v>
      </c>
      <c r="G31" s="1" t="s">
        <v>20</v>
      </c>
      <c r="H31" s="1" t="s">
        <v>3</v>
      </c>
      <c r="I31" s="1" t="s">
        <v>4</v>
      </c>
      <c r="J31" s="1" t="s">
        <v>22</v>
      </c>
      <c r="K31" s="1" t="s">
        <v>24</v>
      </c>
      <c r="L31" s="12" t="s">
        <v>23</v>
      </c>
      <c r="M31" s="12" t="s">
        <v>43</v>
      </c>
      <c r="N31" s="18"/>
    </row>
    <row r="32" spans="1:16" x14ac:dyDescent="0.2">
      <c r="A32" s="5" t="s">
        <v>29</v>
      </c>
      <c r="B32" s="6" t="s">
        <v>34</v>
      </c>
      <c r="C32" s="6" t="s">
        <v>34</v>
      </c>
      <c r="D32" s="7">
        <v>0.52066999999999997</v>
      </c>
      <c r="E32" s="6">
        <v>-295</v>
      </c>
      <c r="F32" s="6">
        <v>210</v>
      </c>
      <c r="G32" s="7">
        <f>IF(E32&lt;0,D32,1-D32)</f>
        <v>0.52066999999999997</v>
      </c>
      <c r="H32" s="8">
        <f t="shared" ref="H32:H37" si="18">G32*100*100/-E32+(1-G32)*-100</f>
        <v>-30.283169491525435</v>
      </c>
      <c r="I32" s="8">
        <f t="shared" ref="I32:I37" si="19">(1-G32)*100*F32/100+G32*-100</f>
        <v>48.592300000000023</v>
      </c>
      <c r="J32" s="6" t="s">
        <v>34</v>
      </c>
      <c r="K32" s="6" t="str">
        <f t="shared" ref="K32:K37" si="20">IF(C32=J32,"Y","N")</f>
        <v>Y</v>
      </c>
      <c r="L32" s="9">
        <v>-100</v>
      </c>
      <c r="M32" s="9">
        <f>IF(D32&gt;0.65, IF(K32="Y",100^2/-E32, -100), 0)</f>
        <v>0</v>
      </c>
      <c r="N32" s="18">
        <f>IF(K32="Y",IF(D32&gt;0.5,100^2/-E32,F32),-100)</f>
        <v>33.898305084745765</v>
      </c>
    </row>
    <row r="33" spans="1:14" x14ac:dyDescent="0.2">
      <c r="A33" s="4" t="s">
        <v>28</v>
      </c>
      <c r="B33" t="s">
        <v>5</v>
      </c>
      <c r="C33" t="s">
        <v>5</v>
      </c>
      <c r="D33" s="2">
        <v>0.80020000000000002</v>
      </c>
      <c r="E33">
        <v>-1265</v>
      </c>
      <c r="F33">
        <v>600</v>
      </c>
      <c r="G33" s="2">
        <f t="shared" ref="G33:G35" si="21">IF(E33&lt;0,D33,1-D33)</f>
        <v>0.80020000000000002</v>
      </c>
      <c r="H33" s="3">
        <f t="shared" si="18"/>
        <v>-13.654308300395254</v>
      </c>
      <c r="I33" s="3">
        <f t="shared" si="19"/>
        <v>39.859999999999985</v>
      </c>
      <c r="J33" t="s">
        <v>5</v>
      </c>
      <c r="K33" t="str">
        <f t="shared" si="20"/>
        <v>Y</v>
      </c>
      <c r="L33" s="9">
        <v>-100</v>
      </c>
      <c r="M33" s="9">
        <f t="shared" ref="M33:M37" si="22">IF(D33&gt;0.65, IF(K33="Y",100^2/-E33, -100), 0)</f>
        <v>7.9051383399209483</v>
      </c>
      <c r="N33" s="18">
        <f t="shared" ref="N33:N37" si="23">IF(K33="Y",IF(D33&gt;0.5,100^2/-E33,F33),-100)</f>
        <v>7.9051383399209483</v>
      </c>
    </row>
    <row r="34" spans="1:14" x14ac:dyDescent="0.2">
      <c r="A34" s="4" t="s">
        <v>40</v>
      </c>
      <c r="B34" t="s">
        <v>30</v>
      </c>
      <c r="C34" t="s">
        <v>40</v>
      </c>
      <c r="D34" s="2">
        <v>0.71830000000000005</v>
      </c>
      <c r="E34">
        <v>-370</v>
      </c>
      <c r="F34">
        <v>250</v>
      </c>
      <c r="G34" s="2">
        <f t="shared" si="21"/>
        <v>0.71830000000000005</v>
      </c>
      <c r="H34" s="3">
        <f t="shared" si="18"/>
        <v>-8.7564864864864802</v>
      </c>
      <c r="I34" s="3">
        <f t="shared" si="19"/>
        <v>-1.4050000000000011</v>
      </c>
      <c r="J34" t="s">
        <v>40</v>
      </c>
      <c r="K34" t="str">
        <f t="shared" si="20"/>
        <v>Y</v>
      </c>
      <c r="L34" s="9"/>
      <c r="M34" s="9">
        <f t="shared" si="22"/>
        <v>27.027027027027028</v>
      </c>
      <c r="N34" s="18">
        <f t="shared" si="23"/>
        <v>27.027027027027028</v>
      </c>
    </row>
    <row r="35" spans="1:14" x14ac:dyDescent="0.2">
      <c r="A35" s="4" t="s">
        <v>8</v>
      </c>
      <c r="B35" t="s">
        <v>19</v>
      </c>
      <c r="C35" t="s">
        <v>8</v>
      </c>
      <c r="D35" s="2">
        <v>0.61850000000000005</v>
      </c>
      <c r="E35">
        <v>-270</v>
      </c>
      <c r="F35">
        <v>190</v>
      </c>
      <c r="G35" s="2">
        <f t="shared" si="21"/>
        <v>0.61850000000000005</v>
      </c>
      <c r="H35" s="3">
        <f t="shared" si="18"/>
        <v>-15.24259259259258</v>
      </c>
      <c r="I35" s="3">
        <f t="shared" si="19"/>
        <v>10.634999999999977</v>
      </c>
      <c r="J35" t="s">
        <v>8</v>
      </c>
      <c r="K35" t="str">
        <f t="shared" si="20"/>
        <v>Y</v>
      </c>
      <c r="L35" s="9">
        <v>-100</v>
      </c>
      <c r="M35" s="9">
        <f t="shared" si="22"/>
        <v>0</v>
      </c>
      <c r="N35" s="18">
        <f t="shared" si="23"/>
        <v>37.037037037037038</v>
      </c>
    </row>
    <row r="36" spans="1:14" x14ac:dyDescent="0.2">
      <c r="A36" s="4" t="s">
        <v>41</v>
      </c>
      <c r="B36" t="s">
        <v>31</v>
      </c>
      <c r="C36" t="s">
        <v>41</v>
      </c>
      <c r="D36" s="2">
        <v>0.58250000000000002</v>
      </c>
      <c r="E36">
        <v>-260</v>
      </c>
      <c r="F36">
        <v>185</v>
      </c>
      <c r="G36" s="2">
        <f>IF(E36&lt;0,D36,1-D36)</f>
        <v>0.58250000000000002</v>
      </c>
      <c r="H36" s="3">
        <f t="shared" si="18"/>
        <v>-19.346153846153847</v>
      </c>
      <c r="I36" s="3">
        <f t="shared" si="19"/>
        <v>18.987499999999997</v>
      </c>
      <c r="J36" t="s">
        <v>41</v>
      </c>
      <c r="K36" t="str">
        <f t="shared" si="20"/>
        <v>Y</v>
      </c>
      <c r="L36" s="9">
        <v>-100</v>
      </c>
      <c r="M36" s="9">
        <f t="shared" si="22"/>
        <v>0</v>
      </c>
      <c r="N36" s="18">
        <f t="shared" si="23"/>
        <v>38.46153846153846</v>
      </c>
    </row>
    <row r="37" spans="1:14" ht="17" thickBot="1" x14ac:dyDescent="0.25">
      <c r="A37" s="4" t="s">
        <v>14</v>
      </c>
      <c r="B37" t="s">
        <v>35</v>
      </c>
      <c r="C37" t="s">
        <v>35</v>
      </c>
      <c r="D37" s="2">
        <v>0.62570000000000003</v>
      </c>
      <c r="E37">
        <v>-120</v>
      </c>
      <c r="F37">
        <f>100^2/115</f>
        <v>86.956521739130437</v>
      </c>
      <c r="G37" s="2">
        <f t="shared" ref="G37" si="24">IF(E37&lt;0,D37,1-D37)</f>
        <v>0.62570000000000003</v>
      </c>
      <c r="H37" s="3">
        <f t="shared" si="18"/>
        <v>14.711666666666666</v>
      </c>
      <c r="I37" s="3">
        <f t="shared" si="19"/>
        <v>-30.022173913043481</v>
      </c>
      <c r="J37" t="s">
        <v>35</v>
      </c>
      <c r="K37" t="str">
        <f t="shared" si="20"/>
        <v>Y</v>
      </c>
      <c r="L37" s="9">
        <v>14.71</v>
      </c>
      <c r="M37" s="9">
        <f t="shared" si="22"/>
        <v>0</v>
      </c>
      <c r="N37" s="18">
        <f t="shared" si="23"/>
        <v>83.333333333333329</v>
      </c>
    </row>
    <row r="38" spans="1:14" ht="17" thickBot="1" x14ac:dyDescent="0.25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15"/>
      <c r="L38" s="10">
        <f>SUM(L32:L37)</f>
        <v>-385.29</v>
      </c>
      <c r="M38" s="10">
        <f>SUM(M32:M37)</f>
        <v>34.932165366947977</v>
      </c>
      <c r="N38" s="22">
        <f>SUM(N32:N37)</f>
        <v>227.66237928360255</v>
      </c>
    </row>
    <row r="39" spans="1:14" ht="17" thickBot="1" x14ac:dyDescent="0.25">
      <c r="A39" s="20" t="s">
        <v>0</v>
      </c>
      <c r="B39" s="1" t="s">
        <v>1</v>
      </c>
      <c r="C39" s="1" t="s">
        <v>2</v>
      </c>
      <c r="D39" s="1" t="s">
        <v>25</v>
      </c>
      <c r="E39" s="1" t="s">
        <v>26</v>
      </c>
      <c r="F39" s="1" t="s">
        <v>27</v>
      </c>
      <c r="G39" s="1" t="s">
        <v>20</v>
      </c>
      <c r="H39" s="1" t="s">
        <v>3</v>
      </c>
      <c r="I39" s="1" t="s">
        <v>4</v>
      </c>
      <c r="J39" s="1" t="s">
        <v>22</v>
      </c>
      <c r="K39" s="1" t="s">
        <v>24</v>
      </c>
      <c r="L39" s="12" t="s">
        <v>23</v>
      </c>
      <c r="M39" s="12" t="s">
        <v>43</v>
      </c>
      <c r="N39" s="18"/>
    </row>
    <row r="40" spans="1:14" x14ac:dyDescent="0.2">
      <c r="A40" s="5" t="s">
        <v>32</v>
      </c>
      <c r="B40" s="6" t="s">
        <v>10</v>
      </c>
      <c r="C40" s="6" t="s">
        <v>10</v>
      </c>
      <c r="D40" s="7">
        <v>0.59309999999999996</v>
      </c>
      <c r="E40" s="6">
        <v>-120</v>
      </c>
      <c r="F40" s="6">
        <f>100^2/110</f>
        <v>90.909090909090907</v>
      </c>
      <c r="G40" s="7">
        <f>IF(E40&lt;0,D40,1-D40)</f>
        <v>0.59309999999999996</v>
      </c>
      <c r="H40" s="8">
        <f t="shared" ref="H40:H47" si="25">G40*100*100/-E40+(1-G40)*-100</f>
        <v>8.7349999999999852</v>
      </c>
      <c r="I40" s="8">
        <f t="shared" ref="I40:I47" si="26">(1-G40)*100*F40/100+G40*-100</f>
        <v>-22.319090909090903</v>
      </c>
      <c r="J40" s="6" t="s">
        <v>32</v>
      </c>
      <c r="K40" s="6" t="str">
        <f t="shared" ref="K40:K47" si="27">IF(C40=J40,"Y","N")</f>
        <v>N</v>
      </c>
      <c r="L40" s="9"/>
      <c r="M40" s="9">
        <f>IF(D40&gt;0.65, IF(K40="Y",100^2/-E40, -100), 0)</f>
        <v>0</v>
      </c>
      <c r="N40" s="18">
        <f>IF(K40="Y",IF(D40&gt;0.5,100^2/-E40,F40),-100)</f>
        <v>-100</v>
      </c>
    </row>
    <row r="41" spans="1:14" x14ac:dyDescent="0.2">
      <c r="A41" s="4" t="s">
        <v>33</v>
      </c>
      <c r="B41" t="s">
        <v>36</v>
      </c>
      <c r="C41" t="s">
        <v>33</v>
      </c>
      <c r="D41" s="2">
        <v>0.62780000000000002</v>
      </c>
      <c r="E41">
        <v>-150</v>
      </c>
      <c r="F41">
        <v>110</v>
      </c>
      <c r="G41" s="2">
        <f t="shared" ref="G41:G43" si="28">IF(E41&lt;0,D41,1-D41)</f>
        <v>0.62780000000000002</v>
      </c>
      <c r="H41" s="3">
        <f t="shared" si="25"/>
        <v>4.6333333333333329</v>
      </c>
      <c r="I41" s="3">
        <f t="shared" si="26"/>
        <v>-21.838000000000001</v>
      </c>
      <c r="J41" t="s">
        <v>33</v>
      </c>
      <c r="K41" t="str">
        <f t="shared" si="27"/>
        <v>Y</v>
      </c>
      <c r="L41" s="9"/>
      <c r="M41" s="9">
        <f t="shared" ref="M41:M47" si="29">IF(D41&gt;0.65, IF(K41="Y",100^2/-E41, -100), 0)</f>
        <v>0</v>
      </c>
      <c r="N41" s="18">
        <f t="shared" ref="N41:N47" si="30">IF(K41="Y",IF(D41&gt;0.5,100^2/-E41,F41),-100)</f>
        <v>66.666666666666671</v>
      </c>
    </row>
    <row r="42" spans="1:14" x14ac:dyDescent="0.2">
      <c r="A42" s="4" t="s">
        <v>39</v>
      </c>
      <c r="B42" t="s">
        <v>6</v>
      </c>
      <c r="C42" t="s">
        <v>39</v>
      </c>
      <c r="D42" s="2">
        <v>0.83609999999999995</v>
      </c>
      <c r="E42">
        <v>-465</v>
      </c>
      <c r="F42">
        <v>300</v>
      </c>
      <c r="G42" s="2">
        <f t="shared" si="28"/>
        <v>0.83609999999999995</v>
      </c>
      <c r="H42" s="3">
        <f t="shared" si="25"/>
        <v>1.5906451612903183</v>
      </c>
      <c r="I42" s="3">
        <f t="shared" si="26"/>
        <v>-34.439999999999991</v>
      </c>
      <c r="J42" t="s">
        <v>39</v>
      </c>
      <c r="K42" t="str">
        <f t="shared" si="27"/>
        <v>Y</v>
      </c>
      <c r="L42" s="9"/>
      <c r="M42" s="9">
        <f t="shared" si="29"/>
        <v>21.50537634408602</v>
      </c>
      <c r="N42" s="18">
        <f t="shared" si="30"/>
        <v>21.50537634408602</v>
      </c>
    </row>
    <row r="43" spans="1:14" x14ac:dyDescent="0.2">
      <c r="A43" s="4" t="s">
        <v>37</v>
      </c>
      <c r="B43" t="s">
        <v>12</v>
      </c>
      <c r="C43" t="s">
        <v>37</v>
      </c>
      <c r="D43" s="2">
        <v>0.71930000000000005</v>
      </c>
      <c r="E43">
        <v>-390</v>
      </c>
      <c r="F43">
        <v>260</v>
      </c>
      <c r="G43" s="2">
        <f t="shared" si="28"/>
        <v>0.71930000000000005</v>
      </c>
      <c r="H43" s="3">
        <f t="shared" si="25"/>
        <v>-9.6264102564102458</v>
      </c>
      <c r="I43" s="3">
        <f t="shared" si="26"/>
        <v>1.0519999999999783</v>
      </c>
      <c r="J43" t="s">
        <v>12</v>
      </c>
      <c r="K43" t="str">
        <f t="shared" si="27"/>
        <v>N</v>
      </c>
      <c r="L43" s="9"/>
      <c r="M43" s="9">
        <f t="shared" si="29"/>
        <v>-100</v>
      </c>
      <c r="N43" s="18">
        <f t="shared" si="30"/>
        <v>-100</v>
      </c>
    </row>
    <row r="44" spans="1:14" x14ac:dyDescent="0.2">
      <c r="A44" s="4" t="s">
        <v>13</v>
      </c>
      <c r="B44" t="s">
        <v>21</v>
      </c>
      <c r="C44" t="s">
        <v>13</v>
      </c>
      <c r="D44" s="2">
        <v>0.83819999999999995</v>
      </c>
      <c r="E44">
        <v>-2560</v>
      </c>
      <c r="F44">
        <v>835</v>
      </c>
      <c r="G44" s="2">
        <f>IF(E44&lt;0,D44,1-D44)</f>
        <v>0.83819999999999995</v>
      </c>
      <c r="H44" s="3">
        <f t="shared" si="25"/>
        <v>-12.905781250000008</v>
      </c>
      <c r="I44" s="3">
        <f t="shared" si="26"/>
        <v>51.283000000000072</v>
      </c>
      <c r="J44" t="s">
        <v>13</v>
      </c>
      <c r="K44" t="str">
        <f t="shared" si="27"/>
        <v>Y</v>
      </c>
      <c r="L44" s="9">
        <v>-100</v>
      </c>
      <c r="M44" s="9">
        <f t="shared" si="29"/>
        <v>3.90625</v>
      </c>
      <c r="N44" s="18">
        <f t="shared" si="30"/>
        <v>3.90625</v>
      </c>
    </row>
    <row r="45" spans="1:14" x14ac:dyDescent="0.2">
      <c r="A45" s="4" t="s">
        <v>7</v>
      </c>
      <c r="B45" t="s">
        <v>9</v>
      </c>
      <c r="C45" t="s">
        <v>7</v>
      </c>
      <c r="D45" s="2">
        <f>100%-52.17%</f>
        <v>0.47829999999999995</v>
      </c>
      <c r="E45">
        <v>-195</v>
      </c>
      <c r="F45">
        <v>140</v>
      </c>
      <c r="G45" s="2">
        <f t="shared" ref="G45:G47" si="31">IF(E45&lt;0,D45,1-D45)</f>
        <v>0.47829999999999995</v>
      </c>
      <c r="H45" s="3">
        <f t="shared" si="25"/>
        <v>-27.641794871794872</v>
      </c>
      <c r="I45" s="3">
        <f t="shared" si="26"/>
        <v>25.207999999999998</v>
      </c>
      <c r="J45" t="s">
        <v>7</v>
      </c>
      <c r="K45" t="str">
        <f t="shared" si="27"/>
        <v>Y</v>
      </c>
      <c r="L45" s="9">
        <v>140</v>
      </c>
      <c r="M45" s="9">
        <f t="shared" si="29"/>
        <v>0</v>
      </c>
      <c r="N45" s="18">
        <f t="shared" si="30"/>
        <v>140</v>
      </c>
    </row>
    <row r="46" spans="1:14" x14ac:dyDescent="0.2">
      <c r="A46" s="4" t="s">
        <v>41</v>
      </c>
      <c r="B46" t="s">
        <v>17</v>
      </c>
      <c r="C46" t="s">
        <v>41</v>
      </c>
      <c r="D46" s="2">
        <v>0.81610000000000005</v>
      </c>
      <c r="E46">
        <v>-785</v>
      </c>
      <c r="F46">
        <v>445</v>
      </c>
      <c r="G46" s="2">
        <f t="shared" si="31"/>
        <v>0.81610000000000005</v>
      </c>
      <c r="H46" s="3">
        <f t="shared" si="25"/>
        <v>-7.9938216560509492</v>
      </c>
      <c r="I46" s="3">
        <f t="shared" si="26"/>
        <v>0.22549999999996828</v>
      </c>
      <c r="J46" t="s">
        <v>41</v>
      </c>
      <c r="K46" t="str">
        <f t="shared" si="27"/>
        <v>Y</v>
      </c>
      <c r="L46" s="9"/>
      <c r="M46" s="9">
        <f t="shared" si="29"/>
        <v>12.738853503184714</v>
      </c>
      <c r="N46" s="18">
        <f t="shared" si="30"/>
        <v>12.738853503184714</v>
      </c>
    </row>
    <row r="47" spans="1:14" ht="17" thickBot="1" x14ac:dyDescent="0.25">
      <c r="A47" s="4" t="s">
        <v>42</v>
      </c>
      <c r="B47" t="s">
        <v>15</v>
      </c>
      <c r="C47" t="s">
        <v>42</v>
      </c>
      <c r="D47" s="2">
        <v>0.66210000000000002</v>
      </c>
      <c r="E47">
        <v>-330</v>
      </c>
      <c r="F47">
        <v>225</v>
      </c>
      <c r="G47" s="2">
        <f t="shared" si="31"/>
        <v>0.66210000000000002</v>
      </c>
      <c r="H47" s="3">
        <f t="shared" si="25"/>
        <v>-13.726363636363633</v>
      </c>
      <c r="I47" s="3">
        <f t="shared" si="26"/>
        <v>9.8174999999999955</v>
      </c>
      <c r="J47" t="s">
        <v>42</v>
      </c>
      <c r="K47" t="str">
        <f t="shared" si="27"/>
        <v>Y</v>
      </c>
      <c r="L47" s="9"/>
      <c r="M47" s="9">
        <f t="shared" si="29"/>
        <v>30.303030303030305</v>
      </c>
      <c r="N47" s="18">
        <f t="shared" si="30"/>
        <v>30.303030303030305</v>
      </c>
    </row>
    <row r="48" spans="1:14" ht="17" thickBot="1" x14ac:dyDescent="0.25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15"/>
      <c r="L48" s="10">
        <f>SUM(L40:L45)</f>
        <v>40</v>
      </c>
      <c r="M48" s="10">
        <f>SUM(M40:M47)</f>
        <v>-31.546489849698965</v>
      </c>
      <c r="N48" s="22">
        <f>SUM(N40:N47)</f>
        <v>75.1201768169677</v>
      </c>
    </row>
    <row r="49" spans="1:14" ht="17" thickBot="1" x14ac:dyDescent="0.25">
      <c r="A49" s="20" t="s">
        <v>0</v>
      </c>
      <c r="B49" s="1" t="s">
        <v>1</v>
      </c>
      <c r="C49" s="1" t="s">
        <v>2</v>
      </c>
      <c r="D49" s="1" t="s">
        <v>25</v>
      </c>
      <c r="E49" s="1" t="s">
        <v>26</v>
      </c>
      <c r="F49" s="1" t="s">
        <v>27</v>
      </c>
      <c r="G49" s="1" t="s">
        <v>20</v>
      </c>
      <c r="H49" s="1" t="s">
        <v>3</v>
      </c>
      <c r="I49" s="1" t="s">
        <v>4</v>
      </c>
      <c r="J49" s="1" t="s">
        <v>22</v>
      </c>
      <c r="K49" s="1" t="s">
        <v>24</v>
      </c>
      <c r="L49" s="12" t="s">
        <v>23</v>
      </c>
      <c r="M49" s="12" t="s">
        <v>43</v>
      </c>
      <c r="N49" s="18"/>
    </row>
    <row r="50" spans="1:14" x14ac:dyDescent="0.2">
      <c r="A50" s="5" t="s">
        <v>38</v>
      </c>
      <c r="B50" s="6" t="s">
        <v>11</v>
      </c>
      <c r="C50" s="6" t="s">
        <v>38</v>
      </c>
      <c r="D50" s="7">
        <v>0.66779999999999995</v>
      </c>
      <c r="E50" s="6">
        <v>-615</v>
      </c>
      <c r="F50" s="6">
        <v>370</v>
      </c>
      <c r="G50" s="7">
        <f>IF(E50&lt;0,D50,1-D50)</f>
        <v>0.66779999999999995</v>
      </c>
      <c r="H50" s="8">
        <f t="shared" ref="H50:H55" si="32">G50*100*100/-E50+(1-G50)*-100</f>
        <v>-22.361463414634152</v>
      </c>
      <c r="I50" s="8">
        <f t="shared" ref="I50:I55" si="33">(1-G50)*100*F50/100+G50*-100</f>
        <v>56.134000000000015</v>
      </c>
      <c r="J50" s="6" t="s">
        <v>38</v>
      </c>
      <c r="K50" s="6" t="str">
        <f t="shared" ref="K50:K55" si="34">IF(C50=J50,"Y","N")</f>
        <v>Y</v>
      </c>
      <c r="L50" s="9">
        <v>-100</v>
      </c>
      <c r="M50" s="9">
        <f>IF(D50&gt;0.65, IF(K50="Y",100^2/-E50, -100), 0)</f>
        <v>16.260162601626018</v>
      </c>
      <c r="N50" s="18">
        <f>IF(K50="Y",IF(D50&gt;0.5,100^2/-E50,F50),-100)</f>
        <v>16.260162601626018</v>
      </c>
    </row>
    <row r="51" spans="1:14" x14ac:dyDescent="0.2">
      <c r="A51" s="4" t="s">
        <v>40</v>
      </c>
      <c r="B51" t="s">
        <v>5</v>
      </c>
      <c r="C51" t="s">
        <v>5</v>
      </c>
      <c r="D51" s="2">
        <v>0.50149999999999995</v>
      </c>
      <c r="E51">
        <v>-175</v>
      </c>
      <c r="F51">
        <v>125</v>
      </c>
      <c r="G51" s="2">
        <f t="shared" ref="G51:G53" si="35">IF(E51&lt;0,D51,1-D51)</f>
        <v>0.50149999999999995</v>
      </c>
      <c r="H51" s="3">
        <f t="shared" si="32"/>
        <v>-21.192857142857157</v>
      </c>
      <c r="I51" s="3">
        <f t="shared" si="33"/>
        <v>12.162500000000016</v>
      </c>
      <c r="J51" s="23" t="s">
        <v>40</v>
      </c>
      <c r="K51" t="str">
        <f t="shared" si="34"/>
        <v>N</v>
      </c>
      <c r="L51" s="9">
        <v>-100</v>
      </c>
      <c r="M51" s="9">
        <f t="shared" ref="M51:M55" si="36">IF(D51&gt;0.65, IF(K51="Y",100^2/-E51, -100), 0)</f>
        <v>0</v>
      </c>
      <c r="N51" s="18">
        <f t="shared" ref="N51:N55" si="37">IF(K51="Y",IF(D51&gt;0.5,100^2/-E51,F51),-100)</f>
        <v>-100</v>
      </c>
    </row>
    <row r="52" spans="1:14" x14ac:dyDescent="0.2">
      <c r="A52" s="4" t="s">
        <v>8</v>
      </c>
      <c r="B52" t="s">
        <v>30</v>
      </c>
      <c r="C52" t="s">
        <v>8</v>
      </c>
      <c r="D52" s="2">
        <v>0.61270000000000002</v>
      </c>
      <c r="E52">
        <v>-270</v>
      </c>
      <c r="F52">
        <v>190</v>
      </c>
      <c r="G52" s="2">
        <f t="shared" si="35"/>
        <v>0.61270000000000002</v>
      </c>
      <c r="H52" s="3">
        <f t="shared" si="32"/>
        <v>-16.037407407407404</v>
      </c>
      <c r="I52" s="3">
        <f t="shared" si="33"/>
        <v>12.317</v>
      </c>
      <c r="J52" s="23" t="s">
        <v>8</v>
      </c>
      <c r="K52" t="str">
        <f t="shared" si="34"/>
        <v>Y</v>
      </c>
      <c r="L52" s="9">
        <v>-100</v>
      </c>
      <c r="M52" s="9">
        <f t="shared" si="36"/>
        <v>0</v>
      </c>
      <c r="N52" s="18">
        <f t="shared" si="37"/>
        <v>37.037037037037038</v>
      </c>
    </row>
    <row r="53" spans="1:14" x14ac:dyDescent="0.2">
      <c r="A53" s="4" t="s">
        <v>14</v>
      </c>
      <c r="B53" t="s">
        <v>28</v>
      </c>
      <c r="C53" t="s">
        <v>14</v>
      </c>
      <c r="D53" s="2">
        <v>0.65820000000000001</v>
      </c>
      <c r="E53">
        <v>-755</v>
      </c>
      <c r="F53">
        <v>430</v>
      </c>
      <c r="G53" s="2">
        <f t="shared" si="35"/>
        <v>0.65820000000000001</v>
      </c>
      <c r="H53" s="3">
        <f t="shared" si="32"/>
        <v>-25.462119205298009</v>
      </c>
      <c r="I53" s="3">
        <f t="shared" si="33"/>
        <v>81.153999999999982</v>
      </c>
      <c r="J53" s="23" t="s">
        <v>14</v>
      </c>
      <c r="K53" t="str">
        <f t="shared" si="34"/>
        <v>Y</v>
      </c>
      <c r="L53" s="9">
        <v>-100</v>
      </c>
      <c r="M53" s="9">
        <f t="shared" si="36"/>
        <v>13.245033112582782</v>
      </c>
      <c r="N53" s="18">
        <f t="shared" si="37"/>
        <v>13.245033112582782</v>
      </c>
    </row>
    <row r="54" spans="1:14" x14ac:dyDescent="0.2">
      <c r="A54" s="4" t="s">
        <v>35</v>
      </c>
      <c r="B54" t="s">
        <v>21</v>
      </c>
      <c r="C54" t="s">
        <v>35</v>
      </c>
      <c r="D54" s="2">
        <v>0.81779999999999997</v>
      </c>
      <c r="E54">
        <v>-2770</v>
      </c>
      <c r="F54">
        <v>860</v>
      </c>
      <c r="G54" s="2">
        <f>IF(E54&lt;0,D54,1-D54)</f>
        <v>0.81779999999999997</v>
      </c>
      <c r="H54" s="3">
        <f t="shared" si="32"/>
        <v>-15.267653429602891</v>
      </c>
      <c r="I54" s="3">
        <f t="shared" si="33"/>
        <v>74.912000000000035</v>
      </c>
      <c r="J54" t="s">
        <v>21</v>
      </c>
      <c r="K54" t="str">
        <f t="shared" si="34"/>
        <v>N</v>
      </c>
      <c r="L54" s="9">
        <v>860</v>
      </c>
      <c r="M54" s="9">
        <f t="shared" si="36"/>
        <v>-100</v>
      </c>
      <c r="N54" s="18">
        <f t="shared" si="37"/>
        <v>-100</v>
      </c>
    </row>
    <row r="55" spans="1:14" ht="17" thickBot="1" x14ac:dyDescent="0.25">
      <c r="A55" s="4" t="s">
        <v>16</v>
      </c>
      <c r="B55" t="s">
        <v>31</v>
      </c>
      <c r="C55" t="s">
        <v>16</v>
      </c>
      <c r="D55" s="2">
        <v>0.59160000000000001</v>
      </c>
      <c r="E55">
        <v>-165</v>
      </c>
      <c r="F55">
        <v>125</v>
      </c>
      <c r="G55" s="2">
        <f t="shared" ref="G55" si="38">IF(E55&lt;0,D55,1-D55)</f>
        <v>0.59160000000000001</v>
      </c>
      <c r="H55" s="3">
        <f t="shared" si="32"/>
        <v>-4.9854545454545445</v>
      </c>
      <c r="I55" s="3">
        <f t="shared" si="33"/>
        <v>-8.1100000000000136</v>
      </c>
      <c r="J55" t="s">
        <v>16</v>
      </c>
      <c r="K55" t="str">
        <f t="shared" si="34"/>
        <v>Y</v>
      </c>
      <c r="L55" s="9"/>
      <c r="M55" s="9">
        <f t="shared" si="36"/>
        <v>0</v>
      </c>
      <c r="N55" s="18">
        <f t="shared" si="37"/>
        <v>60.606060606060609</v>
      </c>
    </row>
    <row r="56" spans="1:14" ht="17" thickBot="1" x14ac:dyDescent="0.25">
      <c r="A56" s="15"/>
      <c r="B56" s="21"/>
      <c r="C56" s="21"/>
      <c r="D56" s="21"/>
      <c r="E56" s="21"/>
      <c r="F56" s="21"/>
      <c r="G56" s="21"/>
      <c r="H56" s="21"/>
      <c r="I56" s="21"/>
      <c r="J56" s="21"/>
      <c r="K56" s="15"/>
      <c r="L56" s="10">
        <f>SUM(L50:L55)</f>
        <v>460</v>
      </c>
      <c r="M56" s="10">
        <f>SUM(M50:M55)</f>
        <v>-70.494804285791204</v>
      </c>
      <c r="N56" s="22">
        <f>SUM(N50:N55)</f>
        <v>-72.851706642693543</v>
      </c>
    </row>
  </sheetData>
  <conditionalFormatting sqref="D12:D21">
    <cfRule type="colorScale" priority="17">
      <colorScale>
        <cfvo type="num" val="0.5"/>
        <cfvo type="num" val="1"/>
        <color rgb="FFFCFCFF"/>
        <color rgb="FF63BE7B"/>
      </colorScale>
    </cfRule>
  </conditionalFormatting>
  <conditionalFormatting sqref="D24:D29">
    <cfRule type="colorScale" priority="13">
      <colorScale>
        <cfvo type="num" val="0.5"/>
        <cfvo type="num" val="1"/>
        <color rgb="FFFCFCFF"/>
        <color rgb="FF63BE7B"/>
      </colorScale>
    </cfRule>
  </conditionalFormatting>
  <conditionalFormatting sqref="D32:D37">
    <cfRule type="colorScale" priority="9">
      <colorScale>
        <cfvo type="num" val="0.5"/>
        <cfvo type="num" val="1"/>
        <color rgb="FFFCFCFF"/>
        <color rgb="FF63BE7B"/>
      </colorScale>
    </cfRule>
  </conditionalFormatting>
  <conditionalFormatting sqref="D40:D47">
    <cfRule type="colorScale" priority="5">
      <colorScale>
        <cfvo type="num" val="0.5"/>
        <cfvo type="num" val="1"/>
        <color rgb="FFFCFCFF"/>
        <color rgb="FF63BE7B"/>
      </colorScale>
    </cfRule>
  </conditionalFormatting>
  <conditionalFormatting sqref="D50:D55">
    <cfRule type="colorScale" priority="1">
      <colorScale>
        <cfvo type="num" val="0.5"/>
        <cfvo type="num" val="1"/>
        <color rgb="FFFCFCFF"/>
        <color rgb="FF63BE7B"/>
      </colorScale>
    </cfRule>
  </conditionalFormatting>
  <conditionalFormatting sqref="H2:I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I2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I3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I4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I5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2" operator="containsText" text="Y">
      <formula>NOT(ISERROR(SEARCH("Y",K2)))</formula>
    </cfRule>
  </conditionalFormatting>
  <conditionalFormatting sqref="K12:K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19" operator="containsText" text="Y">
      <formula>NOT(ISERROR(SEARCH("Y",K12)))</formula>
    </cfRule>
  </conditionalFormatting>
  <conditionalFormatting sqref="K24:K29">
    <cfRule type="containsText" dxfId="3" priority="29" operator="containsText" text="Y">
      <formula>NOT(ISERROR(SEARCH("Y",K24)))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7">
    <cfRule type="containsText" dxfId="2" priority="11" operator="containsText" text="Y">
      <formula>NOT(ISERROR(SEARCH("Y",K32)))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K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7" operator="containsText" text="Y">
      <formula>NOT(ISERROR(SEARCH("Y",K40)))</formula>
    </cfRule>
  </conditionalFormatting>
  <conditionalFormatting sqref="K50:K55">
    <cfRule type="containsText" dxfId="0" priority="32" operator="containsText" text="Y">
      <formula>NOT(ISERROR(SEARCH("Y",K50)))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Rex, Atticus</dc:creator>
  <cp:lastModifiedBy>Rex, Atticus</cp:lastModifiedBy>
  <dcterms:created xsi:type="dcterms:W3CDTF">2023-12-28T13:41:26Z</dcterms:created>
  <dcterms:modified xsi:type="dcterms:W3CDTF">2024-01-03T17:03:01Z</dcterms:modified>
</cp:coreProperties>
</file>