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ocuments/NBADataScience/"/>
    </mc:Choice>
  </mc:AlternateContent>
  <xr:revisionPtr revIDLastSave="0" documentId="13_ncr:1_{C0A26E9F-81AF-BF49-B6B3-58B192FAC6CE}" xr6:coauthVersionLast="47" xr6:coauthVersionMax="47" xr10:uidLastSave="{00000000-0000-0000-0000-000000000000}"/>
  <bookViews>
    <workbookView xWindow="0" yWindow="500" windowWidth="28800" windowHeight="16080" activeTab="1" xr2:uid="{0B0A54B6-9E21-F749-A70B-9633D2A512FF}"/>
  </bookViews>
  <sheets>
    <sheet name="Sheet1" sheetId="1" r:id="rId1"/>
    <sheet name="LiveBetting" sheetId="2" r:id="rId2"/>
  </sheets>
  <definedNames>
    <definedName name="_xlnm._FilterDatabase" localSheetId="0" hidden="1">Sheet1!$V$2:$V$149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2" l="1"/>
  <c r="X9" i="2"/>
  <c r="X8" i="2"/>
  <c r="X7" i="2"/>
  <c r="H2" i="2"/>
  <c r="L2" i="2" s="1"/>
  <c r="H3" i="2"/>
  <c r="L3" i="2" s="1"/>
  <c r="S3" i="2" s="1"/>
  <c r="H4" i="2"/>
  <c r="L4" i="2" s="1"/>
  <c r="H5" i="2"/>
  <c r="L5" i="2" s="1"/>
  <c r="H6" i="2"/>
  <c r="L6" i="2" s="1"/>
  <c r="H7" i="2"/>
  <c r="I7" i="2" s="1"/>
  <c r="N7" i="2"/>
  <c r="X6" i="2"/>
  <c r="X5" i="2"/>
  <c r="X4" i="2"/>
  <c r="U5" i="2"/>
  <c r="N6" i="2"/>
  <c r="N5" i="2"/>
  <c r="N4" i="2"/>
  <c r="N3" i="2"/>
  <c r="N2" i="2"/>
  <c r="W2" i="1"/>
  <c r="N149" i="1"/>
  <c r="Q149" i="1" s="1"/>
  <c r="P149" i="1"/>
  <c r="P148" i="1"/>
  <c r="N148" i="1"/>
  <c r="Q148" i="1" s="1"/>
  <c r="H148" i="1"/>
  <c r="I148" i="1" s="1"/>
  <c r="E148" i="1"/>
  <c r="P147" i="1"/>
  <c r="N147" i="1"/>
  <c r="Q147" i="1" s="1"/>
  <c r="H147" i="1"/>
  <c r="J147" i="1" s="1"/>
  <c r="E147" i="1"/>
  <c r="D113" i="1"/>
  <c r="D134" i="1"/>
  <c r="D146" i="1"/>
  <c r="P146" i="1" s="1"/>
  <c r="H103" i="1"/>
  <c r="I103" i="1" s="1"/>
  <c r="E100" i="1"/>
  <c r="S146" i="1"/>
  <c r="P137" i="1"/>
  <c r="P139" i="1"/>
  <c r="P141" i="1"/>
  <c r="P144" i="1"/>
  <c r="P145" i="1"/>
  <c r="G146" i="1"/>
  <c r="N146" i="1"/>
  <c r="Q146" i="1" s="1"/>
  <c r="H146" i="1"/>
  <c r="K146" i="1" s="1"/>
  <c r="E146" i="1"/>
  <c r="N145" i="1"/>
  <c r="Q145" i="1" s="1"/>
  <c r="H145" i="1"/>
  <c r="J145" i="1" s="1"/>
  <c r="E145" i="1"/>
  <c r="N144" i="1"/>
  <c r="Q144" i="1" s="1"/>
  <c r="H144" i="1"/>
  <c r="I144" i="1" s="1"/>
  <c r="E144" i="1"/>
  <c r="N143" i="1"/>
  <c r="Q143" i="1" s="1"/>
  <c r="H143" i="1"/>
  <c r="J143" i="1" s="1"/>
  <c r="E143" i="1"/>
  <c r="N142" i="1"/>
  <c r="P142" i="1" s="1"/>
  <c r="H142" i="1"/>
  <c r="K142" i="1" s="1"/>
  <c r="E142" i="1"/>
  <c r="N141" i="1"/>
  <c r="Q141" i="1" s="1"/>
  <c r="H141" i="1"/>
  <c r="L141" i="1" s="1"/>
  <c r="E141" i="1"/>
  <c r="N140" i="1"/>
  <c r="P140" i="1" s="1"/>
  <c r="H140" i="1"/>
  <c r="I140" i="1" s="1"/>
  <c r="E140" i="1"/>
  <c r="N139" i="1"/>
  <c r="Q139" i="1" s="1"/>
  <c r="H139" i="1"/>
  <c r="I139" i="1" s="1"/>
  <c r="E139" i="1"/>
  <c r="N138" i="1"/>
  <c r="Q138" i="1" s="1"/>
  <c r="H138" i="1"/>
  <c r="K138" i="1" s="1"/>
  <c r="E138" i="1"/>
  <c r="N137" i="1"/>
  <c r="Q137" i="1" s="1"/>
  <c r="H137" i="1"/>
  <c r="J137" i="1" s="1"/>
  <c r="E137" i="1"/>
  <c r="N136" i="1"/>
  <c r="P136" i="1" s="1"/>
  <c r="H136" i="1"/>
  <c r="K136" i="1" s="1"/>
  <c r="E136" i="1"/>
  <c r="H131" i="1"/>
  <c r="K131" i="1" s="1"/>
  <c r="H132" i="1"/>
  <c r="J132" i="1" s="1"/>
  <c r="H133" i="1"/>
  <c r="I133" i="1" s="1"/>
  <c r="H134" i="1"/>
  <c r="K134" i="1" s="1"/>
  <c r="H135" i="1"/>
  <c r="L135" i="1" s="1"/>
  <c r="N135" i="1"/>
  <c r="Q135" i="1" s="1"/>
  <c r="E135" i="1"/>
  <c r="N134" i="1"/>
  <c r="Q134" i="1" s="1"/>
  <c r="E134" i="1"/>
  <c r="N133" i="1"/>
  <c r="P133" i="1" s="1"/>
  <c r="E133" i="1"/>
  <c r="N132" i="1"/>
  <c r="P132" i="1" s="1"/>
  <c r="E132" i="1"/>
  <c r="N131" i="1"/>
  <c r="P131" i="1" s="1"/>
  <c r="E131" i="1"/>
  <c r="P130" i="1"/>
  <c r="N130" i="1"/>
  <c r="Q130" i="1" s="1"/>
  <c r="H130" i="1"/>
  <c r="L130" i="1" s="1"/>
  <c r="E130" i="1"/>
  <c r="P129" i="1"/>
  <c r="N129" i="1"/>
  <c r="Q129" i="1" s="1"/>
  <c r="H129" i="1"/>
  <c r="L129" i="1" s="1"/>
  <c r="E129" i="1"/>
  <c r="N128" i="1"/>
  <c r="P128" i="1" s="1"/>
  <c r="H128" i="1"/>
  <c r="K128" i="1" s="1"/>
  <c r="E128" i="1"/>
  <c r="N127" i="1"/>
  <c r="Q127" i="1" s="1"/>
  <c r="H127" i="1"/>
  <c r="I127" i="1" s="1"/>
  <c r="E127" i="1"/>
  <c r="N126" i="1"/>
  <c r="Q126" i="1" s="1"/>
  <c r="H126" i="1"/>
  <c r="J126" i="1" s="1"/>
  <c r="E126" i="1"/>
  <c r="N125" i="1"/>
  <c r="P125" i="1" s="1"/>
  <c r="H125" i="1"/>
  <c r="K125" i="1" s="1"/>
  <c r="E125" i="1"/>
  <c r="N124" i="1"/>
  <c r="Q124" i="1" s="1"/>
  <c r="H124" i="1"/>
  <c r="L124" i="1" s="1"/>
  <c r="E124" i="1"/>
  <c r="N123" i="1"/>
  <c r="P123" i="1" s="1"/>
  <c r="H123" i="1"/>
  <c r="K123" i="1" s="1"/>
  <c r="E123" i="1"/>
  <c r="G113" i="1"/>
  <c r="N122" i="1"/>
  <c r="Q122" i="1" s="1"/>
  <c r="H122" i="1"/>
  <c r="L122" i="1" s="1"/>
  <c r="E122" i="1"/>
  <c r="N121" i="1"/>
  <c r="P121" i="1" s="1"/>
  <c r="H121" i="1"/>
  <c r="J121" i="1" s="1"/>
  <c r="E121" i="1"/>
  <c r="P120" i="1"/>
  <c r="N120" i="1"/>
  <c r="Q120" i="1" s="1"/>
  <c r="H120" i="1"/>
  <c r="I120" i="1" s="1"/>
  <c r="E120" i="1"/>
  <c r="N119" i="1"/>
  <c r="P119" i="1" s="1"/>
  <c r="H119" i="1"/>
  <c r="J119" i="1" s="1"/>
  <c r="E119" i="1"/>
  <c r="N118" i="1"/>
  <c r="Q118" i="1" s="1"/>
  <c r="H118" i="1"/>
  <c r="K118" i="1" s="1"/>
  <c r="E118" i="1"/>
  <c r="N117" i="1"/>
  <c r="Q117" i="1" s="1"/>
  <c r="H117" i="1"/>
  <c r="K117" i="1" s="1"/>
  <c r="E117" i="1"/>
  <c r="P116" i="1"/>
  <c r="N116" i="1"/>
  <c r="Q116" i="1" s="1"/>
  <c r="H116" i="1"/>
  <c r="K116" i="1" s="1"/>
  <c r="E116" i="1"/>
  <c r="N115" i="1"/>
  <c r="Q115" i="1" s="1"/>
  <c r="H115" i="1"/>
  <c r="L115" i="1" s="1"/>
  <c r="E115" i="1"/>
  <c r="N114" i="1"/>
  <c r="P114" i="1" s="1"/>
  <c r="H114" i="1"/>
  <c r="L114" i="1" s="1"/>
  <c r="E114" i="1"/>
  <c r="N113" i="1"/>
  <c r="Q113" i="1" s="1"/>
  <c r="H113" i="1"/>
  <c r="I113" i="1" s="1"/>
  <c r="E11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3" i="1"/>
  <c r="E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4" i="1"/>
  <c r="P95" i="1"/>
  <c r="P96" i="1"/>
  <c r="P97" i="1"/>
  <c r="P102" i="1"/>
  <c r="P103" i="1"/>
  <c r="P104" i="1"/>
  <c r="P105" i="1"/>
  <c r="P106" i="1"/>
  <c r="P109" i="1"/>
  <c r="P111" i="1"/>
  <c r="P1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3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3" i="1"/>
  <c r="K2" i="1"/>
  <c r="J2" i="1"/>
  <c r="G112" i="1"/>
  <c r="N112" i="1"/>
  <c r="Q112" i="1" s="1"/>
  <c r="H112" i="1"/>
  <c r="J112" i="1" s="1"/>
  <c r="N111" i="1"/>
  <c r="Q111" i="1" s="1"/>
  <c r="H111" i="1"/>
  <c r="J111" i="1" s="1"/>
  <c r="N110" i="1"/>
  <c r="Q110" i="1" s="1"/>
  <c r="H110" i="1"/>
  <c r="I110" i="1" s="1"/>
  <c r="N109" i="1"/>
  <c r="Q109" i="1" s="1"/>
  <c r="H109" i="1"/>
  <c r="J109" i="1" s="1"/>
  <c r="N108" i="1"/>
  <c r="P108" i="1" s="1"/>
  <c r="H108" i="1"/>
  <c r="I108" i="1" s="1"/>
  <c r="S105" i="1"/>
  <c r="S104" i="1"/>
  <c r="S103" i="1"/>
  <c r="S100" i="1"/>
  <c r="N107" i="1"/>
  <c r="Q107" i="1" s="1"/>
  <c r="H107" i="1"/>
  <c r="J107" i="1" s="1"/>
  <c r="N106" i="1"/>
  <c r="Q106" i="1" s="1"/>
  <c r="H106" i="1"/>
  <c r="I106" i="1" s="1"/>
  <c r="N105" i="1"/>
  <c r="Q105" i="1" s="1"/>
  <c r="N104" i="1"/>
  <c r="Q104" i="1" s="1"/>
  <c r="N103" i="1"/>
  <c r="Q103" i="1" s="1"/>
  <c r="N102" i="1"/>
  <c r="Q102" i="1" s="1"/>
  <c r="H102" i="1"/>
  <c r="I102" i="1" s="1"/>
  <c r="N101" i="1"/>
  <c r="P101" i="1" s="1"/>
  <c r="H101" i="1"/>
  <c r="J101" i="1" s="1"/>
  <c r="N100" i="1"/>
  <c r="Q100" i="1" s="1"/>
  <c r="N99" i="1"/>
  <c r="P99" i="1" s="1"/>
  <c r="H99" i="1"/>
  <c r="J99" i="1" s="1"/>
  <c r="N98" i="1"/>
  <c r="Q98" i="1" s="1"/>
  <c r="H98" i="1"/>
  <c r="I98" i="1" s="1"/>
  <c r="N95" i="1"/>
  <c r="Q95" i="1" s="1"/>
  <c r="N97" i="1"/>
  <c r="Q97" i="1" s="1"/>
  <c r="H97" i="1"/>
  <c r="I97" i="1" s="1"/>
  <c r="N96" i="1"/>
  <c r="Q96" i="1" s="1"/>
  <c r="H96" i="1"/>
  <c r="J96" i="1" s="1"/>
  <c r="H95" i="1"/>
  <c r="J95" i="1" s="1"/>
  <c r="N94" i="1"/>
  <c r="Q94" i="1" s="1"/>
  <c r="H94" i="1"/>
  <c r="I94" i="1" s="1"/>
  <c r="N93" i="1"/>
  <c r="P93" i="1" s="1"/>
  <c r="H93" i="1"/>
  <c r="I93" i="1" s="1"/>
  <c r="N92" i="1"/>
  <c r="H92" i="1"/>
  <c r="J92" i="1" s="1"/>
  <c r="N91" i="1"/>
  <c r="H91" i="1"/>
  <c r="N90" i="1"/>
  <c r="H90" i="1"/>
  <c r="J90" i="1" s="1"/>
  <c r="N89" i="1"/>
  <c r="H89" i="1"/>
  <c r="J89" i="1" s="1"/>
  <c r="N88" i="1"/>
  <c r="H88" i="1"/>
  <c r="J88" i="1" s="1"/>
  <c r="N87" i="1"/>
  <c r="H87" i="1"/>
  <c r="J87" i="1" s="1"/>
  <c r="D82" i="1"/>
  <c r="H82" i="1" s="1"/>
  <c r="I82" i="1" s="1"/>
  <c r="N86" i="1"/>
  <c r="H86" i="1"/>
  <c r="I86" i="1" s="1"/>
  <c r="N85" i="1"/>
  <c r="H85" i="1"/>
  <c r="J85" i="1" s="1"/>
  <c r="N84" i="1"/>
  <c r="H84" i="1"/>
  <c r="I84" i="1" s="1"/>
  <c r="N83" i="1"/>
  <c r="H83" i="1"/>
  <c r="I83" i="1" s="1"/>
  <c r="N82" i="1"/>
  <c r="N81" i="1"/>
  <c r="H81" i="1"/>
  <c r="J81" i="1" s="1"/>
  <c r="N80" i="1"/>
  <c r="H80" i="1"/>
  <c r="J80" i="1" s="1"/>
  <c r="N79" i="1"/>
  <c r="H79" i="1"/>
  <c r="J79" i="1" s="1"/>
  <c r="N78" i="1"/>
  <c r="H78" i="1"/>
  <c r="I78" i="1" s="1"/>
  <c r="N74" i="1"/>
  <c r="N75" i="1"/>
  <c r="N76" i="1"/>
  <c r="N77" i="1"/>
  <c r="D77" i="1"/>
  <c r="H77" i="1" s="1"/>
  <c r="J77" i="1" s="1"/>
  <c r="H76" i="1"/>
  <c r="I76" i="1" s="1"/>
  <c r="H75" i="1"/>
  <c r="J75" i="1" s="1"/>
  <c r="H74" i="1"/>
  <c r="J74" i="1" s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H69" i="1"/>
  <c r="I69" i="1" s="1"/>
  <c r="H70" i="1"/>
  <c r="J70" i="1" s="1"/>
  <c r="H71" i="1"/>
  <c r="J71" i="1" s="1"/>
  <c r="H72" i="1"/>
  <c r="I72" i="1" s="1"/>
  <c r="H73" i="1"/>
  <c r="I73" i="1" s="1"/>
  <c r="G65" i="1"/>
  <c r="H68" i="1"/>
  <c r="J68" i="1" s="1"/>
  <c r="H67" i="1"/>
  <c r="I67" i="1" s="1"/>
  <c r="H66" i="1"/>
  <c r="J66" i="1" s="1"/>
  <c r="H65" i="1"/>
  <c r="I65" i="1" s="1"/>
  <c r="H64" i="1"/>
  <c r="I64" i="1" s="1"/>
  <c r="H63" i="1"/>
  <c r="I63" i="1" s="1"/>
  <c r="H62" i="1"/>
  <c r="J62" i="1" s="1"/>
  <c r="H61" i="1"/>
  <c r="J61" i="1" s="1"/>
  <c r="H60" i="1"/>
  <c r="I60" i="1" s="1"/>
  <c r="N60" i="1"/>
  <c r="N59" i="1"/>
  <c r="H59" i="1"/>
  <c r="J59" i="1" s="1"/>
  <c r="N58" i="1"/>
  <c r="H58" i="1"/>
  <c r="J58" i="1" s="1"/>
  <c r="G51" i="1"/>
  <c r="G48" i="1"/>
  <c r="N52" i="1"/>
  <c r="N53" i="1"/>
  <c r="N54" i="1"/>
  <c r="N55" i="1"/>
  <c r="N56" i="1"/>
  <c r="N57" i="1"/>
  <c r="H52" i="1"/>
  <c r="I52" i="1" s="1"/>
  <c r="H53" i="1"/>
  <c r="J53" i="1" s="1"/>
  <c r="H54" i="1"/>
  <c r="J54" i="1" s="1"/>
  <c r="H55" i="1"/>
  <c r="I55" i="1" s="1"/>
  <c r="H56" i="1"/>
  <c r="I56" i="1" s="1"/>
  <c r="H57" i="1"/>
  <c r="I57" i="1" s="1"/>
  <c r="N51" i="1"/>
  <c r="H51" i="1"/>
  <c r="I51" i="1" s="1"/>
  <c r="N50" i="1"/>
  <c r="H50" i="1"/>
  <c r="I50" i="1" s="1"/>
  <c r="N49" i="1"/>
  <c r="H49" i="1"/>
  <c r="I49" i="1" s="1"/>
  <c r="N48" i="1"/>
  <c r="H48" i="1"/>
  <c r="N47" i="1"/>
  <c r="H47" i="1"/>
  <c r="J47" i="1" s="1"/>
  <c r="N46" i="1"/>
  <c r="H46" i="1"/>
  <c r="I46" i="1" s="1"/>
  <c r="N45" i="1"/>
  <c r="N44" i="1"/>
  <c r="H44" i="1"/>
  <c r="J44" i="1" s="1"/>
  <c r="N43" i="1"/>
  <c r="H43" i="1"/>
  <c r="J43" i="1" s="1"/>
  <c r="N42" i="1"/>
  <c r="H42" i="1"/>
  <c r="I42" i="1" s="1"/>
  <c r="N41" i="1"/>
  <c r="H41" i="1"/>
  <c r="I41" i="1" s="1"/>
  <c r="N40" i="1"/>
  <c r="H40" i="1"/>
  <c r="I40" i="1" s="1"/>
  <c r="D37" i="1"/>
  <c r="H37" i="1" s="1"/>
  <c r="G32" i="1"/>
  <c r="H38" i="1"/>
  <c r="J38" i="1" s="1"/>
  <c r="H39" i="1"/>
  <c r="I39" i="1" s="1"/>
  <c r="N32" i="1"/>
  <c r="N33" i="1"/>
  <c r="N34" i="1"/>
  <c r="N35" i="1"/>
  <c r="N36" i="1"/>
  <c r="N37" i="1"/>
  <c r="N38" i="1"/>
  <c r="N39" i="1"/>
  <c r="H36" i="1"/>
  <c r="I36" i="1" s="1"/>
  <c r="H35" i="1"/>
  <c r="J35" i="1" s="1"/>
  <c r="H34" i="1"/>
  <c r="I34" i="1" s="1"/>
  <c r="H33" i="1"/>
  <c r="J33" i="1" s="1"/>
  <c r="H32" i="1"/>
  <c r="I32" i="1" s="1"/>
  <c r="G31" i="1"/>
  <c r="N31" i="1"/>
  <c r="H31" i="1"/>
  <c r="I31" i="1" s="1"/>
  <c r="N30" i="1"/>
  <c r="H30" i="1"/>
  <c r="N29" i="1"/>
  <c r="H29" i="1"/>
  <c r="J29" i="1" s="1"/>
  <c r="N28" i="1"/>
  <c r="H28" i="1"/>
  <c r="J28" i="1" s="1"/>
  <c r="N27" i="1"/>
  <c r="H27" i="1"/>
  <c r="I27" i="1" s="1"/>
  <c r="N26" i="1"/>
  <c r="H26" i="1"/>
  <c r="J26" i="1" s="1"/>
  <c r="O23" i="1"/>
  <c r="D24" i="1"/>
  <c r="H24" i="1" s="1"/>
  <c r="G20" i="1"/>
  <c r="O15" i="1"/>
  <c r="O11" i="1"/>
  <c r="N25" i="1"/>
  <c r="H25" i="1"/>
  <c r="J25" i="1" s="1"/>
  <c r="N24" i="1"/>
  <c r="N23" i="1"/>
  <c r="H23" i="1"/>
  <c r="J23" i="1" s="1"/>
  <c r="N22" i="1"/>
  <c r="H22" i="1"/>
  <c r="J22" i="1" s="1"/>
  <c r="N21" i="1"/>
  <c r="H21" i="1"/>
  <c r="J21" i="1" s="1"/>
  <c r="N20" i="1"/>
  <c r="H20" i="1"/>
  <c r="I20" i="1" s="1"/>
  <c r="G13" i="1"/>
  <c r="G11" i="1"/>
  <c r="H2" i="1"/>
  <c r="I2" i="1" s="1"/>
  <c r="H3" i="1"/>
  <c r="J3" i="1" s="1"/>
  <c r="H4" i="1"/>
  <c r="J4" i="1" s="1"/>
  <c r="H5" i="1"/>
  <c r="J5" i="1" s="1"/>
  <c r="H6" i="1"/>
  <c r="J6" i="1" s="1"/>
  <c r="H7" i="1"/>
  <c r="J7" i="1" s="1"/>
  <c r="H8" i="1"/>
  <c r="I8" i="1" s="1"/>
  <c r="H9" i="1"/>
  <c r="J9" i="1" s="1"/>
  <c r="H10" i="1"/>
  <c r="J10" i="1" s="1"/>
  <c r="H11" i="1"/>
  <c r="I11" i="1" s="1"/>
  <c r="H12" i="1"/>
  <c r="J12" i="1" s="1"/>
  <c r="H13" i="1"/>
  <c r="H14" i="1"/>
  <c r="J14" i="1" s="1"/>
  <c r="H15" i="1"/>
  <c r="J15" i="1" s="1"/>
  <c r="H16" i="1"/>
  <c r="I16" i="1" s="1"/>
  <c r="H17" i="1"/>
  <c r="I17" i="1" s="1"/>
  <c r="H18" i="1"/>
  <c r="I18" i="1" s="1"/>
  <c r="H19" i="1"/>
  <c r="J19" i="1" s="1"/>
  <c r="N17" i="1"/>
  <c r="N18" i="1"/>
  <c r="N19" i="1"/>
  <c r="N16" i="1"/>
  <c r="N15" i="1"/>
  <c r="N14" i="1"/>
  <c r="N13" i="1"/>
  <c r="N12" i="1"/>
  <c r="N11" i="1"/>
  <c r="N10" i="1"/>
  <c r="N3" i="1"/>
  <c r="N4" i="1"/>
  <c r="N5" i="1"/>
  <c r="N6" i="1"/>
  <c r="N7" i="1"/>
  <c r="N8" i="1"/>
  <c r="N9" i="1"/>
  <c r="N2" i="1"/>
  <c r="L7" i="2" l="1"/>
  <c r="K7" i="2"/>
  <c r="J7" i="2"/>
  <c r="J2" i="2"/>
  <c r="K6" i="2"/>
  <c r="K5" i="2"/>
  <c r="K2" i="2"/>
  <c r="P4" i="2"/>
  <c r="K4" i="2"/>
  <c r="K3" i="2"/>
  <c r="P6" i="2"/>
  <c r="I3" i="2"/>
  <c r="J3" i="2"/>
  <c r="I2" i="2"/>
  <c r="I4" i="2"/>
  <c r="J4" i="2"/>
  <c r="J5" i="2"/>
  <c r="I6" i="2"/>
  <c r="I5" i="2"/>
  <c r="J6" i="2"/>
  <c r="I147" i="1"/>
  <c r="K147" i="1"/>
  <c r="J148" i="1"/>
  <c r="L147" i="1"/>
  <c r="K148" i="1"/>
  <c r="H149" i="1"/>
  <c r="L148" i="1"/>
  <c r="E149" i="1"/>
  <c r="P138" i="1"/>
  <c r="Q93" i="1"/>
  <c r="P98" i="1"/>
  <c r="Q142" i="1"/>
  <c r="P143" i="1"/>
  <c r="Q101" i="1"/>
  <c r="P107" i="1"/>
  <c r="L121" i="1"/>
  <c r="L103" i="1"/>
  <c r="K121" i="1"/>
  <c r="K145" i="1"/>
  <c r="L145" i="1"/>
  <c r="K144" i="1"/>
  <c r="L144" i="1"/>
  <c r="L146" i="1"/>
  <c r="I145" i="1"/>
  <c r="J144" i="1"/>
  <c r="K143" i="1"/>
  <c r="J140" i="1"/>
  <c r="K140" i="1"/>
  <c r="L140" i="1"/>
  <c r="J139" i="1"/>
  <c r="K139" i="1"/>
  <c r="L139" i="1"/>
  <c r="L138" i="1"/>
  <c r="I138" i="1"/>
  <c r="J138" i="1"/>
  <c r="K137" i="1"/>
  <c r="Q136" i="1"/>
  <c r="Q140" i="1"/>
  <c r="L136" i="1"/>
  <c r="L142" i="1"/>
  <c r="L137" i="1"/>
  <c r="L143" i="1"/>
  <c r="I146" i="1"/>
  <c r="J146" i="1"/>
  <c r="I141" i="1"/>
  <c r="I142" i="1"/>
  <c r="J136" i="1"/>
  <c r="I137" i="1"/>
  <c r="K141" i="1"/>
  <c r="J142" i="1"/>
  <c r="I143" i="1"/>
  <c r="I136" i="1"/>
  <c r="J141" i="1"/>
  <c r="L134" i="1"/>
  <c r="L133" i="1"/>
  <c r="I135" i="1"/>
  <c r="K135" i="1"/>
  <c r="J135" i="1"/>
  <c r="I134" i="1"/>
  <c r="J134" i="1"/>
  <c r="J133" i="1"/>
  <c r="K133" i="1"/>
  <c r="L132" i="1"/>
  <c r="Q132" i="1"/>
  <c r="L131" i="1"/>
  <c r="K132" i="1"/>
  <c r="Q131" i="1"/>
  <c r="I131" i="1"/>
  <c r="Q133" i="1"/>
  <c r="P134" i="1"/>
  <c r="J131" i="1"/>
  <c r="I132" i="1"/>
  <c r="P135" i="1"/>
  <c r="P126" i="1"/>
  <c r="Q125" i="1"/>
  <c r="P124" i="1"/>
  <c r="L109" i="1"/>
  <c r="K107" i="1"/>
  <c r="L94" i="1"/>
  <c r="L102" i="1"/>
  <c r="K98" i="1"/>
  <c r="L95" i="1"/>
  <c r="K99" i="1"/>
  <c r="K106" i="1"/>
  <c r="L101" i="1"/>
  <c r="L93" i="1"/>
  <c r="L98" i="1"/>
  <c r="K97" i="1"/>
  <c r="L107" i="1"/>
  <c r="K102" i="1"/>
  <c r="K94" i="1"/>
  <c r="L97" i="1"/>
  <c r="P100" i="1"/>
  <c r="K96" i="1"/>
  <c r="L99" i="1"/>
  <c r="K103" i="1"/>
  <c r="K95" i="1"/>
  <c r="L106" i="1"/>
  <c r="K101" i="1"/>
  <c r="K93" i="1"/>
  <c r="L96" i="1"/>
  <c r="L128" i="1"/>
  <c r="J127" i="1"/>
  <c r="L127" i="1"/>
  <c r="I130" i="1"/>
  <c r="J130" i="1"/>
  <c r="K130" i="1"/>
  <c r="J129" i="1"/>
  <c r="K129" i="1"/>
  <c r="I128" i="1"/>
  <c r="J128" i="1"/>
  <c r="K126" i="1"/>
  <c r="Q123" i="1"/>
  <c r="L125" i="1"/>
  <c r="L126" i="1"/>
  <c r="K127" i="1"/>
  <c r="I129" i="1"/>
  <c r="J123" i="1"/>
  <c r="I124" i="1"/>
  <c r="P127" i="1"/>
  <c r="I123" i="1"/>
  <c r="J124" i="1"/>
  <c r="L123" i="1"/>
  <c r="K124" i="1"/>
  <c r="J125" i="1"/>
  <c r="I126" i="1"/>
  <c r="Q128" i="1"/>
  <c r="I125" i="1"/>
  <c r="P118" i="1"/>
  <c r="L113" i="1"/>
  <c r="I121" i="1"/>
  <c r="K119" i="1"/>
  <c r="I114" i="1"/>
  <c r="J120" i="1"/>
  <c r="L120" i="1"/>
  <c r="K120" i="1"/>
  <c r="L119" i="1"/>
  <c r="L118" i="1"/>
  <c r="J117" i="1"/>
  <c r="J114" i="1"/>
  <c r="K114" i="1"/>
  <c r="J113" i="1"/>
  <c r="K113" i="1"/>
  <c r="P113" i="1"/>
  <c r="P117" i="1"/>
  <c r="Q119" i="1"/>
  <c r="I115" i="1"/>
  <c r="I122" i="1"/>
  <c r="J115" i="1"/>
  <c r="I116" i="1"/>
  <c r="J122" i="1"/>
  <c r="K115" i="1"/>
  <c r="J116" i="1"/>
  <c r="I117" i="1"/>
  <c r="K122" i="1"/>
  <c r="L116" i="1"/>
  <c r="I118" i="1"/>
  <c r="Q114" i="1"/>
  <c r="P115" i="1"/>
  <c r="L117" i="1"/>
  <c r="J118" i="1"/>
  <c r="I119" i="1"/>
  <c r="Q121" i="1"/>
  <c r="P122" i="1"/>
  <c r="P110" i="1"/>
  <c r="Q108" i="1"/>
  <c r="K109" i="1"/>
  <c r="K110" i="1"/>
  <c r="L108" i="1"/>
  <c r="K108" i="1"/>
  <c r="L112" i="1"/>
  <c r="L111" i="1"/>
  <c r="K112" i="1"/>
  <c r="K111" i="1"/>
  <c r="L110" i="1"/>
  <c r="I109" i="1"/>
  <c r="J110" i="1"/>
  <c r="J108" i="1"/>
  <c r="I112" i="1"/>
  <c r="I111" i="1"/>
  <c r="H104" i="1"/>
  <c r="H105" i="1"/>
  <c r="H100" i="1"/>
  <c r="J98" i="1"/>
  <c r="J106" i="1"/>
  <c r="I101" i="1"/>
  <c r="J102" i="1"/>
  <c r="J103" i="1"/>
  <c r="I99" i="1"/>
  <c r="I107" i="1"/>
  <c r="J93" i="1"/>
  <c r="J97" i="1"/>
  <c r="I96" i="1"/>
  <c r="J94" i="1"/>
  <c r="I95" i="1"/>
  <c r="J63" i="1"/>
  <c r="I89" i="1"/>
  <c r="J72" i="1"/>
  <c r="J64" i="1"/>
  <c r="I88" i="1"/>
  <c r="R6" i="1"/>
  <c r="I68" i="1"/>
  <c r="I59" i="1"/>
  <c r="J91" i="1"/>
  <c r="I91" i="1"/>
  <c r="I92" i="1"/>
  <c r="I90" i="1"/>
  <c r="I87" i="1"/>
  <c r="J82" i="1"/>
  <c r="J84" i="1"/>
  <c r="J83" i="1"/>
  <c r="U2" i="1"/>
  <c r="I79" i="1"/>
  <c r="J78" i="1"/>
  <c r="J86" i="1"/>
  <c r="I81" i="1"/>
  <c r="I85" i="1"/>
  <c r="I80" i="1"/>
  <c r="J76" i="1"/>
  <c r="I75" i="1"/>
  <c r="I74" i="1"/>
  <c r="I77" i="1"/>
  <c r="J73" i="1"/>
  <c r="J69" i="1"/>
  <c r="J65" i="1"/>
  <c r="I71" i="1"/>
  <c r="I70" i="1"/>
  <c r="J67" i="1"/>
  <c r="I66" i="1"/>
  <c r="I62" i="1"/>
  <c r="I61" i="1"/>
  <c r="J60" i="1"/>
  <c r="J48" i="1"/>
  <c r="J57" i="1"/>
  <c r="J55" i="1"/>
  <c r="I58" i="1"/>
  <c r="I53" i="1"/>
  <c r="J56" i="1"/>
  <c r="I54" i="1"/>
  <c r="J52" i="1"/>
  <c r="J51" i="1"/>
  <c r="J50" i="1"/>
  <c r="I48" i="1"/>
  <c r="I47" i="1"/>
  <c r="J46" i="1"/>
  <c r="J49" i="1"/>
  <c r="J40" i="1"/>
  <c r="J42" i="1"/>
  <c r="J41" i="1"/>
  <c r="H45" i="1"/>
  <c r="J45" i="1" s="1"/>
  <c r="I43" i="1"/>
  <c r="I44" i="1"/>
  <c r="J39" i="1"/>
  <c r="I38" i="1"/>
  <c r="J32" i="1"/>
  <c r="J37" i="1"/>
  <c r="I35" i="1"/>
  <c r="I37" i="1"/>
  <c r="J36" i="1"/>
  <c r="J34" i="1"/>
  <c r="I33" i="1"/>
  <c r="J31" i="1"/>
  <c r="I28" i="1"/>
  <c r="I30" i="1"/>
  <c r="J30" i="1"/>
  <c r="J27" i="1"/>
  <c r="I26" i="1"/>
  <c r="I29" i="1"/>
  <c r="J24" i="1"/>
  <c r="I21" i="1"/>
  <c r="I22" i="1"/>
  <c r="J20" i="1"/>
  <c r="J13" i="1"/>
  <c r="I24" i="1"/>
  <c r="I23" i="1"/>
  <c r="I25" i="1"/>
  <c r="J18" i="1"/>
  <c r="J11" i="1"/>
  <c r="I10" i="1"/>
  <c r="I19" i="1"/>
  <c r="I15" i="1"/>
  <c r="I13" i="1"/>
  <c r="I12" i="1"/>
  <c r="I14" i="1"/>
  <c r="J17" i="1"/>
  <c r="J16" i="1"/>
  <c r="J8" i="1"/>
  <c r="I9" i="1"/>
  <c r="I7" i="1"/>
  <c r="I6" i="1"/>
  <c r="I5" i="1"/>
  <c r="I4" i="1"/>
  <c r="I3" i="1"/>
  <c r="O7" i="2" l="1"/>
  <c r="S7" i="2"/>
  <c r="P7" i="2"/>
  <c r="O5" i="2"/>
  <c r="P5" i="2"/>
  <c r="P3" i="2"/>
  <c r="P2" i="2"/>
  <c r="O2" i="2"/>
  <c r="O4" i="2"/>
  <c r="O6" i="2"/>
  <c r="O3" i="2"/>
  <c r="L149" i="1"/>
  <c r="K149" i="1"/>
  <c r="J149" i="1"/>
  <c r="I149" i="1"/>
  <c r="J105" i="1"/>
  <c r="L105" i="1"/>
  <c r="K105" i="1"/>
  <c r="J100" i="1"/>
  <c r="L100" i="1"/>
  <c r="K100" i="1"/>
  <c r="I104" i="1"/>
  <c r="L104" i="1"/>
  <c r="K104" i="1"/>
  <c r="J104" i="1"/>
  <c r="I100" i="1"/>
  <c r="I105" i="1"/>
  <c r="R8" i="1"/>
  <c r="S6" i="1"/>
  <c r="T6" i="1"/>
  <c r="T2" i="1"/>
  <c r="S2" i="1"/>
  <c r="I45" i="1"/>
  <c r="AG10" i="2" l="1"/>
  <c r="AG11" i="2"/>
  <c r="Q7" i="2"/>
  <c r="R7" i="2" s="1"/>
  <c r="W7" i="2"/>
  <c r="AG9" i="2"/>
  <c r="AF9" i="2"/>
  <c r="AF8" i="2"/>
  <c r="AG8" i="2"/>
  <c r="Q2" i="2"/>
  <c r="Q3" i="2"/>
  <c r="R3" i="2" s="1"/>
  <c r="Q5" i="2"/>
  <c r="R5" i="2" s="1"/>
  <c r="Q6" i="2"/>
  <c r="Q4" i="2"/>
  <c r="S4" i="2" s="1"/>
  <c r="AG4" i="2" s="1"/>
  <c r="S8" i="1"/>
  <c r="T8" i="1"/>
  <c r="R2" i="2" l="1"/>
  <c r="S2" i="2"/>
  <c r="R4" i="2"/>
  <c r="R6" i="2"/>
  <c r="S6" i="2"/>
  <c r="AF6" i="2" s="1"/>
  <c r="AF11" i="2"/>
  <c r="AF10" i="2"/>
  <c r="AF4" i="2"/>
  <c r="S5" i="2"/>
  <c r="AF5" i="2" s="1"/>
  <c r="AG7" i="2"/>
  <c r="AF7" i="2"/>
  <c r="AG3" i="2"/>
  <c r="AF3" i="2"/>
  <c r="AG6" i="2" l="1"/>
  <c r="AG2" i="2"/>
  <c r="AF2" i="2"/>
  <c r="AG5" i="2"/>
  <c r="W6" i="2" s="1"/>
  <c r="W2" i="2"/>
  <c r="W3" i="2" s="1"/>
  <c r="W5" i="2"/>
</calcChain>
</file>

<file path=xl/sharedStrings.xml><?xml version="1.0" encoding="utf-8"?>
<sst xmlns="http://schemas.openxmlformats.org/spreadsheetml/2006/main" count="741" uniqueCount="83">
  <si>
    <t>Home Team</t>
  </si>
  <si>
    <t>Away Team</t>
  </si>
  <si>
    <t>Model Pred</t>
  </si>
  <si>
    <t>Over Return</t>
  </si>
  <si>
    <t>Under Return</t>
  </si>
  <si>
    <t>BOS</t>
  </si>
  <si>
    <t>DET</t>
  </si>
  <si>
    <t>UTA</t>
  </si>
  <si>
    <t>NOP</t>
  </si>
  <si>
    <t>DAL</t>
  </si>
  <si>
    <t>MIN</t>
  </si>
  <si>
    <t>CHI</t>
  </si>
  <si>
    <t>IND</t>
  </si>
  <si>
    <t>DEN</t>
  </si>
  <si>
    <t>MEM</t>
  </si>
  <si>
    <t>MIA</t>
  </si>
  <si>
    <t>GSW</t>
  </si>
  <si>
    <t>POR</t>
  </si>
  <si>
    <t>SA</t>
  </si>
  <si>
    <t>LAL</t>
  </si>
  <si>
    <t>Over Win Prob</t>
  </si>
  <si>
    <t>CHA</t>
  </si>
  <si>
    <t>Result</t>
  </si>
  <si>
    <t>P/L</t>
  </si>
  <si>
    <t>Model Corr</t>
  </si>
  <si>
    <t>Over Confidence</t>
  </si>
  <si>
    <t>Over</t>
  </si>
  <si>
    <t>Under</t>
  </si>
  <si>
    <t>SAS</t>
  </si>
  <si>
    <t>WAS</t>
  </si>
  <si>
    <t>BKN</t>
  </si>
  <si>
    <t>ORL</t>
  </si>
  <si>
    <t>NYK</t>
  </si>
  <si>
    <t>TOR</t>
  </si>
  <si>
    <t>ATL</t>
  </si>
  <si>
    <t>SAC</t>
  </si>
  <si>
    <t>CLE</t>
  </si>
  <si>
    <t>MIL</t>
  </si>
  <si>
    <t>PHI</t>
  </si>
  <si>
    <t>HOU</t>
  </si>
  <si>
    <t>OKC</t>
  </si>
  <si>
    <t>PHX</t>
  </si>
  <si>
    <t>LAC</t>
  </si>
  <si>
    <t>Betting 65%+ Overs</t>
  </si>
  <si>
    <t>Overs Profit</t>
  </si>
  <si>
    <t>Threshold</t>
  </si>
  <si>
    <t>Optimal Profit</t>
  </si>
  <si>
    <t>Total Bets</t>
  </si>
  <si>
    <t>Percent Profit</t>
  </si>
  <si>
    <t>Model Profit</t>
  </si>
  <si>
    <t>Updated Features and used MLP Model</t>
  </si>
  <si>
    <t>Model Accuracy</t>
  </si>
  <si>
    <t>Over Team</t>
  </si>
  <si>
    <t>Ensemble Preds</t>
  </si>
  <si>
    <t>GB Probs</t>
  </si>
  <si>
    <t>Under LB</t>
  </si>
  <si>
    <t>CI Thresh</t>
  </si>
  <si>
    <t>Over LB</t>
  </si>
  <si>
    <t>Favorite LB</t>
  </si>
  <si>
    <t>Starting Balance</t>
  </si>
  <si>
    <t>CHi</t>
  </si>
  <si>
    <t>Model Confidence</t>
  </si>
  <si>
    <t>Under Bets</t>
  </si>
  <si>
    <t>Over Bets</t>
  </si>
  <si>
    <t>Parameters</t>
  </si>
  <si>
    <t>Under Thresh</t>
  </si>
  <si>
    <t>Over Thresh</t>
  </si>
  <si>
    <t>Bet Weights</t>
  </si>
  <si>
    <t>Measurements</t>
  </si>
  <si>
    <t>Uncertainty Thresh</t>
  </si>
  <si>
    <t>Account Balance</t>
  </si>
  <si>
    <t>Day P/L</t>
  </si>
  <si>
    <t>Day P/L (%)</t>
  </si>
  <si>
    <t>Historical Balances</t>
  </si>
  <si>
    <t>All Miss Prob</t>
  </si>
  <si>
    <t>All Bets Miss Calculation</t>
  </si>
  <si>
    <t>Under P(Hit)</t>
  </si>
  <si>
    <t>Over P(Hit)</t>
  </si>
  <si>
    <t>All Hit Prob</t>
  </si>
  <si>
    <t>All Hit</t>
  </si>
  <si>
    <t>Max Bet Percent</t>
  </si>
  <si>
    <t>Max Bet Size</t>
  </si>
  <si>
    <t>Money Wagered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</si>
</sst>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10" fontId="0" fillId="0" borderId="0" xfId="2" applyNumberFormat="1" applyFont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10" fontId="0" fillId="0" borderId="2" xfId="2" applyNumberFormat="1" applyFont="1" applyBorder="1"/>
    <xf numFmtId="164" fontId="0" fillId="0" borderId="2" xfId="0" applyNumberFormat="1" applyBorder="1"/>
    <xf numFmtId="44" fontId="0" fillId="0" borderId="4" xfId="1" applyFont="1" applyBorder="1"/>
    <xf numFmtId="9" fontId="0" fillId="0" borderId="0" xfId="2" applyFont="1"/>
    <xf numFmtId="0" fontId="2" fillId="0" borderId="6" xfId="0" applyFont="1" applyBorder="1"/>
    <xf numFmtId="44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164" fontId="0" fillId="0" borderId="0" xfId="0" applyNumberFormat="1"/>
    <xf numFmtId="44" fontId="0" fillId="0" borderId="6" xfId="1" applyFont="1" applyBorder="1"/>
    <xf numFmtId="0" fontId="0" fillId="0" borderId="7" xfId="0" applyBorder="1"/>
    <xf numFmtId="0" fontId="0" fillId="0" borderId="8" xfId="0" applyBorder="1"/>
    <xf numFmtId="10" fontId="0" fillId="0" borderId="8" xfId="2" applyNumberFormat="1" applyFont="1" applyBorder="1"/>
    <xf numFmtId="164" fontId="0" fillId="0" borderId="8" xfId="0" applyNumberFormat="1" applyBorder="1"/>
    <xf numFmtId="44" fontId="0" fillId="0" borderId="5" xfId="1" applyFont="1" applyBorder="1"/>
    <xf numFmtId="10" fontId="0" fillId="0" borderId="0" xfId="0" applyNumberFormat="1"/>
    <xf numFmtId="10" fontId="2" fillId="0" borderId="0" xfId="0" applyNumberFormat="1" applyFont="1"/>
    <xf numFmtId="44" fontId="2" fillId="0" borderId="0" xfId="0" applyNumberFormat="1" applyFont="1" applyAlignment="1">
      <alignment vertical="top"/>
    </xf>
    <xf numFmtId="10" fontId="0" fillId="0" borderId="0" xfId="2" applyNumberFormat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44" fontId="0" fillId="0" borderId="9" xfId="1" applyFont="1" applyBorder="1"/>
    <xf numFmtId="10" fontId="2" fillId="0" borderId="2" xfId="2" applyNumberFormat="1" applyFont="1" applyBorder="1"/>
    <xf numFmtId="10" fontId="0" fillId="0" borderId="0" xfId="2" applyNumberFormat="1" applyFont="1" applyFill="1" applyBorder="1"/>
    <xf numFmtId="44" fontId="0" fillId="0" borderId="10" xfId="1" applyFont="1" applyBorder="1"/>
    <xf numFmtId="44" fontId="0" fillId="0" borderId="1" xfId="1" applyFont="1" applyBorder="1"/>
    <xf numFmtId="44" fontId="0" fillId="0" borderId="3" xfId="1" applyFont="1" applyBorder="1"/>
    <xf numFmtId="44" fontId="0" fillId="0" borderId="7" xfId="1" applyFont="1" applyBorder="1"/>
    <xf numFmtId="44" fontId="2" fillId="0" borderId="6" xfId="1" applyFont="1" applyBorder="1"/>
    <xf numFmtId="44" fontId="0" fillId="0" borderId="0" xfId="1" applyFont="1"/>
    <xf numFmtId="10" fontId="0" fillId="0" borderId="8" xfId="0" applyNumberFormat="1" applyBorder="1"/>
    <xf numFmtId="10" fontId="0" fillId="0" borderId="2" xfId="0" applyNumberFormat="1" applyBorder="1"/>
    <xf numFmtId="9" fontId="0" fillId="0" borderId="0" xfId="0" applyNumberFormat="1"/>
    <xf numFmtId="44" fontId="0" fillId="0" borderId="0" xfId="1" applyFont="1" applyBorder="1"/>
    <xf numFmtId="0" fontId="2" fillId="0" borderId="9" xfId="0" applyFont="1" applyBorder="1"/>
    <xf numFmtId="164" fontId="0" fillId="0" borderId="1" xfId="0" applyNumberFormat="1" applyBorder="1"/>
    <xf numFmtId="164" fontId="0" fillId="0" borderId="9" xfId="0" applyNumberFormat="1" applyBorder="1"/>
    <xf numFmtId="164" fontId="0" fillId="0" borderId="3" xfId="0" applyNumberFormat="1" applyBorder="1"/>
    <xf numFmtId="164" fontId="0" fillId="0" borderId="10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0" fontId="2" fillId="0" borderId="12" xfId="2" applyNumberFormat="1" applyFont="1" applyBorder="1"/>
    <xf numFmtId="6" fontId="0" fillId="0" borderId="0" xfId="2" applyNumberFormat="1" applyFont="1"/>
    <xf numFmtId="0" fontId="2" fillId="0" borderId="12" xfId="0" applyFont="1" applyBorder="1"/>
    <xf numFmtId="9" fontId="0" fillId="0" borderId="0" xfId="2" applyFont="1" applyBorder="1"/>
    <xf numFmtId="44" fontId="2" fillId="0" borderId="8" xfId="1" applyFont="1" applyBorder="1"/>
    <xf numFmtId="0" fontId="2" fillId="0" borderId="14" xfId="0" applyFont="1" applyBorder="1"/>
    <xf numFmtId="44" fontId="2" fillId="0" borderId="12" xfId="1" applyFont="1" applyBorder="1"/>
    <xf numFmtId="44" fontId="1" fillId="0" borderId="13" xfId="1" applyFont="1" applyBorder="1"/>
    <xf numFmtId="8" fontId="0" fillId="0" borderId="0" xfId="0" applyNumberFormat="1"/>
    <xf numFmtId="44" fontId="2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9">
    <dxf>
      <font>
        <b val="0"/>
        <i/>
        <color theme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4B43-6E66-9D44-9537-2703A72D2A98}">
  <dimension ref="A1:W149"/>
  <sheetViews>
    <sheetView zoomScaleNormal="100" workbookViewId="0">
      <pane ySplit="1" topLeftCell="A138" activePane="bottomLeft" state="frozen"/>
      <selection pane="bottomLeft" activeCell="A150" sqref="A150:Q159"/>
    </sheetView>
  </sheetViews>
  <sheetFormatPr baseColWidth="10" defaultRowHeight="16" x14ac:dyDescent="0.2"/>
  <cols>
    <col min="1" max="1" width="11.33203125" bestFit="1" customWidth="1"/>
    <col min="2" max="2" width="11" bestFit="1" customWidth="1"/>
    <col min="3" max="3" width="10.5" bestFit="1" customWidth="1"/>
    <col min="4" max="4" width="14.6640625" style="24" bestFit="1" customWidth="1"/>
    <col min="5" max="5" width="10.33203125" style="24" customWidth="1"/>
    <col min="6" max="6" width="5.83203125" bestFit="1" customWidth="1"/>
    <col min="7" max="7" width="12.1640625" bestFit="1" customWidth="1"/>
    <col min="8" max="8" width="13.1640625" style="24" bestFit="1" customWidth="1"/>
    <col min="9" max="9" width="11.1640625" bestFit="1" customWidth="1"/>
    <col min="10" max="10" width="12.1640625" bestFit="1" customWidth="1"/>
    <col min="11" max="12" width="12.1640625" customWidth="1"/>
    <col min="13" max="13" width="6.33203125" bestFit="1" customWidth="1"/>
    <col min="14" max="14" width="15.1640625" bestFit="1" customWidth="1"/>
    <col min="15" max="15" width="9.6640625" style="36" bestFit="1" customWidth="1"/>
    <col min="16" max="16" width="17.6640625" bestFit="1" customWidth="1"/>
    <col min="17" max="17" width="11.83203125" style="36" bestFit="1" customWidth="1"/>
    <col min="18" max="18" width="14.1640625" bestFit="1" customWidth="1"/>
    <col min="19" max="19" width="12.33203125" bestFit="1" customWidth="1"/>
    <col min="20" max="20" width="12.83203125" bestFit="1" customWidth="1"/>
    <col min="21" max="21" width="14.1640625" bestFit="1" customWidth="1"/>
    <col min="22" max="22" width="17.1640625" bestFit="1" customWidth="1"/>
  </cols>
  <sheetData>
    <row r="1" spans="1:23" ht="17" thickBot="1" x14ac:dyDescent="0.25">
      <c r="A1" s="12" t="s">
        <v>0</v>
      </c>
      <c r="B1" s="13" t="s">
        <v>1</v>
      </c>
      <c r="C1" s="13" t="s">
        <v>2</v>
      </c>
      <c r="D1" s="29" t="s">
        <v>25</v>
      </c>
      <c r="E1" s="48" t="s">
        <v>52</v>
      </c>
      <c r="F1" s="13" t="s">
        <v>26</v>
      </c>
      <c r="G1" s="13" t="s">
        <v>27</v>
      </c>
      <c r="H1" s="29" t="s">
        <v>20</v>
      </c>
      <c r="I1" s="13" t="s">
        <v>3</v>
      </c>
      <c r="J1" s="13" t="s">
        <v>4</v>
      </c>
      <c r="K1" s="12" t="s">
        <v>55</v>
      </c>
      <c r="L1" s="41" t="s">
        <v>58</v>
      </c>
      <c r="M1" s="13" t="s">
        <v>22</v>
      </c>
      <c r="N1" s="13" t="s">
        <v>24</v>
      </c>
      <c r="O1" s="35" t="s">
        <v>23</v>
      </c>
      <c r="P1" s="10" t="s">
        <v>43</v>
      </c>
      <c r="Q1" s="35" t="s">
        <v>2</v>
      </c>
      <c r="R1" s="23" t="s">
        <v>46</v>
      </c>
      <c r="S1" s="1" t="s">
        <v>44</v>
      </c>
      <c r="T1" s="1" t="s">
        <v>49</v>
      </c>
      <c r="U1" s="1" t="s">
        <v>51</v>
      </c>
      <c r="V1" s="1" t="s">
        <v>59</v>
      </c>
    </row>
    <row r="2" spans="1:23" x14ac:dyDescent="0.2">
      <c r="A2" s="4" t="s">
        <v>5</v>
      </c>
      <c r="B2" s="5" t="s">
        <v>6</v>
      </c>
      <c r="C2" s="5" t="s">
        <v>5</v>
      </c>
      <c r="D2" s="6">
        <v>0.84970000000000001</v>
      </c>
      <c r="E2" s="2" t="str">
        <f>IF(D2&gt;0.5,C2,"Other")</f>
        <v>BOS</v>
      </c>
      <c r="F2" s="5">
        <v>-3000</v>
      </c>
      <c r="G2" s="5">
        <v>900</v>
      </c>
      <c r="H2" s="6">
        <f>IF(F2&lt;0,D2,1-D2)</f>
        <v>0.84970000000000001</v>
      </c>
      <c r="I2" s="7">
        <f t="shared" ref="I2:I9" si="0">H2*100*100/-F2+(1-H2)*-100</f>
        <v>-12.197666666666667</v>
      </c>
      <c r="J2" s="7">
        <f>(1-H2)*100*G2/100+H2*-100</f>
        <v>50.300000000000011</v>
      </c>
      <c r="K2" s="42">
        <f>(1-(H2+$R$4))*G2-(H2+$R$4)*100</f>
        <v>20.299999999999969</v>
      </c>
      <c r="L2" s="43">
        <f>(H2-$R$4)*100*100/-F2+(1-H2+$R$4)*-100</f>
        <v>-15.297666666666665</v>
      </c>
      <c r="M2" s="5" t="s">
        <v>5</v>
      </c>
      <c r="N2" s="5" t="str">
        <f t="shared" ref="N2:N9" si="1">IF(C2=M2,"Y","N")</f>
        <v>Y</v>
      </c>
      <c r="O2" s="15">
        <v>-100</v>
      </c>
      <c r="P2" s="15">
        <f>IF(D2&gt;$S$4, IF(N2="Y",100^2/-F2, -100), 0)</f>
        <v>3.3333333333333335</v>
      </c>
      <c r="Q2" s="15">
        <f>IF(N2="Y",IF(D2&gt;0.5,100^2/-F2,G2),-100)</f>
        <v>3.3333333333333335</v>
      </c>
      <c r="R2" s="11">
        <f>SUM(O2:O10000)</f>
        <v>1133.0845054945055</v>
      </c>
      <c r="S2" s="11">
        <f>SUM(P2:P10000)</f>
        <v>361.25410614468467</v>
      </c>
      <c r="T2" s="36">
        <f>SUM(Q2:Q10000)</f>
        <v>-819.97526082323952</v>
      </c>
      <c r="U2" s="24">
        <f>COUNTIF(N2:N10000,"=Y")/(COUNTIF(N2:N10000,"=Y")+COUNTIF(N2:N10000,"=N"))</f>
        <v>0.66216216216216217</v>
      </c>
      <c r="V2">
        <v>860</v>
      </c>
      <c r="W2">
        <f>MEDIAN(V2:V100)</f>
        <v>-100</v>
      </c>
    </row>
    <row r="3" spans="1:23" x14ac:dyDescent="0.2">
      <c r="A3" s="3" t="s">
        <v>8</v>
      </c>
      <c r="B3" t="s">
        <v>7</v>
      </c>
      <c r="C3" t="s">
        <v>8</v>
      </c>
      <c r="D3" s="2">
        <v>0.71599999999999997</v>
      </c>
      <c r="E3" s="2" t="str">
        <f>IF(D3&gt;0.5,C3,IF(C3=B3,A3,B3))</f>
        <v>NOP</v>
      </c>
      <c r="F3">
        <v>-350</v>
      </c>
      <c r="G3">
        <v>280</v>
      </c>
      <c r="H3" s="2">
        <f t="shared" ref="H3:H9" si="2">IF(F3&lt;0,D3,1-D3)</f>
        <v>0.71599999999999997</v>
      </c>
      <c r="I3" s="14">
        <f t="shared" si="0"/>
        <v>-7.9428571428571466</v>
      </c>
      <c r="J3" s="14">
        <f t="shared" ref="J3:J9" si="3">(1-H3)*100*G3/100+H3*-100</f>
        <v>7.9200000000000159</v>
      </c>
      <c r="K3" s="44">
        <f>(1-(H3+$R$4))*G3-(H3+$R$4)*100</f>
        <v>-3.4799999999999898</v>
      </c>
      <c r="L3" s="45">
        <f>(H3-$R$4)*100*100/-F3+(1-H3+$R$4)*-100</f>
        <v>-11.800000000000008</v>
      </c>
      <c r="M3" t="s">
        <v>8</v>
      </c>
      <c r="N3" t="str">
        <f t="shared" si="1"/>
        <v>Y</v>
      </c>
      <c r="O3" s="8"/>
      <c r="P3" s="8">
        <f t="shared" ref="P3:P31" si="4">IF(D3&gt;$S$4, IF(N3="Y",100^2/-F3, -100), 0)</f>
        <v>28.571428571428573</v>
      </c>
      <c r="Q3" s="8">
        <f t="shared" ref="Q3:Q9" si="5">IF(N3="Y",IF(D3&gt;0.5,100^2/-F3,G3),-100)</f>
        <v>28.571428571428573</v>
      </c>
      <c r="R3" s="1" t="s">
        <v>56</v>
      </c>
      <c r="S3" s="1" t="s">
        <v>45</v>
      </c>
      <c r="T3" s="1"/>
      <c r="U3" s="9"/>
      <c r="V3">
        <v>470</v>
      </c>
    </row>
    <row r="4" spans="1:23" x14ac:dyDescent="0.2">
      <c r="A4" s="3" t="s">
        <v>10</v>
      </c>
      <c r="B4" t="s">
        <v>9</v>
      </c>
      <c r="C4" t="s">
        <v>10</v>
      </c>
      <c r="D4" s="2">
        <v>0.76119999999999999</v>
      </c>
      <c r="E4" s="2" t="str">
        <f t="shared" ref="E4:E67" si="6">IF(D4&gt;0.5,C4,IF(C4=B4,A4,B4))</f>
        <v>MIN</v>
      </c>
      <c r="F4">
        <v>-450</v>
      </c>
      <c r="G4">
        <v>333</v>
      </c>
      <c r="H4" s="2">
        <f t="shared" si="2"/>
        <v>0.76119999999999999</v>
      </c>
      <c r="I4" s="14">
        <f t="shared" si="0"/>
        <v>-6.964444444444446</v>
      </c>
      <c r="J4" s="14">
        <f t="shared" si="3"/>
        <v>3.4004000000000048</v>
      </c>
      <c r="K4" s="44">
        <f t="shared" ref="K4:K67" si="7">(1-(H4+$R$4))*G4-(H4+$R$4)*100</f>
        <v>-9.5896000000000043</v>
      </c>
      <c r="L4" s="45">
        <f t="shared" ref="L4:L67" si="8">(H4-$R$4)*100*100/-F4+(1-H4+$R$4)*-100</f>
        <v>-10.631111111111117</v>
      </c>
      <c r="M4" t="s">
        <v>10</v>
      </c>
      <c r="N4" t="str">
        <f t="shared" si="1"/>
        <v>Y</v>
      </c>
      <c r="O4" s="8"/>
      <c r="P4" s="8">
        <f t="shared" si="4"/>
        <v>22.222222222222221</v>
      </c>
      <c r="Q4" s="8">
        <f t="shared" si="5"/>
        <v>22.222222222222221</v>
      </c>
      <c r="R4" s="39">
        <v>0.03</v>
      </c>
      <c r="S4" s="9">
        <v>0.61</v>
      </c>
      <c r="V4">
        <v>410</v>
      </c>
    </row>
    <row r="5" spans="1:23" x14ac:dyDescent="0.2">
      <c r="A5" s="3" t="s">
        <v>11</v>
      </c>
      <c r="B5" t="s">
        <v>12</v>
      </c>
      <c r="C5" t="s">
        <v>11</v>
      </c>
      <c r="D5" s="2">
        <v>0.49440000000000001</v>
      </c>
      <c r="E5" s="2" t="str">
        <f t="shared" si="6"/>
        <v>IND</v>
      </c>
      <c r="F5">
        <v>-120</v>
      </c>
      <c r="G5">
        <v>100</v>
      </c>
      <c r="H5" s="2">
        <f t="shared" si="2"/>
        <v>0.49440000000000001</v>
      </c>
      <c r="I5" s="14">
        <f t="shared" si="0"/>
        <v>-9.36</v>
      </c>
      <c r="J5" s="14">
        <f t="shared" si="3"/>
        <v>1.1200000000000045</v>
      </c>
      <c r="K5" s="44">
        <f t="shared" si="7"/>
        <v>-4.8799999999999955</v>
      </c>
      <c r="L5" s="45">
        <f t="shared" si="8"/>
        <v>-14.86</v>
      </c>
      <c r="M5" t="s">
        <v>12</v>
      </c>
      <c r="N5" t="str">
        <f t="shared" si="1"/>
        <v>N</v>
      </c>
      <c r="O5" s="8"/>
      <c r="P5" s="8">
        <f t="shared" si="4"/>
        <v>0</v>
      </c>
      <c r="Q5" s="8">
        <f t="shared" si="5"/>
        <v>-100</v>
      </c>
      <c r="R5" s="22" t="s">
        <v>47</v>
      </c>
      <c r="S5" s="1" t="s">
        <v>47</v>
      </c>
      <c r="T5" s="1" t="s">
        <v>47</v>
      </c>
      <c r="V5">
        <v>350</v>
      </c>
    </row>
    <row r="6" spans="1:23" x14ac:dyDescent="0.2">
      <c r="A6" s="3" t="s">
        <v>13</v>
      </c>
      <c r="B6" t="s">
        <v>14</v>
      </c>
      <c r="C6" t="s">
        <v>13</v>
      </c>
      <c r="D6" s="2">
        <v>0.82179999999999997</v>
      </c>
      <c r="E6" s="2" t="str">
        <f t="shared" si="6"/>
        <v>DEN</v>
      </c>
      <c r="F6">
        <v>-300</v>
      </c>
      <c r="G6">
        <v>230</v>
      </c>
      <c r="H6" s="2">
        <f t="shared" si="2"/>
        <v>0.82179999999999997</v>
      </c>
      <c r="I6" s="14">
        <f t="shared" si="0"/>
        <v>9.5733333333333306</v>
      </c>
      <c r="J6" s="14">
        <f t="shared" si="3"/>
        <v>-41.193999999999981</v>
      </c>
      <c r="K6" s="44">
        <f t="shared" si="7"/>
        <v>-51.094000000000008</v>
      </c>
      <c r="L6" s="45">
        <f t="shared" si="8"/>
        <v>5.573333333333327</v>
      </c>
      <c r="M6" t="s">
        <v>13</v>
      </c>
      <c r="N6" t="str">
        <f t="shared" si="1"/>
        <v>Y</v>
      </c>
      <c r="O6" s="8"/>
      <c r="P6" s="8">
        <f t="shared" si="4"/>
        <v>33.333333333333336</v>
      </c>
      <c r="Q6" s="8">
        <f t="shared" si="5"/>
        <v>33.333333333333336</v>
      </c>
      <c r="R6">
        <f>COUNTIF(O2:O10000,"&lt;0")+COUNTIF(O2:O10000,"&gt;0")</f>
        <v>59</v>
      </c>
      <c r="S6">
        <f>COUNTIF(P2:P10000,"&lt;0")+COUNTIF(P2:P10000,"&gt;0")</f>
        <v>75</v>
      </c>
      <c r="T6">
        <f>COUNTIF(Q2:Q10000,"&lt;0")+COUNTIF(Q2:Q10000,"&gt;0")</f>
        <v>148</v>
      </c>
      <c r="V6">
        <v>285</v>
      </c>
    </row>
    <row r="7" spans="1:23" x14ac:dyDescent="0.2">
      <c r="A7" s="3" t="s">
        <v>15</v>
      </c>
      <c r="B7" t="s">
        <v>16</v>
      </c>
      <c r="C7" t="s">
        <v>16</v>
      </c>
      <c r="D7" s="2">
        <v>0.58099999999999996</v>
      </c>
      <c r="E7" s="2" t="str">
        <f t="shared" si="6"/>
        <v>GSW</v>
      </c>
      <c r="F7">
        <v>-155</v>
      </c>
      <c r="G7">
        <v>125</v>
      </c>
      <c r="H7" s="2">
        <f t="shared" si="2"/>
        <v>0.58099999999999996</v>
      </c>
      <c r="I7" s="14">
        <f t="shared" si="0"/>
        <v>-4.4161290322580768</v>
      </c>
      <c r="J7" s="14">
        <f t="shared" si="3"/>
        <v>-5.7249999999999872</v>
      </c>
      <c r="K7" s="44">
        <f t="shared" si="7"/>
        <v>-12.475000000000001</v>
      </c>
      <c r="L7" s="45">
        <f t="shared" si="8"/>
        <v>-9.3516129032258206</v>
      </c>
      <c r="M7" t="s">
        <v>15</v>
      </c>
      <c r="N7" t="str">
        <f t="shared" si="1"/>
        <v>N</v>
      </c>
      <c r="O7" s="8"/>
      <c r="P7" s="8">
        <f t="shared" si="4"/>
        <v>0</v>
      </c>
      <c r="Q7" s="8">
        <f t="shared" si="5"/>
        <v>-100</v>
      </c>
      <c r="R7" s="1" t="s">
        <v>48</v>
      </c>
      <c r="S7" s="1" t="s">
        <v>48</v>
      </c>
      <c r="T7" s="1" t="s">
        <v>48</v>
      </c>
      <c r="V7">
        <v>230</v>
      </c>
    </row>
    <row r="8" spans="1:23" x14ac:dyDescent="0.2">
      <c r="A8" s="3" t="s">
        <v>17</v>
      </c>
      <c r="B8" t="s">
        <v>18</v>
      </c>
      <c r="C8" t="s">
        <v>17</v>
      </c>
      <c r="D8" s="2">
        <v>0.59119999999999995</v>
      </c>
      <c r="E8" s="2" t="str">
        <f t="shared" si="6"/>
        <v>POR</v>
      </c>
      <c r="F8">
        <v>-185</v>
      </c>
      <c r="G8">
        <v>150</v>
      </c>
      <c r="H8" s="2">
        <f t="shared" si="2"/>
        <v>0.59119999999999995</v>
      </c>
      <c r="I8" s="14">
        <f t="shared" si="0"/>
        <v>-8.9232432432432454</v>
      </c>
      <c r="J8" s="14">
        <f t="shared" si="3"/>
        <v>2.2000000000000028</v>
      </c>
      <c r="K8" s="44">
        <f t="shared" si="7"/>
        <v>-5.2999999999999901</v>
      </c>
      <c r="L8" s="45">
        <f t="shared" si="8"/>
        <v>-13.544864864864881</v>
      </c>
      <c r="M8" t="s">
        <v>28</v>
      </c>
      <c r="N8" t="str">
        <f t="shared" si="1"/>
        <v>N</v>
      </c>
      <c r="O8" s="8"/>
      <c r="P8" s="8">
        <f t="shared" si="4"/>
        <v>0</v>
      </c>
      <c r="Q8" s="8">
        <f t="shared" si="5"/>
        <v>-100</v>
      </c>
      <c r="R8" s="24">
        <f>R2/(100*R6)</f>
        <v>0.19204822127025517</v>
      </c>
      <c r="S8" s="21">
        <f>S2/(100*S6)</f>
        <v>4.8167214152624621E-2</v>
      </c>
      <c r="T8" s="24">
        <f>T2/(100*T6)</f>
        <v>-5.5403733839408074E-2</v>
      </c>
      <c r="V8">
        <v>215</v>
      </c>
    </row>
    <row r="9" spans="1:23" ht="17" thickBot="1" x14ac:dyDescent="0.25">
      <c r="A9" s="16" t="s">
        <v>19</v>
      </c>
      <c r="B9" s="17" t="s">
        <v>21</v>
      </c>
      <c r="C9" s="17" t="s">
        <v>19</v>
      </c>
      <c r="D9" s="18">
        <v>0.80610000000000004</v>
      </c>
      <c r="E9" s="18" t="str">
        <f t="shared" si="6"/>
        <v>LAL</v>
      </c>
      <c r="F9" s="17">
        <v>-1000</v>
      </c>
      <c r="G9" s="17">
        <v>535</v>
      </c>
      <c r="H9" s="18">
        <f t="shared" si="2"/>
        <v>0.80610000000000004</v>
      </c>
      <c r="I9" s="19">
        <f t="shared" si="0"/>
        <v>-11.328999999999997</v>
      </c>
      <c r="J9" s="19">
        <f t="shared" si="3"/>
        <v>23.126499999999979</v>
      </c>
      <c r="K9" s="46">
        <f t="shared" si="7"/>
        <v>4.0764999999999532</v>
      </c>
      <c r="L9" s="47">
        <f t="shared" si="8"/>
        <v>-14.628999999999998</v>
      </c>
      <c r="M9" s="17" t="s">
        <v>19</v>
      </c>
      <c r="N9" s="17" t="str">
        <f t="shared" si="1"/>
        <v>Y</v>
      </c>
      <c r="O9" s="20">
        <v>-100</v>
      </c>
      <c r="P9" s="20">
        <f t="shared" si="4"/>
        <v>10</v>
      </c>
      <c r="Q9" s="20">
        <f t="shared" si="5"/>
        <v>10</v>
      </c>
      <c r="V9">
        <v>210</v>
      </c>
    </row>
    <row r="10" spans="1:23" x14ac:dyDescent="0.2">
      <c r="A10" s="4" t="s">
        <v>29</v>
      </c>
      <c r="B10" s="5" t="s">
        <v>30</v>
      </c>
      <c r="C10" s="5" t="s">
        <v>30</v>
      </c>
      <c r="D10" s="6">
        <v>0.5726</v>
      </c>
      <c r="E10" s="2" t="str">
        <f t="shared" si="6"/>
        <v>BKN</v>
      </c>
      <c r="F10" s="5">
        <v>-270</v>
      </c>
      <c r="G10" s="5">
        <v>190</v>
      </c>
      <c r="H10" s="6">
        <f>IF(F10&lt;0,D10,1-D10)</f>
        <v>0.5726</v>
      </c>
      <c r="I10" s="7">
        <f t="shared" ref="I10:I19" si="9">H10*100*100/-F10+(1-H10)*-100</f>
        <v>-21.532592592592593</v>
      </c>
      <c r="J10" s="7">
        <f t="shared" ref="J10:J19" si="10">(1-H10)*100*G10/100+H10*-100</f>
        <v>23.946000000000005</v>
      </c>
      <c r="K10" s="44">
        <f t="shared" si="7"/>
        <v>15.245999999999995</v>
      </c>
      <c r="L10" s="45">
        <f t="shared" si="8"/>
        <v>-25.643703703703707</v>
      </c>
      <c r="M10" s="5" t="s">
        <v>29</v>
      </c>
      <c r="N10" s="5" t="str">
        <f t="shared" ref="N10:N19" si="11">IF(C10=M10,"Y","N")</f>
        <v>N</v>
      </c>
      <c r="O10" s="15">
        <v>190</v>
      </c>
      <c r="P10" s="15">
        <f t="shared" si="4"/>
        <v>0</v>
      </c>
      <c r="Q10" s="15">
        <f>IF(N10="Y",IF(D10&gt;0.5,100^2/-F10,G10),-100)</f>
        <v>-100</v>
      </c>
      <c r="V10">
        <v>205</v>
      </c>
    </row>
    <row r="11" spans="1:23" x14ac:dyDescent="0.2">
      <c r="A11" s="3" t="s">
        <v>31</v>
      </c>
      <c r="B11" t="s">
        <v>32</v>
      </c>
      <c r="C11" t="s">
        <v>31</v>
      </c>
      <c r="D11" s="2">
        <v>0.67549999999999999</v>
      </c>
      <c r="E11" s="2" t="str">
        <f t="shared" si="6"/>
        <v>ORL</v>
      </c>
      <c r="F11">
        <v>-130</v>
      </c>
      <c r="G11">
        <f>100^2/110</f>
        <v>90.909090909090907</v>
      </c>
      <c r="H11" s="2">
        <f t="shared" ref="H11:H19" si="12">IF(F11&lt;0,D11,1-D11)</f>
        <v>0.67549999999999999</v>
      </c>
      <c r="I11" s="14">
        <f t="shared" si="9"/>
        <v>19.511538461538457</v>
      </c>
      <c r="J11" s="14">
        <f t="shared" si="10"/>
        <v>-38.049999999999997</v>
      </c>
      <c r="K11" s="44">
        <f t="shared" si="7"/>
        <v>-43.777272727272731</v>
      </c>
      <c r="L11" s="45">
        <f t="shared" si="8"/>
        <v>14.20384615384615</v>
      </c>
      <c r="M11" t="s">
        <v>31</v>
      </c>
      <c r="N11" t="str">
        <f t="shared" si="11"/>
        <v>Y</v>
      </c>
      <c r="O11" s="8">
        <f>100^2/-F11</f>
        <v>76.92307692307692</v>
      </c>
      <c r="P11" s="8">
        <f t="shared" si="4"/>
        <v>76.92307692307692</v>
      </c>
      <c r="Q11" s="8">
        <f t="shared" ref="Q11:Q19" si="13">IF(N11="Y",IF(D11&gt;0.5,100^2/-F11,G11),-100)</f>
        <v>76.92307692307692</v>
      </c>
      <c r="V11" s="11">
        <v>190</v>
      </c>
    </row>
    <row r="12" spans="1:23" x14ac:dyDescent="0.2">
      <c r="A12" s="3" t="s">
        <v>5</v>
      </c>
      <c r="B12" t="s">
        <v>33</v>
      </c>
      <c r="C12" t="s">
        <v>5</v>
      </c>
      <c r="D12" s="2">
        <v>0.79979999999999996</v>
      </c>
      <c r="E12" s="2" t="str">
        <f t="shared" si="6"/>
        <v>BOS</v>
      </c>
      <c r="F12">
        <v>-370</v>
      </c>
      <c r="G12">
        <v>250</v>
      </c>
      <c r="H12" s="2">
        <f t="shared" si="12"/>
        <v>0.79979999999999996</v>
      </c>
      <c r="I12" s="14">
        <f t="shared" si="9"/>
        <v>1.5962162162162095</v>
      </c>
      <c r="J12" s="14">
        <f t="shared" si="10"/>
        <v>-29.929999999999978</v>
      </c>
      <c r="K12" s="44">
        <f t="shared" si="7"/>
        <v>-40.43</v>
      </c>
      <c r="L12" s="45">
        <f t="shared" si="8"/>
        <v>-2.2145945945946011</v>
      </c>
      <c r="M12" t="s">
        <v>5</v>
      </c>
      <c r="N12" t="str">
        <f t="shared" si="11"/>
        <v>Y</v>
      </c>
      <c r="O12" s="8"/>
      <c r="P12" s="8">
        <f t="shared" si="4"/>
        <v>27.027027027027028</v>
      </c>
      <c r="Q12" s="8">
        <f t="shared" si="13"/>
        <v>27.027027027027028</v>
      </c>
      <c r="V12">
        <v>180</v>
      </c>
    </row>
    <row r="13" spans="1:23" x14ac:dyDescent="0.2">
      <c r="A13" s="3" t="s">
        <v>34</v>
      </c>
      <c r="B13" t="s">
        <v>35</v>
      </c>
      <c r="C13" t="s">
        <v>34</v>
      </c>
      <c r="D13" s="2">
        <v>0.53449999999999998</v>
      </c>
      <c r="E13" s="2" t="str">
        <f t="shared" si="6"/>
        <v>ATL</v>
      </c>
      <c r="F13">
        <v>-120</v>
      </c>
      <c r="G13">
        <f>100^2/115</f>
        <v>86.956521739130437</v>
      </c>
      <c r="H13" s="2">
        <f t="shared" si="12"/>
        <v>0.53449999999999998</v>
      </c>
      <c r="I13" s="14">
        <f t="shared" si="9"/>
        <v>-2.00833333333334</v>
      </c>
      <c r="J13" s="14">
        <f t="shared" si="10"/>
        <v>-12.97173913043477</v>
      </c>
      <c r="K13" s="44">
        <f t="shared" si="7"/>
        <v>-18.580434782608698</v>
      </c>
      <c r="L13" s="45">
        <f t="shared" si="8"/>
        <v>-7.50833333333334</v>
      </c>
      <c r="M13" t="s">
        <v>35</v>
      </c>
      <c r="N13" t="str">
        <f t="shared" si="11"/>
        <v>N</v>
      </c>
      <c r="O13" s="8"/>
      <c r="P13" s="8">
        <f t="shared" si="4"/>
        <v>0</v>
      </c>
      <c r="Q13" s="8">
        <f t="shared" si="13"/>
        <v>-100</v>
      </c>
      <c r="V13">
        <v>164</v>
      </c>
    </row>
    <row r="14" spans="1:23" x14ac:dyDescent="0.2">
      <c r="A14" s="3" t="s">
        <v>36</v>
      </c>
      <c r="B14" t="s">
        <v>37</v>
      </c>
      <c r="C14" t="s">
        <v>37</v>
      </c>
      <c r="D14" s="2">
        <v>0.50339999999999996</v>
      </c>
      <c r="E14" s="2" t="str">
        <f t="shared" si="6"/>
        <v>MIL</v>
      </c>
      <c r="F14">
        <v>-265</v>
      </c>
      <c r="G14">
        <v>185</v>
      </c>
      <c r="H14" s="2">
        <f t="shared" si="12"/>
        <v>0.50339999999999996</v>
      </c>
      <c r="I14" s="14">
        <f t="shared" si="9"/>
        <v>-30.663773584905663</v>
      </c>
      <c r="J14" s="14">
        <f t="shared" si="10"/>
        <v>41.531000000000013</v>
      </c>
      <c r="K14" s="44">
        <f t="shared" si="7"/>
        <v>32.981000000000002</v>
      </c>
      <c r="L14" s="45">
        <f t="shared" si="8"/>
        <v>-34.795849056603778</v>
      </c>
      <c r="M14" t="s">
        <v>37</v>
      </c>
      <c r="N14" t="str">
        <f t="shared" si="11"/>
        <v>Y</v>
      </c>
      <c r="O14" s="8">
        <v>-100</v>
      </c>
      <c r="P14" s="8">
        <f t="shared" si="4"/>
        <v>0</v>
      </c>
      <c r="Q14" s="8">
        <f t="shared" si="13"/>
        <v>37.735849056603776</v>
      </c>
      <c r="V14">
        <v>160</v>
      </c>
    </row>
    <row r="15" spans="1:23" x14ac:dyDescent="0.2">
      <c r="A15" s="3" t="s">
        <v>38</v>
      </c>
      <c r="B15" t="s">
        <v>39</v>
      </c>
      <c r="C15" t="s">
        <v>38</v>
      </c>
      <c r="D15" s="2">
        <v>0.70809999999999995</v>
      </c>
      <c r="E15" s="2" t="str">
        <f t="shared" si="6"/>
        <v>PHI</v>
      </c>
      <c r="F15">
        <v>-140</v>
      </c>
      <c r="G15">
        <v>100</v>
      </c>
      <c r="H15" s="2">
        <f t="shared" si="12"/>
        <v>0.70809999999999995</v>
      </c>
      <c r="I15" s="14">
        <f t="shared" si="9"/>
        <v>21.388571428571424</v>
      </c>
      <c r="J15" s="14">
        <f t="shared" si="10"/>
        <v>-41.62</v>
      </c>
      <c r="K15" s="44">
        <f t="shared" si="7"/>
        <v>-47.620000000000005</v>
      </c>
      <c r="L15" s="45">
        <f t="shared" si="8"/>
        <v>16.245714285714271</v>
      </c>
      <c r="M15" t="s">
        <v>38</v>
      </c>
      <c r="N15" t="str">
        <f t="shared" si="11"/>
        <v>Y</v>
      </c>
      <c r="O15" s="8">
        <f>100^2/-F15</f>
        <v>71.428571428571431</v>
      </c>
      <c r="P15" s="8">
        <f t="shared" si="4"/>
        <v>71.428571428571431</v>
      </c>
      <c r="Q15" s="8">
        <f t="shared" si="13"/>
        <v>71.428571428571431</v>
      </c>
      <c r="V15">
        <v>140</v>
      </c>
    </row>
    <row r="16" spans="1:23" x14ac:dyDescent="0.2">
      <c r="A16" s="3" t="s">
        <v>13</v>
      </c>
      <c r="B16" t="s">
        <v>40</v>
      </c>
      <c r="C16" t="s">
        <v>13</v>
      </c>
      <c r="D16" s="2">
        <v>0.60040000000000004</v>
      </c>
      <c r="E16" s="2" t="str">
        <f t="shared" si="6"/>
        <v>DEN</v>
      </c>
      <c r="F16">
        <v>-160</v>
      </c>
      <c r="G16">
        <v>115</v>
      </c>
      <c r="H16" s="2">
        <f t="shared" si="12"/>
        <v>0.60040000000000004</v>
      </c>
      <c r="I16" s="14">
        <f t="shared" si="9"/>
        <v>-2.4349999999999881</v>
      </c>
      <c r="J16" s="14">
        <f t="shared" si="10"/>
        <v>-14.086000000000013</v>
      </c>
      <c r="K16" s="44">
        <f t="shared" si="7"/>
        <v>-20.536000000000016</v>
      </c>
      <c r="L16" s="45">
        <f t="shared" si="8"/>
        <v>-7.3100000000000023</v>
      </c>
      <c r="M16" t="s">
        <v>40</v>
      </c>
      <c r="N16" t="str">
        <f t="shared" si="11"/>
        <v>N</v>
      </c>
      <c r="O16" s="8"/>
      <c r="P16" s="8">
        <f t="shared" si="4"/>
        <v>0</v>
      </c>
      <c r="Q16" s="8">
        <f t="shared" si="13"/>
        <v>-100</v>
      </c>
      <c r="V16">
        <v>136</v>
      </c>
    </row>
    <row r="17" spans="1:22" x14ac:dyDescent="0.2">
      <c r="A17" s="3" t="s">
        <v>41</v>
      </c>
      <c r="B17" t="s">
        <v>21</v>
      </c>
      <c r="C17" t="s">
        <v>41</v>
      </c>
      <c r="D17" s="2">
        <v>0.80830000000000002</v>
      </c>
      <c r="E17" s="2" t="str">
        <f t="shared" si="6"/>
        <v>PHX</v>
      </c>
      <c r="F17">
        <v>-2290</v>
      </c>
      <c r="G17">
        <v>800</v>
      </c>
      <c r="H17" s="2">
        <f t="shared" si="12"/>
        <v>0.80830000000000002</v>
      </c>
      <c r="I17" s="14">
        <f t="shared" si="9"/>
        <v>-15.640305676855894</v>
      </c>
      <c r="J17" s="14">
        <f t="shared" si="10"/>
        <v>72.529999999999987</v>
      </c>
      <c r="K17" s="44">
        <f t="shared" si="7"/>
        <v>45.529999999999959</v>
      </c>
      <c r="L17" s="45">
        <f t="shared" si="8"/>
        <v>-18.77131004366812</v>
      </c>
      <c r="M17" t="s">
        <v>41</v>
      </c>
      <c r="N17" t="str">
        <f t="shared" si="11"/>
        <v>Y</v>
      </c>
      <c r="O17" s="8">
        <v>-100</v>
      </c>
      <c r="P17" s="8">
        <f t="shared" si="4"/>
        <v>4.3668122270742362</v>
      </c>
      <c r="Q17" s="8">
        <f t="shared" si="13"/>
        <v>4.3668122270742362</v>
      </c>
      <c r="V17">
        <v>120</v>
      </c>
    </row>
    <row r="18" spans="1:22" x14ac:dyDescent="0.2">
      <c r="A18" s="3" t="s">
        <v>17</v>
      </c>
      <c r="B18" t="s">
        <v>28</v>
      </c>
      <c r="C18" t="s">
        <v>17</v>
      </c>
      <c r="D18" s="2">
        <v>0.59619999999999995</v>
      </c>
      <c r="E18" s="2" t="str">
        <f t="shared" si="6"/>
        <v>POR</v>
      </c>
      <c r="F18">
        <v>-245</v>
      </c>
      <c r="G18">
        <v>175</v>
      </c>
      <c r="H18" s="2">
        <f t="shared" si="12"/>
        <v>0.59619999999999995</v>
      </c>
      <c r="I18" s="14">
        <f t="shared" si="9"/>
        <v>-16.045306122448981</v>
      </c>
      <c r="J18" s="14">
        <f t="shared" si="10"/>
        <v>11.045000000000009</v>
      </c>
      <c r="K18" s="44">
        <f t="shared" si="7"/>
        <v>2.7950000000000088</v>
      </c>
      <c r="L18" s="45">
        <f t="shared" si="8"/>
        <v>-20.269795918367361</v>
      </c>
      <c r="M18" t="s">
        <v>17</v>
      </c>
      <c r="N18" t="str">
        <f t="shared" si="11"/>
        <v>Y</v>
      </c>
      <c r="O18" s="8"/>
      <c r="P18" s="8">
        <f t="shared" si="4"/>
        <v>0</v>
      </c>
      <c r="Q18" s="8">
        <f t="shared" si="13"/>
        <v>40.816326530612244</v>
      </c>
      <c r="V18">
        <v>105</v>
      </c>
    </row>
    <row r="19" spans="1:22" ht="17" thickBot="1" x14ac:dyDescent="0.25">
      <c r="A19" s="16" t="s">
        <v>42</v>
      </c>
      <c r="B19" s="17" t="s">
        <v>14</v>
      </c>
      <c r="C19" s="17" t="s">
        <v>42</v>
      </c>
      <c r="D19" s="18">
        <v>0.7843</v>
      </c>
      <c r="E19" s="18" t="str">
        <f t="shared" si="6"/>
        <v>LAC</v>
      </c>
      <c r="F19" s="17">
        <v>-320</v>
      </c>
      <c r="G19" s="17">
        <v>220</v>
      </c>
      <c r="H19" s="18">
        <f t="shared" si="12"/>
        <v>0.7843</v>
      </c>
      <c r="I19" s="19">
        <f t="shared" si="9"/>
        <v>2.9393750000000018</v>
      </c>
      <c r="J19" s="19">
        <f t="shared" si="10"/>
        <v>-30.976000000000013</v>
      </c>
      <c r="K19" s="46">
        <f t="shared" si="7"/>
        <v>-40.576000000000015</v>
      </c>
      <c r="L19" s="47">
        <f t="shared" si="8"/>
        <v>-0.99812500000000171</v>
      </c>
      <c r="M19" s="17" t="s">
        <v>42</v>
      </c>
      <c r="N19" s="17" t="str">
        <f t="shared" si="11"/>
        <v>Y</v>
      </c>
      <c r="O19" s="20"/>
      <c r="P19" s="20">
        <f t="shared" si="4"/>
        <v>31.25</v>
      </c>
      <c r="Q19" s="20">
        <f t="shared" si="13"/>
        <v>31.25</v>
      </c>
      <c r="V19">
        <v>105</v>
      </c>
    </row>
    <row r="20" spans="1:22" x14ac:dyDescent="0.2">
      <c r="A20" s="4" t="s">
        <v>7</v>
      </c>
      <c r="B20" s="5" t="s">
        <v>15</v>
      </c>
      <c r="C20" s="5" t="s">
        <v>15</v>
      </c>
      <c r="D20" s="6">
        <v>0.50339999999999996</v>
      </c>
      <c r="E20" s="2" t="str">
        <f t="shared" si="6"/>
        <v>MIA</v>
      </c>
      <c r="F20" s="5">
        <v>-130</v>
      </c>
      <c r="G20" s="5">
        <f>100^2/105</f>
        <v>95.238095238095241</v>
      </c>
      <c r="H20" s="6">
        <f>IF(F20&lt;0,D20,1-D20)</f>
        <v>0.50339999999999996</v>
      </c>
      <c r="I20" s="7">
        <f t="shared" ref="I20:I25" si="14">H20*100*100/-F20+(1-H20)*-100</f>
        <v>-10.93692307692308</v>
      </c>
      <c r="J20" s="7">
        <f t="shared" ref="J20:J25" si="15">(1-H20)*100*G20/100+H20*-100</f>
        <v>-3.0447619047618986</v>
      </c>
      <c r="K20" s="44">
        <f t="shared" si="7"/>
        <v>-8.9019047619047527</v>
      </c>
      <c r="L20" s="45">
        <f t="shared" si="8"/>
        <v>-16.244615384615386</v>
      </c>
      <c r="M20" s="5" t="s">
        <v>7</v>
      </c>
      <c r="N20" s="5" t="str">
        <f t="shared" ref="N20:N25" si="16">IF(C20=M20,"Y","N")</f>
        <v>N</v>
      </c>
      <c r="O20" s="15"/>
      <c r="P20" s="15">
        <f t="shared" si="4"/>
        <v>0</v>
      </c>
      <c r="Q20" s="15">
        <f>IF(N20="Y",IF(D20&gt;0.5,100^2/-F20,G20),-100)</f>
        <v>-100</v>
      </c>
      <c r="V20">
        <v>92.59</v>
      </c>
    </row>
    <row r="21" spans="1:22" x14ac:dyDescent="0.2">
      <c r="A21" s="3" t="s">
        <v>6</v>
      </c>
      <c r="B21" t="s">
        <v>33</v>
      </c>
      <c r="C21" t="s">
        <v>33</v>
      </c>
      <c r="D21" s="2">
        <v>0.7218</v>
      </c>
      <c r="E21" s="2" t="str">
        <f t="shared" si="6"/>
        <v>TOR</v>
      </c>
      <c r="F21">
        <v>-220</v>
      </c>
      <c r="G21">
        <v>155</v>
      </c>
      <c r="H21" s="2">
        <f t="shared" ref="H21:H25" si="17">IF(F21&lt;0,D21,1-D21)</f>
        <v>0.7218</v>
      </c>
      <c r="I21" s="14">
        <f t="shared" si="14"/>
        <v>4.9890909090909119</v>
      </c>
      <c r="J21" s="14">
        <f t="shared" si="15"/>
        <v>-29.059000000000005</v>
      </c>
      <c r="K21" s="44">
        <f t="shared" si="7"/>
        <v>-36.70900000000001</v>
      </c>
      <c r="L21" s="45">
        <f t="shared" si="8"/>
        <v>0.62545454545453794</v>
      </c>
      <c r="M21" t="s">
        <v>6</v>
      </c>
      <c r="N21" t="str">
        <f t="shared" si="16"/>
        <v>N</v>
      </c>
      <c r="O21" s="8"/>
      <c r="P21" s="8">
        <f t="shared" si="4"/>
        <v>-100</v>
      </c>
      <c r="Q21" s="8">
        <f t="shared" ref="Q21:Q25" si="18">IF(N21="Y",IF(D21&gt;0.5,100^2/-F21,G21),-100)</f>
        <v>-100</v>
      </c>
      <c r="V21">
        <v>76.92307692307692</v>
      </c>
    </row>
    <row r="22" spans="1:22" x14ac:dyDescent="0.2">
      <c r="A22" s="3" t="s">
        <v>12</v>
      </c>
      <c r="B22" t="s">
        <v>32</v>
      </c>
      <c r="C22" t="s">
        <v>12</v>
      </c>
      <c r="D22" s="2">
        <v>0.64419999999999999</v>
      </c>
      <c r="E22" s="2" t="str">
        <f t="shared" si="6"/>
        <v>IND</v>
      </c>
      <c r="F22">
        <v>-180</v>
      </c>
      <c r="G22">
        <v>130</v>
      </c>
      <c r="H22" s="2">
        <f t="shared" si="17"/>
        <v>0.64419999999999999</v>
      </c>
      <c r="I22" s="14">
        <f t="shared" si="14"/>
        <v>0.20888888888889312</v>
      </c>
      <c r="J22" s="14">
        <f t="shared" si="15"/>
        <v>-18.166000000000004</v>
      </c>
      <c r="K22" s="44">
        <f t="shared" si="7"/>
        <v>-25.066000000000003</v>
      </c>
      <c r="L22" s="45">
        <f t="shared" si="8"/>
        <v>-4.4577777777777854</v>
      </c>
      <c r="M22" t="s">
        <v>12</v>
      </c>
      <c r="N22" t="str">
        <f t="shared" si="16"/>
        <v>Y</v>
      </c>
      <c r="O22" s="8"/>
      <c r="P22" s="8">
        <f t="shared" si="4"/>
        <v>55.555555555555557</v>
      </c>
      <c r="Q22" s="8">
        <f t="shared" si="18"/>
        <v>55.555555555555557</v>
      </c>
      <c r="V22">
        <v>71.428571428571431</v>
      </c>
    </row>
    <row r="23" spans="1:22" x14ac:dyDescent="0.2">
      <c r="A23" s="3" t="s">
        <v>10</v>
      </c>
      <c r="B23" t="s">
        <v>19</v>
      </c>
      <c r="C23" t="s">
        <v>10</v>
      </c>
      <c r="D23" s="2">
        <v>0.78129999999999999</v>
      </c>
      <c r="E23" s="2" t="str">
        <f t="shared" si="6"/>
        <v>MIN</v>
      </c>
      <c r="F23">
        <v>-175</v>
      </c>
      <c r="G23">
        <v>130</v>
      </c>
      <c r="H23" s="2">
        <f t="shared" si="17"/>
        <v>0.78129999999999999</v>
      </c>
      <c r="I23" s="14">
        <f t="shared" si="14"/>
        <v>22.775714285714283</v>
      </c>
      <c r="J23" s="14">
        <f t="shared" si="15"/>
        <v>-49.698999999999998</v>
      </c>
      <c r="K23" s="44">
        <f t="shared" si="7"/>
        <v>-56.598999999999997</v>
      </c>
      <c r="L23" s="45">
        <f t="shared" si="8"/>
        <v>18.061428571428568</v>
      </c>
      <c r="M23" t="s">
        <v>10</v>
      </c>
      <c r="N23" t="str">
        <f t="shared" si="16"/>
        <v>Y</v>
      </c>
      <c r="O23" s="8">
        <f>100^2/175</f>
        <v>57.142857142857146</v>
      </c>
      <c r="P23" s="8">
        <f t="shared" si="4"/>
        <v>57.142857142857146</v>
      </c>
      <c r="Q23" s="8">
        <f t="shared" si="18"/>
        <v>57.142857142857146</v>
      </c>
      <c r="V23">
        <v>57.142857142857146</v>
      </c>
    </row>
    <row r="24" spans="1:22" x14ac:dyDescent="0.2">
      <c r="A24" s="3" t="s">
        <v>11</v>
      </c>
      <c r="B24" t="s">
        <v>38</v>
      </c>
      <c r="C24" t="s">
        <v>38</v>
      </c>
      <c r="D24" s="2">
        <f>100%-67.69%</f>
        <v>0.32310000000000005</v>
      </c>
      <c r="E24" s="2" t="str">
        <f t="shared" si="6"/>
        <v>CHI</v>
      </c>
      <c r="F24">
        <v>-145</v>
      </c>
      <c r="G24">
        <v>105</v>
      </c>
      <c r="H24" s="2">
        <f>IF(F24&lt;0,D24,1-D24)</f>
        <v>0.32310000000000005</v>
      </c>
      <c r="I24" s="14">
        <f t="shared" si="14"/>
        <v>-45.407241379310342</v>
      </c>
      <c r="J24" s="14">
        <f t="shared" si="15"/>
        <v>38.764499999999998</v>
      </c>
      <c r="K24" s="44">
        <f t="shared" si="7"/>
        <v>32.614499999999985</v>
      </c>
      <c r="L24" s="45">
        <f t="shared" si="8"/>
        <v>-50.476206896551723</v>
      </c>
      <c r="M24" t="s">
        <v>11</v>
      </c>
      <c r="N24" t="str">
        <f t="shared" si="16"/>
        <v>N</v>
      </c>
      <c r="O24" s="8">
        <v>-100</v>
      </c>
      <c r="P24" s="8">
        <f t="shared" si="4"/>
        <v>0</v>
      </c>
      <c r="Q24" s="8">
        <f t="shared" si="18"/>
        <v>-100</v>
      </c>
      <c r="V24" s="49">
        <v>-100</v>
      </c>
    </row>
    <row r="25" spans="1:22" ht="17" thickBot="1" x14ac:dyDescent="0.25">
      <c r="A25" s="16" t="s">
        <v>16</v>
      </c>
      <c r="B25" s="17" t="s">
        <v>9</v>
      </c>
      <c r="C25" s="17" t="s">
        <v>16</v>
      </c>
      <c r="D25" s="18">
        <v>0.62570000000000003</v>
      </c>
      <c r="E25" s="18" t="str">
        <f t="shared" si="6"/>
        <v>GSW</v>
      </c>
      <c r="F25" s="17">
        <v>-185</v>
      </c>
      <c r="G25" s="17">
        <v>130</v>
      </c>
      <c r="H25" s="18">
        <f t="shared" si="17"/>
        <v>0.62570000000000003</v>
      </c>
      <c r="I25" s="19">
        <f t="shared" si="14"/>
        <v>-3.6083783783783758</v>
      </c>
      <c r="J25" s="19">
        <f t="shared" si="15"/>
        <v>-13.911000000000001</v>
      </c>
      <c r="K25" s="46">
        <f t="shared" si="7"/>
        <v>-20.811000000000014</v>
      </c>
      <c r="L25" s="47">
        <f t="shared" si="8"/>
        <v>-8.2299999999999969</v>
      </c>
      <c r="M25" s="17" t="s">
        <v>9</v>
      </c>
      <c r="N25" s="17" t="str">
        <f t="shared" si="16"/>
        <v>N</v>
      </c>
      <c r="O25" s="20"/>
      <c r="P25" s="20">
        <f t="shared" si="4"/>
        <v>-100</v>
      </c>
      <c r="Q25" s="20">
        <f t="shared" si="18"/>
        <v>-100</v>
      </c>
      <c r="V25" s="11">
        <v>-100</v>
      </c>
    </row>
    <row r="26" spans="1:22" x14ac:dyDescent="0.2">
      <c r="A26" s="4" t="s">
        <v>29</v>
      </c>
      <c r="B26" s="5" t="s">
        <v>34</v>
      </c>
      <c r="C26" s="5" t="s">
        <v>34</v>
      </c>
      <c r="D26" s="6">
        <v>0.52066999999999997</v>
      </c>
      <c r="E26" s="2" t="str">
        <f t="shared" si="6"/>
        <v>ATL</v>
      </c>
      <c r="F26" s="5">
        <v>-295</v>
      </c>
      <c r="G26" s="5">
        <v>210</v>
      </c>
      <c r="H26" s="6">
        <f>IF(F26&lt;0,D26,1-D26)</f>
        <v>0.52066999999999997</v>
      </c>
      <c r="I26" s="7">
        <f t="shared" ref="I26:I31" si="19">H26*100*100/-F26+(1-H26)*-100</f>
        <v>-30.283169491525435</v>
      </c>
      <c r="J26" s="7">
        <f t="shared" ref="J26:J31" si="20">(1-H26)*100*G26/100+H26*-100</f>
        <v>48.592300000000023</v>
      </c>
      <c r="K26" s="44">
        <f t="shared" si="7"/>
        <v>39.292300000000004</v>
      </c>
      <c r="L26" s="45">
        <f t="shared" si="8"/>
        <v>-34.300118644067808</v>
      </c>
      <c r="M26" s="5" t="s">
        <v>34</v>
      </c>
      <c r="N26" s="5" t="str">
        <f t="shared" ref="N26:N31" si="21">IF(C26=M26,"Y","N")</f>
        <v>Y</v>
      </c>
      <c r="O26" s="15">
        <v>-100</v>
      </c>
      <c r="P26" s="15">
        <f t="shared" si="4"/>
        <v>0</v>
      </c>
      <c r="Q26" s="15">
        <f>IF(N26="Y",IF(D26&gt;0.5,100^2/-F26,G26),-100)</f>
        <v>33.898305084745765</v>
      </c>
      <c r="V26">
        <v>-100</v>
      </c>
    </row>
    <row r="27" spans="1:22" x14ac:dyDescent="0.2">
      <c r="A27" s="3" t="s">
        <v>28</v>
      </c>
      <c r="B27" t="s">
        <v>5</v>
      </c>
      <c r="C27" t="s">
        <v>5</v>
      </c>
      <c r="D27" s="2">
        <v>0.80020000000000002</v>
      </c>
      <c r="E27" s="2" t="str">
        <f t="shared" si="6"/>
        <v>BOS</v>
      </c>
      <c r="F27">
        <v>-1265</v>
      </c>
      <c r="G27">
        <v>600</v>
      </c>
      <c r="H27" s="2">
        <f t="shared" ref="H27:H29" si="22">IF(F27&lt;0,D27,1-D27)</f>
        <v>0.80020000000000002</v>
      </c>
      <c r="I27" s="14">
        <f t="shared" si="19"/>
        <v>-13.654308300395254</v>
      </c>
      <c r="J27" s="14">
        <f t="shared" si="20"/>
        <v>39.859999999999985</v>
      </c>
      <c r="K27" s="44">
        <f t="shared" si="7"/>
        <v>18.859999999999957</v>
      </c>
      <c r="L27" s="45">
        <f t="shared" si="8"/>
        <v>-16.891462450592883</v>
      </c>
      <c r="M27" t="s">
        <v>5</v>
      </c>
      <c r="N27" t="str">
        <f t="shared" si="21"/>
        <v>Y</v>
      </c>
      <c r="O27" s="8">
        <v>-100</v>
      </c>
      <c r="P27" s="8">
        <f t="shared" si="4"/>
        <v>7.9051383399209483</v>
      </c>
      <c r="Q27" s="8">
        <f t="shared" ref="Q27:Q31" si="23">IF(N27="Y",IF(D27&gt;0.5,100^2/-F27,G27),-100)</f>
        <v>7.9051383399209483</v>
      </c>
      <c r="V27">
        <v>-100</v>
      </c>
    </row>
    <row r="28" spans="1:22" x14ac:dyDescent="0.2">
      <c r="A28" s="3" t="s">
        <v>40</v>
      </c>
      <c r="B28" t="s">
        <v>30</v>
      </c>
      <c r="C28" t="s">
        <v>40</v>
      </c>
      <c r="D28" s="2">
        <v>0.71830000000000005</v>
      </c>
      <c r="E28" s="2" t="str">
        <f t="shared" si="6"/>
        <v>OKC</v>
      </c>
      <c r="F28">
        <v>-370</v>
      </c>
      <c r="G28">
        <v>250</v>
      </c>
      <c r="H28" s="2">
        <f t="shared" si="22"/>
        <v>0.71830000000000005</v>
      </c>
      <c r="I28" s="14">
        <f t="shared" si="19"/>
        <v>-8.7564864864864802</v>
      </c>
      <c r="J28" s="14">
        <f t="shared" si="20"/>
        <v>-1.4050000000000011</v>
      </c>
      <c r="K28" s="44">
        <f t="shared" si="7"/>
        <v>-11.90500000000003</v>
      </c>
      <c r="L28" s="45">
        <f t="shared" si="8"/>
        <v>-12.567297297297294</v>
      </c>
      <c r="M28" t="s">
        <v>40</v>
      </c>
      <c r="N28" t="str">
        <f t="shared" si="21"/>
        <v>Y</v>
      </c>
      <c r="O28" s="8"/>
      <c r="P28" s="8">
        <f t="shared" si="4"/>
        <v>27.027027027027028</v>
      </c>
      <c r="Q28" s="8">
        <f t="shared" si="23"/>
        <v>27.027027027027028</v>
      </c>
      <c r="V28">
        <v>-100</v>
      </c>
    </row>
    <row r="29" spans="1:22" x14ac:dyDescent="0.2">
      <c r="A29" s="3" t="s">
        <v>8</v>
      </c>
      <c r="B29" t="s">
        <v>19</v>
      </c>
      <c r="C29" t="s">
        <v>8</v>
      </c>
      <c r="D29" s="2">
        <v>0.61850000000000005</v>
      </c>
      <c r="E29" s="2" t="str">
        <f t="shared" si="6"/>
        <v>NOP</v>
      </c>
      <c r="F29">
        <v>-270</v>
      </c>
      <c r="G29">
        <v>190</v>
      </c>
      <c r="H29" s="2">
        <f t="shared" si="22"/>
        <v>0.61850000000000005</v>
      </c>
      <c r="I29" s="14">
        <f t="shared" si="19"/>
        <v>-15.24259259259258</v>
      </c>
      <c r="J29" s="14">
        <f t="shared" si="20"/>
        <v>10.634999999999977</v>
      </c>
      <c r="K29" s="44">
        <f t="shared" si="7"/>
        <v>1.9349999999999739</v>
      </c>
      <c r="L29" s="45">
        <f t="shared" si="8"/>
        <v>-19.353703703703701</v>
      </c>
      <c r="M29" t="s">
        <v>8</v>
      </c>
      <c r="N29" t="str">
        <f t="shared" si="21"/>
        <v>Y</v>
      </c>
      <c r="O29" s="8"/>
      <c r="P29" s="8">
        <f t="shared" si="4"/>
        <v>37.037037037037038</v>
      </c>
      <c r="Q29" s="8">
        <f t="shared" si="23"/>
        <v>37.037037037037038</v>
      </c>
      <c r="V29">
        <v>-100</v>
      </c>
    </row>
    <row r="30" spans="1:22" x14ac:dyDescent="0.2">
      <c r="A30" s="3" t="s">
        <v>41</v>
      </c>
      <c r="B30" t="s">
        <v>31</v>
      </c>
      <c r="C30" t="s">
        <v>41</v>
      </c>
      <c r="D30" s="2">
        <v>0.58250000000000002</v>
      </c>
      <c r="E30" s="2" t="str">
        <f t="shared" si="6"/>
        <v>PHX</v>
      </c>
      <c r="F30">
        <v>-260</v>
      </c>
      <c r="G30">
        <v>185</v>
      </c>
      <c r="H30" s="2">
        <f>IF(F30&lt;0,D30,1-D30)</f>
        <v>0.58250000000000002</v>
      </c>
      <c r="I30" s="14">
        <f t="shared" si="19"/>
        <v>-19.346153846153847</v>
      </c>
      <c r="J30" s="14">
        <f t="shared" si="20"/>
        <v>18.987499999999997</v>
      </c>
      <c r="K30" s="44">
        <f t="shared" si="7"/>
        <v>10.437499999999979</v>
      </c>
      <c r="L30" s="45">
        <f t="shared" si="8"/>
        <v>-23.5</v>
      </c>
      <c r="M30" t="s">
        <v>41</v>
      </c>
      <c r="N30" t="str">
        <f t="shared" si="21"/>
        <v>Y</v>
      </c>
      <c r="O30" s="8">
        <v>-100</v>
      </c>
      <c r="P30" s="8">
        <f t="shared" si="4"/>
        <v>0</v>
      </c>
      <c r="Q30" s="8">
        <f t="shared" si="23"/>
        <v>38.46153846153846</v>
      </c>
      <c r="V30">
        <v>-100</v>
      </c>
    </row>
    <row r="31" spans="1:22" ht="17" thickBot="1" x14ac:dyDescent="0.25">
      <c r="A31" s="16" t="s">
        <v>14</v>
      </c>
      <c r="B31" s="17" t="s">
        <v>35</v>
      </c>
      <c r="C31" s="17" t="s">
        <v>35</v>
      </c>
      <c r="D31" s="18">
        <v>0.62570000000000003</v>
      </c>
      <c r="E31" s="18" t="str">
        <f t="shared" si="6"/>
        <v>SAC</v>
      </c>
      <c r="F31" s="17">
        <v>-120</v>
      </c>
      <c r="G31" s="17">
        <f>100^2/115</f>
        <v>86.956521739130437</v>
      </c>
      <c r="H31" s="18">
        <f t="shared" ref="H31" si="24">IF(F31&lt;0,D31,1-D31)</f>
        <v>0.62570000000000003</v>
      </c>
      <c r="I31" s="19">
        <f t="shared" si="19"/>
        <v>14.711666666666666</v>
      </c>
      <c r="J31" s="19">
        <f t="shared" si="20"/>
        <v>-30.022173913043481</v>
      </c>
      <c r="K31" s="46">
        <f t="shared" si="7"/>
        <v>-35.630869565217402</v>
      </c>
      <c r="L31" s="47">
        <f t="shared" si="8"/>
        <v>9.211666666666666</v>
      </c>
      <c r="M31" s="17" t="s">
        <v>35</v>
      </c>
      <c r="N31" s="17" t="str">
        <f t="shared" si="21"/>
        <v>Y</v>
      </c>
      <c r="O31" s="20"/>
      <c r="P31" s="20">
        <f t="shared" si="4"/>
        <v>83.333333333333329</v>
      </c>
      <c r="Q31" s="20">
        <f t="shared" si="23"/>
        <v>83.333333333333329</v>
      </c>
      <c r="V31">
        <v>-100</v>
      </c>
    </row>
    <row r="32" spans="1:22" x14ac:dyDescent="0.2">
      <c r="A32" s="4" t="s">
        <v>32</v>
      </c>
      <c r="B32" s="5" t="s">
        <v>10</v>
      </c>
      <c r="C32" s="5" t="s">
        <v>10</v>
      </c>
      <c r="D32" s="6">
        <v>0.59309999999999996</v>
      </c>
      <c r="E32" s="2" t="str">
        <f t="shared" si="6"/>
        <v>MIN</v>
      </c>
      <c r="F32" s="5">
        <v>-120</v>
      </c>
      <c r="G32" s="5">
        <f>100^2/110</f>
        <v>90.909090909090907</v>
      </c>
      <c r="H32" s="6">
        <f>IF(F32&lt;0,D32,1-D32)</f>
        <v>0.59309999999999996</v>
      </c>
      <c r="I32" s="7">
        <f t="shared" ref="I32:I39" si="25">H32*100*100/-F32+(1-H32)*-100</f>
        <v>8.7349999999999852</v>
      </c>
      <c r="J32" s="7">
        <f t="shared" ref="J32:J39" si="26">(1-H32)*100*G32/100+H32*-100</f>
        <v>-22.319090909090903</v>
      </c>
      <c r="K32" s="44">
        <f t="shared" si="7"/>
        <v>-28.046363636363637</v>
      </c>
      <c r="L32" s="45">
        <f t="shared" si="8"/>
        <v>3.2349999999999852</v>
      </c>
      <c r="M32" s="5" t="s">
        <v>32</v>
      </c>
      <c r="N32" s="5" t="str">
        <f t="shared" ref="N32:N39" si="27">IF(C32=M32,"Y","N")</f>
        <v>N</v>
      </c>
      <c r="O32" s="15"/>
      <c r="P32" s="15">
        <f>IF(D32&gt;0.65, IF(N32="Y",100^2/-F32, -100), 0)</f>
        <v>0</v>
      </c>
      <c r="Q32" s="15">
        <f>IF(N32="Y",IF(D32&gt;0.5,100^2/-F32,G32),-100)</f>
        <v>-100</v>
      </c>
      <c r="V32">
        <v>-100</v>
      </c>
    </row>
    <row r="33" spans="1:22" x14ac:dyDescent="0.2">
      <c r="A33" s="3" t="s">
        <v>33</v>
      </c>
      <c r="B33" t="s">
        <v>36</v>
      </c>
      <c r="C33" t="s">
        <v>33</v>
      </c>
      <c r="D33" s="2">
        <v>0.62780000000000002</v>
      </c>
      <c r="E33" s="2" t="str">
        <f t="shared" si="6"/>
        <v>TOR</v>
      </c>
      <c r="F33">
        <v>-150</v>
      </c>
      <c r="G33">
        <v>110</v>
      </c>
      <c r="H33" s="2">
        <f t="shared" ref="H33:H35" si="28">IF(F33&lt;0,D33,1-D33)</f>
        <v>0.62780000000000002</v>
      </c>
      <c r="I33" s="14">
        <f t="shared" si="25"/>
        <v>4.6333333333333329</v>
      </c>
      <c r="J33" s="14">
        <f t="shared" si="26"/>
        <v>-21.838000000000001</v>
      </c>
      <c r="K33" s="44">
        <f t="shared" si="7"/>
        <v>-28.138000000000005</v>
      </c>
      <c r="L33" s="45">
        <f t="shared" si="8"/>
        <v>-0.36666666666666714</v>
      </c>
      <c r="M33" t="s">
        <v>33</v>
      </c>
      <c r="N33" t="str">
        <f t="shared" si="27"/>
        <v>Y</v>
      </c>
      <c r="O33" s="8"/>
      <c r="P33" s="8">
        <f t="shared" ref="P33:P39" si="29">IF(D33&gt;0.65, IF(N33="Y",100^2/-F33, -100), 0)</f>
        <v>0</v>
      </c>
      <c r="Q33" s="8">
        <f t="shared" ref="Q33:Q39" si="30">IF(N33="Y",IF(D33&gt;0.5,100^2/-F33,G33),-100)</f>
        <v>66.666666666666671</v>
      </c>
      <c r="V33">
        <v>-100</v>
      </c>
    </row>
    <row r="34" spans="1:22" x14ac:dyDescent="0.2">
      <c r="A34" s="3" t="s">
        <v>39</v>
      </c>
      <c r="B34" t="s">
        <v>6</v>
      </c>
      <c r="C34" t="s">
        <v>39</v>
      </c>
      <c r="D34" s="2">
        <v>0.83609999999999995</v>
      </c>
      <c r="E34" s="2" t="str">
        <f t="shared" si="6"/>
        <v>HOU</v>
      </c>
      <c r="F34">
        <v>-465</v>
      </c>
      <c r="G34">
        <v>300</v>
      </c>
      <c r="H34" s="2">
        <f t="shared" si="28"/>
        <v>0.83609999999999995</v>
      </c>
      <c r="I34" s="14">
        <f t="shared" si="25"/>
        <v>1.5906451612903183</v>
      </c>
      <c r="J34" s="14">
        <f t="shared" si="26"/>
        <v>-34.439999999999991</v>
      </c>
      <c r="K34" s="44">
        <f t="shared" si="7"/>
        <v>-46.439999999999991</v>
      </c>
      <c r="L34" s="45">
        <f t="shared" si="8"/>
        <v>-2.0545161290322618</v>
      </c>
      <c r="M34" t="s">
        <v>39</v>
      </c>
      <c r="N34" t="str">
        <f t="shared" si="27"/>
        <v>Y</v>
      </c>
      <c r="O34" s="8"/>
      <c r="P34" s="8">
        <f t="shared" si="29"/>
        <v>21.50537634408602</v>
      </c>
      <c r="Q34" s="8">
        <f t="shared" si="30"/>
        <v>21.50537634408602</v>
      </c>
      <c r="V34">
        <v>-100</v>
      </c>
    </row>
    <row r="35" spans="1:22" x14ac:dyDescent="0.2">
      <c r="A35" s="3" t="s">
        <v>37</v>
      </c>
      <c r="B35" t="s">
        <v>12</v>
      </c>
      <c r="C35" t="s">
        <v>37</v>
      </c>
      <c r="D35" s="2">
        <v>0.71930000000000005</v>
      </c>
      <c r="E35" s="2" t="str">
        <f t="shared" si="6"/>
        <v>MIL</v>
      </c>
      <c r="F35">
        <v>-390</v>
      </c>
      <c r="G35">
        <v>260</v>
      </c>
      <c r="H35" s="2">
        <f t="shared" si="28"/>
        <v>0.71930000000000005</v>
      </c>
      <c r="I35" s="14">
        <f t="shared" si="25"/>
        <v>-9.6264102564102458</v>
      </c>
      <c r="J35" s="14">
        <f t="shared" si="26"/>
        <v>1.0519999999999783</v>
      </c>
      <c r="K35" s="44">
        <f t="shared" si="7"/>
        <v>-9.7480000000000331</v>
      </c>
      <c r="L35" s="45">
        <f t="shared" si="8"/>
        <v>-13.395641025641019</v>
      </c>
      <c r="M35" t="s">
        <v>12</v>
      </c>
      <c r="N35" t="str">
        <f t="shared" si="27"/>
        <v>N</v>
      </c>
      <c r="O35" s="8"/>
      <c r="P35" s="8">
        <f t="shared" si="29"/>
        <v>-100</v>
      </c>
      <c r="Q35" s="8">
        <f t="shared" si="30"/>
        <v>-100</v>
      </c>
      <c r="V35">
        <v>-100</v>
      </c>
    </row>
    <row r="36" spans="1:22" x14ac:dyDescent="0.2">
      <c r="A36" s="3" t="s">
        <v>13</v>
      </c>
      <c r="B36" t="s">
        <v>21</v>
      </c>
      <c r="C36" t="s">
        <v>13</v>
      </c>
      <c r="D36" s="2">
        <v>0.83819999999999995</v>
      </c>
      <c r="E36" s="2" t="str">
        <f t="shared" si="6"/>
        <v>DEN</v>
      </c>
      <c r="F36">
        <v>-2560</v>
      </c>
      <c r="G36">
        <v>835</v>
      </c>
      <c r="H36" s="2">
        <f>IF(F36&lt;0,D36,1-D36)</f>
        <v>0.83819999999999995</v>
      </c>
      <c r="I36" s="14">
        <f t="shared" si="25"/>
        <v>-12.905781250000008</v>
      </c>
      <c r="J36" s="14">
        <f t="shared" si="26"/>
        <v>51.283000000000072</v>
      </c>
      <c r="K36" s="44">
        <f t="shared" si="7"/>
        <v>23.233000000000033</v>
      </c>
      <c r="L36" s="45">
        <f t="shared" si="8"/>
        <v>-16.022968750000008</v>
      </c>
      <c r="M36" t="s">
        <v>13</v>
      </c>
      <c r="N36" t="str">
        <f t="shared" si="27"/>
        <v>Y</v>
      </c>
      <c r="O36" s="8">
        <v>-100</v>
      </c>
      <c r="P36" s="8">
        <f t="shared" si="29"/>
        <v>3.90625</v>
      </c>
      <c r="Q36" s="8">
        <f t="shared" si="30"/>
        <v>3.90625</v>
      </c>
      <c r="V36">
        <v>-100</v>
      </c>
    </row>
    <row r="37" spans="1:22" x14ac:dyDescent="0.2">
      <c r="A37" s="3" t="s">
        <v>7</v>
      </c>
      <c r="B37" t="s">
        <v>9</v>
      </c>
      <c r="C37" t="s">
        <v>7</v>
      </c>
      <c r="D37" s="2">
        <f>100%-52.17%</f>
        <v>0.47829999999999995</v>
      </c>
      <c r="E37" s="2" t="str">
        <f t="shared" si="6"/>
        <v>DAL</v>
      </c>
      <c r="F37">
        <v>-195</v>
      </c>
      <c r="G37">
        <v>140</v>
      </c>
      <c r="H37" s="2">
        <f t="shared" ref="H37:H39" si="31">IF(F37&lt;0,D37,1-D37)</f>
        <v>0.47829999999999995</v>
      </c>
      <c r="I37" s="14">
        <f t="shared" si="25"/>
        <v>-27.641794871794872</v>
      </c>
      <c r="J37" s="14">
        <f t="shared" si="26"/>
        <v>25.207999999999998</v>
      </c>
      <c r="K37" s="44">
        <f t="shared" si="7"/>
        <v>18.00800000000001</v>
      </c>
      <c r="L37" s="45">
        <f t="shared" si="8"/>
        <v>-32.180256410256419</v>
      </c>
      <c r="M37" t="s">
        <v>7</v>
      </c>
      <c r="N37" t="str">
        <f t="shared" si="27"/>
        <v>Y</v>
      </c>
      <c r="O37" s="8">
        <v>140</v>
      </c>
      <c r="P37" s="8">
        <f t="shared" si="29"/>
        <v>0</v>
      </c>
      <c r="Q37" s="8">
        <f t="shared" si="30"/>
        <v>140</v>
      </c>
      <c r="V37">
        <v>-100</v>
      </c>
    </row>
    <row r="38" spans="1:22" x14ac:dyDescent="0.2">
      <c r="A38" s="3" t="s">
        <v>41</v>
      </c>
      <c r="B38" t="s">
        <v>17</v>
      </c>
      <c r="C38" t="s">
        <v>41</v>
      </c>
      <c r="D38" s="2">
        <v>0.81610000000000005</v>
      </c>
      <c r="E38" s="2" t="str">
        <f t="shared" si="6"/>
        <v>PHX</v>
      </c>
      <c r="F38">
        <v>-785</v>
      </c>
      <c r="G38">
        <v>445</v>
      </c>
      <c r="H38" s="2">
        <f t="shared" si="31"/>
        <v>0.81610000000000005</v>
      </c>
      <c r="I38" s="14">
        <f t="shared" si="25"/>
        <v>-7.9938216560509492</v>
      </c>
      <c r="J38" s="14">
        <f t="shared" si="26"/>
        <v>0.22549999999996828</v>
      </c>
      <c r="K38" s="44">
        <f t="shared" si="7"/>
        <v>-16.12450000000004</v>
      </c>
      <c r="L38" s="45">
        <f t="shared" si="8"/>
        <v>-11.37598726114649</v>
      </c>
      <c r="M38" t="s">
        <v>41</v>
      </c>
      <c r="N38" t="str">
        <f t="shared" si="27"/>
        <v>Y</v>
      </c>
      <c r="O38" s="8"/>
      <c r="P38" s="8">
        <f t="shared" si="29"/>
        <v>12.738853503184714</v>
      </c>
      <c r="Q38" s="8">
        <f t="shared" si="30"/>
        <v>12.738853503184714</v>
      </c>
      <c r="V38">
        <v>-100</v>
      </c>
    </row>
    <row r="39" spans="1:22" ht="17" thickBot="1" x14ac:dyDescent="0.25">
      <c r="A39" s="16" t="s">
        <v>42</v>
      </c>
      <c r="B39" s="17" t="s">
        <v>15</v>
      </c>
      <c r="C39" s="17" t="s">
        <v>42</v>
      </c>
      <c r="D39" s="18">
        <v>0.66210000000000002</v>
      </c>
      <c r="E39" s="18" t="str">
        <f t="shared" si="6"/>
        <v>LAC</v>
      </c>
      <c r="F39" s="17">
        <v>-330</v>
      </c>
      <c r="G39" s="17">
        <v>225</v>
      </c>
      <c r="H39" s="18">
        <f t="shared" si="31"/>
        <v>0.66210000000000002</v>
      </c>
      <c r="I39" s="19">
        <f t="shared" si="25"/>
        <v>-13.726363636363633</v>
      </c>
      <c r="J39" s="19">
        <f t="shared" si="26"/>
        <v>9.8174999999999955</v>
      </c>
      <c r="K39" s="46">
        <f t="shared" si="7"/>
        <v>6.7499999999981242E-2</v>
      </c>
      <c r="L39" s="47">
        <f t="shared" si="8"/>
        <v>-17.635454545454543</v>
      </c>
      <c r="M39" s="17" t="s">
        <v>42</v>
      </c>
      <c r="N39" s="17" t="str">
        <f t="shared" si="27"/>
        <v>Y</v>
      </c>
      <c r="O39" s="20"/>
      <c r="P39" s="20">
        <f t="shared" si="29"/>
        <v>30.303030303030305</v>
      </c>
      <c r="Q39" s="20">
        <f t="shared" si="30"/>
        <v>30.303030303030305</v>
      </c>
      <c r="V39">
        <v>-100</v>
      </c>
    </row>
    <row r="40" spans="1:22" x14ac:dyDescent="0.2">
      <c r="A40" s="4" t="s">
        <v>38</v>
      </c>
      <c r="B40" s="5" t="s">
        <v>11</v>
      </c>
      <c r="C40" s="5" t="s">
        <v>38</v>
      </c>
      <c r="D40" s="6">
        <v>0.66779999999999995</v>
      </c>
      <c r="E40" s="2" t="str">
        <f t="shared" si="6"/>
        <v>PHI</v>
      </c>
      <c r="F40" s="5">
        <v>-615</v>
      </c>
      <c r="G40" s="5">
        <v>370</v>
      </c>
      <c r="H40" s="6">
        <f>IF(F40&lt;0,D40,1-D40)</f>
        <v>0.66779999999999995</v>
      </c>
      <c r="I40" s="7">
        <f t="shared" ref="I40:I45" si="32">H40*100*100/-F40+(1-H40)*-100</f>
        <v>-22.361463414634152</v>
      </c>
      <c r="J40" s="7">
        <f t="shared" ref="J40:J45" si="33">(1-H40)*100*G40/100+H40*-100</f>
        <v>56.134000000000015</v>
      </c>
      <c r="K40" s="44">
        <f t="shared" si="7"/>
        <v>42.034000000000006</v>
      </c>
      <c r="L40" s="45">
        <f t="shared" si="8"/>
        <v>-25.849268292682936</v>
      </c>
      <c r="M40" s="5" t="s">
        <v>38</v>
      </c>
      <c r="N40" s="5" t="str">
        <f t="shared" ref="N40:N45" si="34">IF(C40=M40,"Y","N")</f>
        <v>Y</v>
      </c>
      <c r="O40" s="15">
        <v>-100</v>
      </c>
      <c r="P40" s="15">
        <f>IF(D40&gt;0.65, IF(N40="Y",100^2/-F40, -100), 0)</f>
        <v>16.260162601626018</v>
      </c>
      <c r="Q40" s="15">
        <f>IF(N40="Y",IF(D40&gt;0.5,100^2/-F40,G40),-100)</f>
        <v>16.260162601626018</v>
      </c>
      <c r="V40">
        <v>-100</v>
      </c>
    </row>
    <row r="41" spans="1:22" x14ac:dyDescent="0.2">
      <c r="A41" s="3" t="s">
        <v>40</v>
      </c>
      <c r="B41" t="s">
        <v>5</v>
      </c>
      <c r="C41" t="s">
        <v>5</v>
      </c>
      <c r="D41" s="2">
        <v>0.50149999999999995</v>
      </c>
      <c r="E41" s="2" t="str">
        <f t="shared" si="6"/>
        <v>BOS</v>
      </c>
      <c r="F41">
        <v>-175</v>
      </c>
      <c r="G41">
        <v>125</v>
      </c>
      <c r="H41" s="2">
        <f t="shared" ref="H41:H43" si="35">IF(F41&lt;0,D41,1-D41)</f>
        <v>0.50149999999999995</v>
      </c>
      <c r="I41" s="14">
        <f t="shared" si="32"/>
        <v>-21.192857142857157</v>
      </c>
      <c r="J41" s="14">
        <f t="shared" si="33"/>
        <v>12.162500000000016</v>
      </c>
      <c r="K41" s="44">
        <f t="shared" si="7"/>
        <v>5.4125000000000014</v>
      </c>
      <c r="L41" s="45">
        <f t="shared" si="8"/>
        <v>-25.907142857142873</v>
      </c>
      <c r="M41" t="s">
        <v>40</v>
      </c>
      <c r="N41" t="str">
        <f t="shared" si="34"/>
        <v>N</v>
      </c>
      <c r="O41" s="8"/>
      <c r="P41" s="8">
        <f t="shared" ref="P41:P45" si="36">IF(D41&gt;0.65, IF(N41="Y",100^2/-F41, -100), 0)</f>
        <v>0</v>
      </c>
      <c r="Q41" s="8">
        <f t="shared" ref="Q41:Q45" si="37">IF(N41="Y",IF(D41&gt;0.5,100^2/-F41,G41),-100)</f>
        <v>-100</v>
      </c>
      <c r="V41">
        <v>-100</v>
      </c>
    </row>
    <row r="42" spans="1:22" x14ac:dyDescent="0.2">
      <c r="A42" s="3" t="s">
        <v>8</v>
      </c>
      <c r="B42" t="s">
        <v>30</v>
      </c>
      <c r="C42" t="s">
        <v>8</v>
      </c>
      <c r="D42" s="2">
        <v>0.61270000000000002</v>
      </c>
      <c r="E42" s="2" t="str">
        <f t="shared" si="6"/>
        <v>NOP</v>
      </c>
      <c r="F42">
        <v>-270</v>
      </c>
      <c r="G42">
        <v>190</v>
      </c>
      <c r="H42" s="2">
        <f t="shared" si="35"/>
        <v>0.61270000000000002</v>
      </c>
      <c r="I42" s="14">
        <f t="shared" si="32"/>
        <v>-16.037407407407404</v>
      </c>
      <c r="J42" s="14">
        <f t="shared" si="33"/>
        <v>12.317</v>
      </c>
      <c r="K42" s="44">
        <f t="shared" si="7"/>
        <v>3.616999999999976</v>
      </c>
      <c r="L42" s="45">
        <f t="shared" si="8"/>
        <v>-20.148518518518522</v>
      </c>
      <c r="M42" t="s">
        <v>8</v>
      </c>
      <c r="N42" t="str">
        <f t="shared" si="34"/>
        <v>Y</v>
      </c>
      <c r="O42" s="8"/>
      <c r="P42" s="8">
        <f t="shared" si="36"/>
        <v>0</v>
      </c>
      <c r="Q42" s="8">
        <f t="shared" si="37"/>
        <v>37.037037037037038</v>
      </c>
      <c r="V42">
        <v>-100</v>
      </c>
    </row>
    <row r="43" spans="1:22" x14ac:dyDescent="0.2">
      <c r="A43" s="3" t="s">
        <v>14</v>
      </c>
      <c r="B43" t="s">
        <v>28</v>
      </c>
      <c r="C43" t="s">
        <v>14</v>
      </c>
      <c r="D43" s="2">
        <v>0.65820000000000001</v>
      </c>
      <c r="E43" s="2" t="str">
        <f t="shared" si="6"/>
        <v>MEM</v>
      </c>
      <c r="F43">
        <v>-755</v>
      </c>
      <c r="G43">
        <v>430</v>
      </c>
      <c r="H43" s="2">
        <f t="shared" si="35"/>
        <v>0.65820000000000001</v>
      </c>
      <c r="I43" s="14">
        <f t="shared" si="32"/>
        <v>-25.462119205298009</v>
      </c>
      <c r="J43" s="14">
        <f t="shared" si="33"/>
        <v>81.153999999999982</v>
      </c>
      <c r="K43" s="44">
        <f t="shared" si="7"/>
        <v>65.253999999999976</v>
      </c>
      <c r="L43" s="45">
        <f t="shared" si="8"/>
        <v>-28.859470198675496</v>
      </c>
      <c r="M43" t="s">
        <v>14</v>
      </c>
      <c r="N43" t="str">
        <f t="shared" si="34"/>
        <v>Y</v>
      </c>
      <c r="O43" s="8">
        <v>-100</v>
      </c>
      <c r="P43" s="8">
        <f t="shared" si="36"/>
        <v>13.245033112582782</v>
      </c>
      <c r="Q43" s="8">
        <f t="shared" si="37"/>
        <v>13.245033112582782</v>
      </c>
      <c r="V43">
        <v>-100</v>
      </c>
    </row>
    <row r="44" spans="1:22" x14ac:dyDescent="0.2">
      <c r="A44" s="3" t="s">
        <v>35</v>
      </c>
      <c r="B44" t="s">
        <v>21</v>
      </c>
      <c r="C44" t="s">
        <v>35</v>
      </c>
      <c r="D44" s="2">
        <v>0.81779999999999997</v>
      </c>
      <c r="E44" s="2" t="str">
        <f t="shared" si="6"/>
        <v>SAC</v>
      </c>
      <c r="F44">
        <v>-2770</v>
      </c>
      <c r="G44">
        <v>860</v>
      </c>
      <c r="H44" s="2">
        <f>IF(F44&lt;0,D44,1-D44)</f>
        <v>0.81779999999999997</v>
      </c>
      <c r="I44" s="14">
        <f t="shared" si="32"/>
        <v>-15.267653429602891</v>
      </c>
      <c r="J44" s="14">
        <f t="shared" si="33"/>
        <v>74.912000000000035</v>
      </c>
      <c r="K44" s="44">
        <f t="shared" si="7"/>
        <v>46.111999999999995</v>
      </c>
      <c r="L44" s="45">
        <f t="shared" si="8"/>
        <v>-18.375956678700362</v>
      </c>
      <c r="M44" t="s">
        <v>21</v>
      </c>
      <c r="N44" t="str">
        <f t="shared" si="34"/>
        <v>N</v>
      </c>
      <c r="O44" s="8">
        <v>860</v>
      </c>
      <c r="P44" s="8">
        <f t="shared" si="36"/>
        <v>-100</v>
      </c>
      <c r="Q44" s="8">
        <f t="shared" si="37"/>
        <v>-100</v>
      </c>
      <c r="V44">
        <v>-100</v>
      </c>
    </row>
    <row r="45" spans="1:22" ht="17" thickBot="1" x14ac:dyDescent="0.25">
      <c r="A45" s="16" t="s">
        <v>16</v>
      </c>
      <c r="B45" s="17" t="s">
        <v>31</v>
      </c>
      <c r="C45" s="17" t="s">
        <v>16</v>
      </c>
      <c r="D45" s="18">
        <v>0.59160000000000001</v>
      </c>
      <c r="E45" s="18" t="str">
        <f t="shared" si="6"/>
        <v>GSW</v>
      </c>
      <c r="F45" s="17">
        <v>-165</v>
      </c>
      <c r="G45" s="17">
        <v>125</v>
      </c>
      <c r="H45" s="18">
        <f t="shared" ref="H45" si="38">IF(F45&lt;0,D45,1-D45)</f>
        <v>0.59160000000000001</v>
      </c>
      <c r="I45" s="19">
        <f t="shared" si="32"/>
        <v>-4.9854545454545445</v>
      </c>
      <c r="J45" s="19">
        <f t="shared" si="33"/>
        <v>-8.1100000000000136</v>
      </c>
      <c r="K45" s="46">
        <f t="shared" si="7"/>
        <v>-14.860000000000007</v>
      </c>
      <c r="L45" s="47">
        <f t="shared" si="8"/>
        <v>-9.8036363636363646</v>
      </c>
      <c r="M45" s="17" t="s">
        <v>16</v>
      </c>
      <c r="N45" s="17" t="str">
        <f t="shared" si="34"/>
        <v>Y</v>
      </c>
      <c r="O45" s="20"/>
      <c r="P45" s="20">
        <f t="shared" si="36"/>
        <v>0</v>
      </c>
      <c r="Q45" s="20">
        <f t="shared" si="37"/>
        <v>60.606060606060609</v>
      </c>
      <c r="V45">
        <v>-100</v>
      </c>
    </row>
    <row r="46" spans="1:22" x14ac:dyDescent="0.2">
      <c r="A46" s="4" t="s">
        <v>36</v>
      </c>
      <c r="B46" s="5" t="s">
        <v>29</v>
      </c>
      <c r="C46" s="5" t="s">
        <v>36</v>
      </c>
      <c r="D46" s="6">
        <v>0.77859999999999996</v>
      </c>
      <c r="E46" s="2" t="str">
        <f t="shared" si="6"/>
        <v>CLE</v>
      </c>
      <c r="F46" s="5">
        <v>-440</v>
      </c>
      <c r="G46" s="5">
        <v>340</v>
      </c>
      <c r="H46" s="6">
        <f>IF(F46&lt;0,D46,1-D46)</f>
        <v>0.77859999999999996</v>
      </c>
      <c r="I46" s="7">
        <f>H46*100*100/-F46+(1-H46)*-100</f>
        <v>-4.4445454545454588</v>
      </c>
      <c r="J46" s="7">
        <f>(1-H46)*100*G46/100+H46*-100</f>
        <v>-2.583999999999989</v>
      </c>
      <c r="K46" s="44">
        <f t="shared" si="7"/>
        <v>-15.783999999999992</v>
      </c>
      <c r="L46" s="45">
        <f t="shared" si="8"/>
        <v>-8.1263636363636458</v>
      </c>
      <c r="M46" s="5" t="s">
        <v>36</v>
      </c>
      <c r="N46" s="5" t="str">
        <f t="shared" ref="N46:N57" si="39">IF(C46=M46,"Y","N")</f>
        <v>Y</v>
      </c>
      <c r="O46" s="15"/>
      <c r="P46" s="15">
        <f>IF(D46&gt;0.65, IF(N46="Y",100^2/-F46, -100), 0)</f>
        <v>22.727272727272727</v>
      </c>
      <c r="Q46" s="15">
        <f>IF(N46="Y",IF(D46&gt;0.5,100^2/-F46,G46),-100)</f>
        <v>22.727272727272727</v>
      </c>
      <c r="V46">
        <v>-100</v>
      </c>
    </row>
    <row r="47" spans="1:22" x14ac:dyDescent="0.2">
      <c r="A47" s="3" t="s">
        <v>12</v>
      </c>
      <c r="B47" t="s">
        <v>37</v>
      </c>
      <c r="C47" t="s">
        <v>12</v>
      </c>
      <c r="D47" s="2">
        <v>0.50729999999999997</v>
      </c>
      <c r="E47" s="2" t="str">
        <f t="shared" si="6"/>
        <v>IND</v>
      </c>
      <c r="F47">
        <v>-166</v>
      </c>
      <c r="G47">
        <v>140</v>
      </c>
      <c r="H47" s="2">
        <f>IF(F47&lt;0,D47,1-D47)</f>
        <v>0.50729999999999997</v>
      </c>
      <c r="I47" s="14">
        <f>H47*100*100/-F47+(1-H47)*-100</f>
        <v>-18.709759036144582</v>
      </c>
      <c r="J47" s="14">
        <f>(1-H47)*100*G47/100+H47*-100</f>
        <v>18.248000000000012</v>
      </c>
      <c r="K47" s="44">
        <f t="shared" si="7"/>
        <v>11.048000000000009</v>
      </c>
      <c r="L47" s="45">
        <f t="shared" si="8"/>
        <v>-23.516987951807231</v>
      </c>
      <c r="M47" t="s">
        <v>12</v>
      </c>
      <c r="N47" t="str">
        <f t="shared" si="39"/>
        <v>Y</v>
      </c>
      <c r="O47" s="8">
        <v>-100</v>
      </c>
      <c r="P47" s="8">
        <f>IF(D47&gt;0.65, IF(N47="Y",100^2/-F47, -100), 0)</f>
        <v>0</v>
      </c>
      <c r="Q47" s="8">
        <f>IF(N47="Y",IF(D47&gt;0.5,100^2/-F47,G47),-100)</f>
        <v>60.24096385542169</v>
      </c>
      <c r="V47">
        <v>-100</v>
      </c>
    </row>
    <row r="48" spans="1:22" x14ac:dyDescent="0.2">
      <c r="A48" s="3" t="s">
        <v>34</v>
      </c>
      <c r="B48" t="s">
        <v>40</v>
      </c>
      <c r="C48" t="s">
        <v>40</v>
      </c>
      <c r="D48" s="2">
        <v>0.59440000000000004</v>
      </c>
      <c r="E48" s="2" t="str">
        <f t="shared" si="6"/>
        <v>OKC</v>
      </c>
      <c r="F48">
        <v>-110</v>
      </c>
      <c r="G48">
        <f>100^2/110</f>
        <v>90.909090909090907</v>
      </c>
      <c r="H48" s="2">
        <f t="shared" ref="H48:H49" si="40">IF(F48&lt;0,D48,1-D48)</f>
        <v>0.59440000000000004</v>
      </c>
      <c r="I48" s="14">
        <f t="shared" ref="I48:I57" si="41">H48*100*100/-F48+(1-H48)*-100</f>
        <v>13.476363636363651</v>
      </c>
      <c r="J48" s="14">
        <f t="shared" ref="J48:J57" si="42">(1-H48)*100*G48/100+H48*-100</f>
        <v>-22.567272727272737</v>
      </c>
      <c r="K48" s="44">
        <f t="shared" si="7"/>
        <v>-28.294545454545464</v>
      </c>
      <c r="L48" s="45">
        <f t="shared" si="8"/>
        <v>7.7490909090909099</v>
      </c>
      <c r="M48" t="s">
        <v>34</v>
      </c>
      <c r="N48" t="str">
        <f t="shared" si="39"/>
        <v>N</v>
      </c>
      <c r="O48" s="8"/>
      <c r="P48" s="8">
        <f t="shared" ref="P48:P57" si="43">IF(D48&gt;0.65, IF(N48="Y",100^2/-F48, -100), 0)</f>
        <v>0</v>
      </c>
      <c r="Q48" s="8">
        <f t="shared" ref="Q48:Q57" si="44">IF(N48="Y",IF(D48&gt;0.5,100^2/-F48,G48),-100)</f>
        <v>-100</v>
      </c>
      <c r="V48">
        <v>-100</v>
      </c>
    </row>
    <row r="49" spans="1:22" x14ac:dyDescent="0.2">
      <c r="A49" s="3" t="s">
        <v>10</v>
      </c>
      <c r="B49" t="s">
        <v>8</v>
      </c>
      <c r="C49" t="s">
        <v>10</v>
      </c>
      <c r="D49" s="2">
        <v>0.74980000000000002</v>
      </c>
      <c r="E49" s="2" t="str">
        <f t="shared" si="6"/>
        <v>MIN</v>
      </c>
      <c r="F49">
        <v>-265</v>
      </c>
      <c r="G49">
        <v>215</v>
      </c>
      <c r="H49" s="2">
        <f t="shared" si="40"/>
        <v>0.74980000000000002</v>
      </c>
      <c r="I49" s="14">
        <f t="shared" si="41"/>
        <v>3.2743396226415129</v>
      </c>
      <c r="J49" s="14">
        <f t="shared" si="42"/>
        <v>-21.187000000000012</v>
      </c>
      <c r="K49" s="44">
        <f t="shared" si="7"/>
        <v>-30.637000000000015</v>
      </c>
      <c r="L49" s="45">
        <f t="shared" si="8"/>
        <v>-0.85773584905660272</v>
      </c>
      <c r="M49" t="s">
        <v>8</v>
      </c>
      <c r="N49" t="str">
        <f t="shared" si="39"/>
        <v>N</v>
      </c>
      <c r="O49" s="8"/>
      <c r="P49" s="8">
        <f t="shared" si="43"/>
        <v>-100</v>
      </c>
      <c r="Q49" s="8">
        <f t="shared" si="44"/>
        <v>-100</v>
      </c>
      <c r="V49">
        <v>-100</v>
      </c>
    </row>
    <row r="50" spans="1:22" x14ac:dyDescent="0.2">
      <c r="A50" s="3" t="s">
        <v>39</v>
      </c>
      <c r="B50" t="s">
        <v>30</v>
      </c>
      <c r="C50" t="s">
        <v>39</v>
      </c>
      <c r="D50" s="2">
        <v>0.66180000000000005</v>
      </c>
      <c r="E50" s="2" t="str">
        <f t="shared" si="6"/>
        <v>HOU</v>
      </c>
      <c r="F50">
        <v>-205</v>
      </c>
      <c r="G50">
        <v>170</v>
      </c>
      <c r="H50" s="2">
        <f>IF(F50&lt;0,D50,1-D50)</f>
        <v>0.66180000000000005</v>
      </c>
      <c r="I50" s="14">
        <f t="shared" si="41"/>
        <v>-1.5370731707316949</v>
      </c>
      <c r="J50" s="14">
        <f t="shared" si="42"/>
        <v>-8.6860000000000213</v>
      </c>
      <c r="K50" s="44">
        <f t="shared" si="7"/>
        <v>-16.786000000000023</v>
      </c>
      <c r="L50" s="45">
        <f t="shared" si="8"/>
        <v>-6.0004878048780483</v>
      </c>
      <c r="M50" t="s">
        <v>39</v>
      </c>
      <c r="N50" t="str">
        <f t="shared" si="39"/>
        <v>Y</v>
      </c>
      <c r="O50" s="8"/>
      <c r="P50" s="8">
        <f t="shared" si="43"/>
        <v>48.780487804878049</v>
      </c>
      <c r="Q50" s="8">
        <f t="shared" si="44"/>
        <v>48.780487804878049</v>
      </c>
      <c r="V50">
        <v>-100</v>
      </c>
    </row>
    <row r="51" spans="1:22" x14ac:dyDescent="0.2">
      <c r="A51" s="3" t="s">
        <v>14</v>
      </c>
      <c r="B51" t="s">
        <v>33</v>
      </c>
      <c r="C51" t="s">
        <v>33</v>
      </c>
      <c r="D51" s="2">
        <v>0.59530000000000005</v>
      </c>
      <c r="E51" s="2" t="str">
        <f t="shared" si="6"/>
        <v>TOR</v>
      </c>
      <c r="F51">
        <v>-115</v>
      </c>
      <c r="G51">
        <f>100^2/105</f>
        <v>95.238095238095241</v>
      </c>
      <c r="H51" s="2">
        <f t="shared" ref="H51:H57" si="45">IF(F51&lt;0,D51,1-D51)</f>
        <v>0.59530000000000005</v>
      </c>
      <c r="I51" s="14">
        <f t="shared" si="41"/>
        <v>11.295217391304362</v>
      </c>
      <c r="J51" s="14">
        <f t="shared" si="42"/>
        <v>-20.987142857142871</v>
      </c>
      <c r="K51" s="44">
        <f t="shared" si="7"/>
        <v>-26.844285714285732</v>
      </c>
      <c r="L51" s="45">
        <f t="shared" si="8"/>
        <v>5.6865217391304341</v>
      </c>
      <c r="M51" t="s">
        <v>33</v>
      </c>
      <c r="N51" t="str">
        <f t="shared" si="39"/>
        <v>Y</v>
      </c>
      <c r="O51" s="8"/>
      <c r="P51" s="8">
        <f t="shared" si="43"/>
        <v>0</v>
      </c>
      <c r="Q51" s="8">
        <f t="shared" si="44"/>
        <v>86.956521739130437</v>
      </c>
      <c r="V51">
        <v>-100</v>
      </c>
    </row>
    <row r="52" spans="1:22" x14ac:dyDescent="0.2">
      <c r="A52" s="3" t="s">
        <v>9</v>
      </c>
      <c r="B52" t="s">
        <v>17</v>
      </c>
      <c r="C52" t="s">
        <v>9</v>
      </c>
      <c r="D52" s="2">
        <v>0.80259999999999998</v>
      </c>
      <c r="E52" s="2" t="str">
        <f t="shared" si="6"/>
        <v>DAL</v>
      </c>
      <c r="F52">
        <v>-650</v>
      </c>
      <c r="G52">
        <v>470</v>
      </c>
      <c r="H52" s="2">
        <f t="shared" si="45"/>
        <v>0.80259999999999998</v>
      </c>
      <c r="I52" s="14">
        <f t="shared" si="41"/>
        <v>-7.3923076923076962</v>
      </c>
      <c r="J52" s="14">
        <f t="shared" si="42"/>
        <v>12.518000000000015</v>
      </c>
      <c r="K52" s="44">
        <f t="shared" si="7"/>
        <v>-4.5820000000000078</v>
      </c>
      <c r="L52" s="45">
        <f t="shared" si="8"/>
        <v>-10.853846153846158</v>
      </c>
      <c r="M52" t="s">
        <v>9</v>
      </c>
      <c r="N52" t="str">
        <f t="shared" si="39"/>
        <v>Y</v>
      </c>
      <c r="O52" s="8"/>
      <c r="P52" s="8">
        <f t="shared" si="43"/>
        <v>15.384615384615385</v>
      </c>
      <c r="Q52" s="8">
        <f t="shared" si="44"/>
        <v>15.384615384615385</v>
      </c>
      <c r="V52">
        <v>-100</v>
      </c>
    </row>
    <row r="53" spans="1:22" x14ac:dyDescent="0.2">
      <c r="A53" s="3" t="s">
        <v>32</v>
      </c>
      <c r="B53" t="s">
        <v>11</v>
      </c>
      <c r="C53" t="s">
        <v>32</v>
      </c>
      <c r="D53" s="2">
        <v>0.66579999999999995</v>
      </c>
      <c r="E53" s="2" t="str">
        <f t="shared" si="6"/>
        <v>NYK</v>
      </c>
      <c r="F53">
        <v>-410</v>
      </c>
      <c r="G53">
        <v>320</v>
      </c>
      <c r="H53" s="2">
        <f t="shared" si="45"/>
        <v>0.66579999999999995</v>
      </c>
      <c r="I53" s="14">
        <f t="shared" si="41"/>
        <v>-17.1809756097561</v>
      </c>
      <c r="J53" s="14">
        <f t="shared" si="42"/>
        <v>40.364000000000019</v>
      </c>
      <c r="K53" s="44">
        <f t="shared" si="7"/>
        <v>27.76400000000001</v>
      </c>
      <c r="L53" s="45">
        <f t="shared" si="8"/>
        <v>-20.91268292682928</v>
      </c>
      <c r="M53" t="s">
        <v>32</v>
      </c>
      <c r="N53" t="str">
        <f t="shared" si="39"/>
        <v>Y</v>
      </c>
      <c r="O53" s="8">
        <v>-100</v>
      </c>
      <c r="P53" s="8">
        <f t="shared" si="43"/>
        <v>24.390243902439025</v>
      </c>
      <c r="Q53" s="8">
        <f t="shared" si="44"/>
        <v>24.390243902439025</v>
      </c>
      <c r="V53">
        <v>-100</v>
      </c>
    </row>
    <row r="54" spans="1:22" x14ac:dyDescent="0.2">
      <c r="A54" s="3" t="s">
        <v>41</v>
      </c>
      <c r="B54" t="s">
        <v>42</v>
      </c>
      <c r="C54" t="s">
        <v>41</v>
      </c>
      <c r="D54" s="2">
        <v>0.56950000000000001</v>
      </c>
      <c r="E54" s="2" t="str">
        <f t="shared" si="6"/>
        <v>PHX</v>
      </c>
      <c r="F54">
        <v>-162</v>
      </c>
      <c r="G54">
        <v>136</v>
      </c>
      <c r="H54" s="2">
        <f t="shared" si="45"/>
        <v>0.56950000000000001</v>
      </c>
      <c r="I54" s="14">
        <f t="shared" si="41"/>
        <v>-7.8956790123456742</v>
      </c>
      <c r="J54" s="14">
        <f t="shared" si="42"/>
        <v>1.5979999999999919</v>
      </c>
      <c r="K54" s="44">
        <f t="shared" si="7"/>
        <v>-5.4820000000000064</v>
      </c>
      <c r="L54" s="45">
        <f t="shared" si="8"/>
        <v>-12.747530864197536</v>
      </c>
      <c r="M54" t="s">
        <v>42</v>
      </c>
      <c r="N54" t="str">
        <f t="shared" si="39"/>
        <v>N</v>
      </c>
      <c r="O54" s="8"/>
      <c r="P54" s="8">
        <f t="shared" si="43"/>
        <v>0</v>
      </c>
      <c r="Q54" s="8">
        <f t="shared" si="44"/>
        <v>-100</v>
      </c>
      <c r="V54">
        <v>-100</v>
      </c>
    </row>
    <row r="55" spans="1:22" x14ac:dyDescent="0.2">
      <c r="A55" s="3" t="s">
        <v>7</v>
      </c>
      <c r="B55" t="s">
        <v>6</v>
      </c>
      <c r="C55" t="s">
        <v>7</v>
      </c>
      <c r="D55" s="2">
        <v>0.78239999999999998</v>
      </c>
      <c r="E55" s="2" t="str">
        <f t="shared" si="6"/>
        <v>UTA</v>
      </c>
      <c r="F55">
        <v>-380</v>
      </c>
      <c r="G55">
        <v>300</v>
      </c>
      <c r="H55" s="2">
        <f t="shared" si="45"/>
        <v>0.78239999999999998</v>
      </c>
      <c r="I55" s="14">
        <f t="shared" si="41"/>
        <v>-1.170526315789477</v>
      </c>
      <c r="J55" s="14">
        <f t="shared" si="42"/>
        <v>-12.95999999999998</v>
      </c>
      <c r="K55" s="44">
        <f t="shared" si="7"/>
        <v>-24.96</v>
      </c>
      <c r="L55" s="45">
        <f t="shared" si="8"/>
        <v>-4.9600000000000044</v>
      </c>
      <c r="M55" t="s">
        <v>7</v>
      </c>
      <c r="N55" t="str">
        <f t="shared" si="39"/>
        <v>Y</v>
      </c>
      <c r="O55" s="8"/>
      <c r="P55" s="8">
        <f t="shared" si="43"/>
        <v>26.315789473684209</v>
      </c>
      <c r="Q55" s="8">
        <f t="shared" si="44"/>
        <v>26.315789473684209</v>
      </c>
      <c r="V55">
        <v>-100</v>
      </c>
    </row>
    <row r="56" spans="1:22" x14ac:dyDescent="0.2">
      <c r="A56" s="3" t="s">
        <v>35</v>
      </c>
      <c r="B56" t="s">
        <v>31</v>
      </c>
      <c r="C56" t="s">
        <v>35</v>
      </c>
      <c r="D56" s="2">
        <v>0.60609999999999997</v>
      </c>
      <c r="E56" s="2" t="str">
        <f t="shared" si="6"/>
        <v>SAC</v>
      </c>
      <c r="F56">
        <v>-192</v>
      </c>
      <c r="G56">
        <v>160</v>
      </c>
      <c r="H56" s="2">
        <f t="shared" si="45"/>
        <v>0.60609999999999997</v>
      </c>
      <c r="I56" s="14">
        <f t="shared" si="41"/>
        <v>-7.8222916666666684</v>
      </c>
      <c r="J56" s="14">
        <f t="shared" si="42"/>
        <v>2.4139999999999944</v>
      </c>
      <c r="K56" s="44">
        <f t="shared" si="7"/>
        <v>-5.3859999999999957</v>
      </c>
      <c r="L56" s="45">
        <f t="shared" si="8"/>
        <v>-12.384791666666679</v>
      </c>
      <c r="M56" t="s">
        <v>35</v>
      </c>
      <c r="N56" t="str">
        <f t="shared" si="39"/>
        <v>Y</v>
      </c>
      <c r="O56" s="8"/>
      <c r="P56" s="8">
        <f t="shared" si="43"/>
        <v>0</v>
      </c>
      <c r="Q56" s="8">
        <f t="shared" si="44"/>
        <v>52.083333333333336</v>
      </c>
      <c r="V56">
        <v>-100</v>
      </c>
    </row>
    <row r="57" spans="1:22" ht="17" thickBot="1" x14ac:dyDescent="0.25">
      <c r="A57" s="16" t="s">
        <v>19</v>
      </c>
      <c r="B57" s="17" t="s">
        <v>15</v>
      </c>
      <c r="C57" s="17" t="s">
        <v>19</v>
      </c>
      <c r="D57" s="18">
        <v>0.58199999999999996</v>
      </c>
      <c r="E57" s="18" t="str">
        <f t="shared" si="6"/>
        <v>LAL</v>
      </c>
      <c r="F57" s="17">
        <v>-218</v>
      </c>
      <c r="G57" s="17">
        <v>180</v>
      </c>
      <c r="H57" s="18">
        <f t="shared" si="45"/>
        <v>0.58199999999999996</v>
      </c>
      <c r="I57" s="19">
        <f t="shared" si="41"/>
        <v>-15.102752293577986</v>
      </c>
      <c r="J57" s="19">
        <f t="shared" si="42"/>
        <v>17.040000000000013</v>
      </c>
      <c r="K57" s="46">
        <f t="shared" si="7"/>
        <v>8.6400000000000077</v>
      </c>
      <c r="L57" s="47">
        <f t="shared" si="8"/>
        <v>-19.478899082568812</v>
      </c>
      <c r="M57" s="17" t="s">
        <v>15</v>
      </c>
      <c r="N57" s="17" t="str">
        <f t="shared" si="39"/>
        <v>N</v>
      </c>
      <c r="O57" s="20">
        <v>180</v>
      </c>
      <c r="P57" s="20">
        <f t="shared" si="43"/>
        <v>0</v>
      </c>
      <c r="Q57" s="20">
        <f t="shared" si="44"/>
        <v>-100</v>
      </c>
      <c r="V57">
        <v>-100</v>
      </c>
    </row>
    <row r="58" spans="1:22" x14ac:dyDescent="0.2">
      <c r="A58" s="4" t="s">
        <v>28</v>
      </c>
      <c r="B58" s="5" t="s">
        <v>37</v>
      </c>
      <c r="C58" s="5" t="s">
        <v>37</v>
      </c>
      <c r="D58" s="6">
        <v>0.80359999999999998</v>
      </c>
      <c r="E58" s="2" t="str">
        <f t="shared" si="6"/>
        <v>MIL</v>
      </c>
      <c r="F58" s="5">
        <v>-520</v>
      </c>
      <c r="G58" s="5">
        <v>390</v>
      </c>
      <c r="H58" s="6">
        <f t="shared" ref="H58:H68" si="46">IF(F58&lt;0,D58,1-D58)</f>
        <v>0.80359999999999998</v>
      </c>
      <c r="I58" s="7">
        <f>H58*100*100/-F58+(1-H58)*-100</f>
        <v>-4.1861538461538466</v>
      </c>
      <c r="J58" s="7">
        <f>(1-H58)*100*G58/100+H58*-100</f>
        <v>-3.7639999999999958</v>
      </c>
      <c r="K58" s="44">
        <f t="shared" si="7"/>
        <v>-18.463999999999999</v>
      </c>
      <c r="L58" s="45">
        <f t="shared" si="8"/>
        <v>-7.7630769230769232</v>
      </c>
      <c r="M58" s="5" t="s">
        <v>37</v>
      </c>
      <c r="N58" s="25" t="str">
        <f t="shared" ref="N58:N73" si="47">IF(C58=M58,"Y","N")</f>
        <v>Y</v>
      </c>
      <c r="O58" s="15"/>
      <c r="P58" s="28">
        <f>IF(D58&gt;0.65, IF(N58="Y",100^2/-F58, -100), 0)</f>
        <v>19.23076923076923</v>
      </c>
      <c r="Q58" s="15">
        <f>IF(N58="Y",IF(D58&gt;0.5,100^2/-F58,G58),-100)</f>
        <v>19.23076923076923</v>
      </c>
      <c r="R58" t="s">
        <v>50</v>
      </c>
      <c r="V58">
        <v>-100</v>
      </c>
    </row>
    <row r="59" spans="1:22" ht="17" thickBot="1" x14ac:dyDescent="0.25">
      <c r="A59" s="16" t="s">
        <v>16</v>
      </c>
      <c r="B59" s="17" t="s">
        <v>13</v>
      </c>
      <c r="C59" s="17" t="s">
        <v>13</v>
      </c>
      <c r="D59" s="18">
        <v>0.52800000000000002</v>
      </c>
      <c r="E59" s="18" t="str">
        <f t="shared" si="6"/>
        <v>DEN</v>
      </c>
      <c r="F59" s="17">
        <v>-162</v>
      </c>
      <c r="G59" s="17">
        <v>136</v>
      </c>
      <c r="H59" s="18">
        <f t="shared" si="46"/>
        <v>0.52800000000000002</v>
      </c>
      <c r="I59" s="19">
        <f>H59*100*100/-F59+(1-H59)*-100</f>
        <v>-14.607407407407401</v>
      </c>
      <c r="J59" s="19">
        <f>(1-H59)*100*G59/100+H59*-100</f>
        <v>11.391999999999989</v>
      </c>
      <c r="K59" s="46">
        <f t="shared" si="7"/>
        <v>4.3119999999999905</v>
      </c>
      <c r="L59" s="47">
        <f t="shared" si="8"/>
        <v>-19.459259259259262</v>
      </c>
      <c r="M59" s="17" t="s">
        <v>13</v>
      </c>
      <c r="N59" s="27" t="str">
        <f t="shared" si="47"/>
        <v>Y</v>
      </c>
      <c r="O59" s="20"/>
      <c r="P59" s="31">
        <f>IF(D59&gt;0.65, IF(N59="Y",100^2/-F59, -100), 0)</f>
        <v>0</v>
      </c>
      <c r="Q59" s="8">
        <f>IF(N59="Y",IF(D59&gt;0.5,100^2/-F59,G59),-100)</f>
        <v>61.728395061728392</v>
      </c>
      <c r="V59">
        <v>-100</v>
      </c>
    </row>
    <row r="60" spans="1:22" x14ac:dyDescent="0.2">
      <c r="A60" s="4" t="s">
        <v>12</v>
      </c>
      <c r="B60" s="5" t="s">
        <v>34</v>
      </c>
      <c r="C60" s="5" t="s">
        <v>12</v>
      </c>
      <c r="D60" s="6">
        <v>0.70409999999999995</v>
      </c>
      <c r="E60" s="2" t="str">
        <f t="shared" si="6"/>
        <v>IND</v>
      </c>
      <c r="F60" s="5">
        <v>-175</v>
      </c>
      <c r="G60" s="5">
        <v>145</v>
      </c>
      <c r="H60" s="6">
        <f t="shared" si="46"/>
        <v>0.70409999999999995</v>
      </c>
      <c r="I60" s="5">
        <f>H60*100*100/-F60+(1-H60)*-100</f>
        <v>10.644285714285708</v>
      </c>
      <c r="J60" s="5">
        <f>(1-H60)*100*G60/100+H60*-100</f>
        <v>-27.504499999999993</v>
      </c>
      <c r="K60" s="44">
        <f t="shared" si="7"/>
        <v>-34.854499999999994</v>
      </c>
      <c r="L60" s="45">
        <f t="shared" si="8"/>
        <v>5.9299999999999926</v>
      </c>
      <c r="M60" s="5" t="s">
        <v>12</v>
      </c>
      <c r="N60" s="25" t="str">
        <f t="shared" si="47"/>
        <v>Y</v>
      </c>
      <c r="O60" s="32"/>
      <c r="P60" s="32">
        <f t="shared" ref="P60:P73" si="48">IF(D60&gt;0.65, IF(N60="Y",100^2/-F60, -100), 0)</f>
        <v>57.142857142857146</v>
      </c>
      <c r="Q60" s="15">
        <f>IF(N60="Y",IF(D60&gt;0.5,100^2/-F60,G60),-100)</f>
        <v>57.142857142857146</v>
      </c>
      <c r="V60">
        <v>-100</v>
      </c>
    </row>
    <row r="61" spans="1:22" x14ac:dyDescent="0.2">
      <c r="A61" s="3" t="s">
        <v>5</v>
      </c>
      <c r="B61" t="s">
        <v>7</v>
      </c>
      <c r="C61" t="s">
        <v>5</v>
      </c>
      <c r="D61" s="2">
        <v>0.8407</v>
      </c>
      <c r="E61" s="2" t="str">
        <f t="shared" si="6"/>
        <v>BOS</v>
      </c>
      <c r="F61">
        <v>-1100</v>
      </c>
      <c r="G61">
        <v>700</v>
      </c>
      <c r="H61" s="30">
        <f t="shared" si="46"/>
        <v>0.8407</v>
      </c>
      <c r="I61">
        <f t="shared" ref="I61:I73" si="49">H61*100*100/-F61+(1-H61)*-100</f>
        <v>-8.2872727272727271</v>
      </c>
      <c r="J61">
        <f t="shared" ref="J61:J73" si="50">(1-H61)*100*G61/100+H61*-100</f>
        <v>27.440000000000012</v>
      </c>
      <c r="K61" s="44">
        <f t="shared" si="7"/>
        <v>3.4399999999999693</v>
      </c>
      <c r="L61" s="45">
        <f t="shared" si="8"/>
        <v>-11.56</v>
      </c>
      <c r="M61" t="s">
        <v>5</v>
      </c>
      <c r="N61" s="26" t="str">
        <f t="shared" si="47"/>
        <v>Y</v>
      </c>
      <c r="O61" s="33">
        <v>-100</v>
      </c>
      <c r="P61" s="33">
        <f t="shared" si="48"/>
        <v>9.0909090909090917</v>
      </c>
      <c r="Q61" s="8">
        <f t="shared" ref="Q61:Q73" si="51">IF(N61="Y",IF(D61&gt;0.5,100^2/-F61,G61),-100)</f>
        <v>9.0909090909090917</v>
      </c>
      <c r="V61" s="9"/>
    </row>
    <row r="62" spans="1:22" x14ac:dyDescent="0.2">
      <c r="A62" s="3" t="s">
        <v>36</v>
      </c>
      <c r="B62" t="s">
        <v>29</v>
      </c>
      <c r="C62" t="s">
        <v>36</v>
      </c>
      <c r="D62" s="2">
        <v>0.77980000000000005</v>
      </c>
      <c r="E62" s="2" t="str">
        <f t="shared" si="6"/>
        <v>CLE</v>
      </c>
      <c r="F62">
        <v>-500</v>
      </c>
      <c r="G62">
        <v>380</v>
      </c>
      <c r="H62" s="2">
        <f t="shared" si="46"/>
        <v>0.77980000000000005</v>
      </c>
      <c r="I62">
        <f t="shared" si="49"/>
        <v>-6.4239999999999959</v>
      </c>
      <c r="J62">
        <f t="shared" si="50"/>
        <v>5.6959999999999837</v>
      </c>
      <c r="K62" s="44">
        <f t="shared" si="7"/>
        <v>-8.7040000000000362</v>
      </c>
      <c r="L62" s="45">
        <f t="shared" si="8"/>
        <v>-10.023999999999996</v>
      </c>
      <c r="M62" t="s">
        <v>36</v>
      </c>
      <c r="N62" s="26" t="str">
        <f t="shared" si="47"/>
        <v>Y</v>
      </c>
      <c r="O62" s="33"/>
      <c r="P62" s="33">
        <f t="shared" si="48"/>
        <v>20</v>
      </c>
      <c r="Q62" s="8">
        <f t="shared" si="51"/>
        <v>20</v>
      </c>
    </row>
    <row r="63" spans="1:22" x14ac:dyDescent="0.2">
      <c r="A63" s="3" t="s">
        <v>30</v>
      </c>
      <c r="B63" t="s">
        <v>40</v>
      </c>
      <c r="C63" t="s">
        <v>40</v>
      </c>
      <c r="D63" s="2">
        <v>0.61460000000000004</v>
      </c>
      <c r="E63" s="2" t="str">
        <f t="shared" si="6"/>
        <v>OKC</v>
      </c>
      <c r="F63">
        <v>-205</v>
      </c>
      <c r="G63">
        <v>170</v>
      </c>
      <c r="H63" s="2">
        <f t="shared" si="46"/>
        <v>0.61460000000000004</v>
      </c>
      <c r="I63">
        <f t="shared" si="49"/>
        <v>-8.5595121951219504</v>
      </c>
      <c r="J63">
        <f t="shared" si="50"/>
        <v>4.0579999999999998</v>
      </c>
      <c r="K63" s="44">
        <f t="shared" si="7"/>
        <v>-4.0420000000000158</v>
      </c>
      <c r="L63" s="45">
        <f t="shared" si="8"/>
        <v>-13.022926829268293</v>
      </c>
      <c r="M63" t="s">
        <v>30</v>
      </c>
      <c r="N63" s="26" t="str">
        <f t="shared" si="47"/>
        <v>N</v>
      </c>
      <c r="O63" s="33"/>
      <c r="P63" s="33">
        <f t="shared" si="48"/>
        <v>0</v>
      </c>
      <c r="Q63" s="8">
        <f t="shared" si="51"/>
        <v>-100</v>
      </c>
    </row>
    <row r="64" spans="1:22" x14ac:dyDescent="0.2">
      <c r="A64" s="3" t="s">
        <v>38</v>
      </c>
      <c r="B64" t="s">
        <v>32</v>
      </c>
      <c r="C64" t="s">
        <v>38</v>
      </c>
      <c r="D64" s="2">
        <v>0.74360000000000004</v>
      </c>
      <c r="E64" s="2" t="str">
        <f t="shared" si="6"/>
        <v>PHI</v>
      </c>
      <c r="F64">
        <v>-250</v>
      </c>
      <c r="G64">
        <v>205</v>
      </c>
      <c r="H64" s="2">
        <f t="shared" si="46"/>
        <v>0.74360000000000004</v>
      </c>
      <c r="I64">
        <f t="shared" si="49"/>
        <v>4.1040000000000028</v>
      </c>
      <c r="J64">
        <f t="shared" si="50"/>
        <v>-21.798000000000002</v>
      </c>
      <c r="K64" s="44">
        <f t="shared" si="7"/>
        <v>-30.948000000000029</v>
      </c>
      <c r="L64" s="45">
        <f t="shared" si="8"/>
        <v>-9.6000000000000085E-2</v>
      </c>
      <c r="M64" t="s">
        <v>32</v>
      </c>
      <c r="N64" s="26" t="str">
        <f t="shared" si="47"/>
        <v>N</v>
      </c>
      <c r="O64" s="33"/>
      <c r="P64" s="33">
        <f t="shared" si="48"/>
        <v>-100</v>
      </c>
      <c r="Q64" s="8">
        <f t="shared" si="51"/>
        <v>-100</v>
      </c>
    </row>
    <row r="65" spans="1:17" x14ac:dyDescent="0.2">
      <c r="A65" s="3" t="s">
        <v>8</v>
      </c>
      <c r="B65" t="s">
        <v>42</v>
      </c>
      <c r="C65" t="s">
        <v>8</v>
      </c>
      <c r="D65" s="2">
        <v>0.54910000000000003</v>
      </c>
      <c r="E65" s="2" t="str">
        <f t="shared" si="6"/>
        <v>NOP</v>
      </c>
      <c r="F65">
        <v>-110</v>
      </c>
      <c r="G65">
        <f>100^2/110</f>
        <v>90.909090909090907</v>
      </c>
      <c r="H65" s="2">
        <f t="shared" si="46"/>
        <v>0.54910000000000003</v>
      </c>
      <c r="I65">
        <f t="shared" si="49"/>
        <v>4.8281818181818252</v>
      </c>
      <c r="J65">
        <f t="shared" si="50"/>
        <v>-13.919090909090912</v>
      </c>
      <c r="K65" s="44">
        <f t="shared" si="7"/>
        <v>-19.646363636363645</v>
      </c>
      <c r="L65" s="45">
        <f t="shared" si="8"/>
        <v>-0.8990909090909085</v>
      </c>
      <c r="M65" t="s">
        <v>42</v>
      </c>
      <c r="N65" s="26" t="str">
        <f t="shared" si="47"/>
        <v>N</v>
      </c>
      <c r="O65" s="33"/>
      <c r="P65" s="33">
        <f t="shared" si="48"/>
        <v>0</v>
      </c>
      <c r="Q65" s="8">
        <f t="shared" si="51"/>
        <v>-100</v>
      </c>
    </row>
    <row r="66" spans="1:17" x14ac:dyDescent="0.2">
      <c r="A66" s="3" t="s">
        <v>11</v>
      </c>
      <c r="B66" t="s">
        <v>21</v>
      </c>
      <c r="C66" t="s">
        <v>11</v>
      </c>
      <c r="D66" s="2">
        <v>0.79039999999999999</v>
      </c>
      <c r="E66" s="2" t="str">
        <f t="shared" si="6"/>
        <v>CHI</v>
      </c>
      <c r="F66">
        <v>-360</v>
      </c>
      <c r="G66">
        <v>285</v>
      </c>
      <c r="H66" s="2">
        <f t="shared" si="46"/>
        <v>0.79039999999999999</v>
      </c>
      <c r="I66">
        <f t="shared" si="49"/>
        <v>0.99555555555555131</v>
      </c>
      <c r="J66">
        <f t="shared" si="50"/>
        <v>-19.303999999999988</v>
      </c>
      <c r="K66" s="44">
        <f t="shared" si="7"/>
        <v>-30.854000000000013</v>
      </c>
      <c r="L66" s="45">
        <f t="shared" si="8"/>
        <v>-2.8377777777777808</v>
      </c>
      <c r="M66" t="s">
        <v>11</v>
      </c>
      <c r="N66" s="26" t="str">
        <f t="shared" si="47"/>
        <v>Y</v>
      </c>
      <c r="O66" s="33"/>
      <c r="P66" s="33">
        <f t="shared" si="48"/>
        <v>27.777777777777779</v>
      </c>
      <c r="Q66" s="8">
        <f t="shared" si="51"/>
        <v>27.777777777777779</v>
      </c>
    </row>
    <row r="67" spans="1:17" x14ac:dyDescent="0.2">
      <c r="A67" s="3" t="s">
        <v>39</v>
      </c>
      <c r="B67" t="s">
        <v>10</v>
      </c>
      <c r="C67" t="s">
        <v>39</v>
      </c>
      <c r="D67" s="2">
        <v>0.46939999999999998</v>
      </c>
      <c r="E67" s="2" t="str">
        <f t="shared" si="6"/>
        <v>MIN</v>
      </c>
      <c r="F67">
        <v>-166</v>
      </c>
      <c r="G67">
        <v>140</v>
      </c>
      <c r="H67" s="2">
        <f t="shared" si="46"/>
        <v>0.46939999999999998</v>
      </c>
      <c r="I67">
        <f t="shared" si="49"/>
        <v>-24.782891566265054</v>
      </c>
      <c r="J67">
        <f t="shared" si="50"/>
        <v>27.343999999999994</v>
      </c>
      <c r="K67" s="44">
        <f t="shared" si="7"/>
        <v>20.144000000000005</v>
      </c>
      <c r="L67" s="45">
        <f t="shared" si="8"/>
        <v>-29.590120481927713</v>
      </c>
      <c r="M67" t="s">
        <v>10</v>
      </c>
      <c r="N67" s="26" t="str">
        <f t="shared" si="47"/>
        <v>N</v>
      </c>
      <c r="O67" s="33">
        <v>-100</v>
      </c>
      <c r="P67" s="33">
        <f t="shared" si="48"/>
        <v>0</v>
      </c>
      <c r="Q67" s="8">
        <f t="shared" si="51"/>
        <v>-100</v>
      </c>
    </row>
    <row r="68" spans="1:17" x14ac:dyDescent="0.2">
      <c r="A68" s="3" t="s">
        <v>9</v>
      </c>
      <c r="B68" t="s">
        <v>17</v>
      </c>
      <c r="C68" t="s">
        <v>9</v>
      </c>
      <c r="D68" s="2">
        <v>0.80159999999999998</v>
      </c>
      <c r="E68" s="2" t="str">
        <f t="shared" ref="E68:E120" si="52">IF(D68&gt;0.5,C68,IF(C68=B68,A68,B68))</f>
        <v>DAL</v>
      </c>
      <c r="F68">
        <v>-535</v>
      </c>
      <c r="G68">
        <v>400</v>
      </c>
      <c r="H68" s="2">
        <f t="shared" si="46"/>
        <v>0.80159999999999998</v>
      </c>
      <c r="I68">
        <f t="shared" si="49"/>
        <v>-4.8568224299065452</v>
      </c>
      <c r="J68">
        <f t="shared" si="50"/>
        <v>-0.79999999999998295</v>
      </c>
      <c r="K68" s="44">
        <f t="shared" ref="K68:K120" si="53">(1-(H68+$R$4))*G68-(H68+$R$4)*100</f>
        <v>-15.799999999999997</v>
      </c>
      <c r="L68" s="45">
        <f t="shared" ref="L68:L120" si="54">(H68-$R$4)*100*100/-F68+(1-H68+$R$4)*-100</f>
        <v>-8.4175700934579467</v>
      </c>
      <c r="M68" t="s">
        <v>9</v>
      </c>
      <c r="N68" s="26" t="str">
        <f t="shared" si="47"/>
        <v>Y</v>
      </c>
      <c r="O68" s="33"/>
      <c r="P68" s="33">
        <f t="shared" si="48"/>
        <v>18.691588785046729</v>
      </c>
      <c r="Q68" s="8">
        <f t="shared" si="51"/>
        <v>18.691588785046729</v>
      </c>
    </row>
    <row r="69" spans="1:17" x14ac:dyDescent="0.2">
      <c r="A69" s="3" t="s">
        <v>13</v>
      </c>
      <c r="B69" t="s">
        <v>31</v>
      </c>
      <c r="C69" t="s">
        <v>13</v>
      </c>
      <c r="D69" s="2">
        <v>0.73180000000000001</v>
      </c>
      <c r="E69" s="2" t="str">
        <f t="shared" si="52"/>
        <v>DEN</v>
      </c>
      <c r="F69">
        <v>-550</v>
      </c>
      <c r="G69">
        <v>410</v>
      </c>
      <c r="H69" s="2">
        <f t="shared" ref="H69:H73" si="55">IF(F69&lt;0,D69,1-D69)</f>
        <v>0.73180000000000001</v>
      </c>
      <c r="I69">
        <f t="shared" si="49"/>
        <v>-13.514545454545454</v>
      </c>
      <c r="J69">
        <f t="shared" si="50"/>
        <v>36.781999999999996</v>
      </c>
      <c r="K69" s="44">
        <f t="shared" si="53"/>
        <v>21.481999999999985</v>
      </c>
      <c r="L69" s="45">
        <f t="shared" si="54"/>
        <v>-17.060000000000002</v>
      </c>
      <c r="M69" t="s">
        <v>31</v>
      </c>
      <c r="N69" s="26" t="str">
        <f t="shared" si="47"/>
        <v>N</v>
      </c>
      <c r="O69" s="33">
        <v>410</v>
      </c>
      <c r="P69" s="33">
        <f t="shared" si="48"/>
        <v>-100</v>
      </c>
      <c r="Q69" s="8">
        <f t="shared" si="51"/>
        <v>-100</v>
      </c>
    </row>
    <row r="70" spans="1:17" x14ac:dyDescent="0.2">
      <c r="A70" s="3" t="s">
        <v>41</v>
      </c>
      <c r="B70" t="s">
        <v>15</v>
      </c>
      <c r="C70" t="s">
        <v>15</v>
      </c>
      <c r="D70" s="2">
        <v>0.61639999999999995</v>
      </c>
      <c r="E70" s="2" t="str">
        <f t="shared" si="52"/>
        <v>MIA</v>
      </c>
      <c r="F70">
        <v>-162</v>
      </c>
      <c r="G70">
        <v>136</v>
      </c>
      <c r="H70" s="2">
        <f t="shared" si="55"/>
        <v>0.61639999999999995</v>
      </c>
      <c r="I70">
        <f t="shared" si="49"/>
        <v>-0.31061728395062715</v>
      </c>
      <c r="J70">
        <f t="shared" si="50"/>
        <v>-9.4703999999999837</v>
      </c>
      <c r="K70" s="44">
        <f t="shared" si="53"/>
        <v>-16.550399999999996</v>
      </c>
      <c r="L70" s="45">
        <f t="shared" si="54"/>
        <v>-5.1624691358024819</v>
      </c>
      <c r="M70" t="s">
        <v>41</v>
      </c>
      <c r="N70" s="26" t="str">
        <f t="shared" si="47"/>
        <v>N</v>
      </c>
      <c r="O70" s="33"/>
      <c r="P70" s="33">
        <f t="shared" si="48"/>
        <v>0</v>
      </c>
      <c r="Q70" s="8">
        <f t="shared" si="51"/>
        <v>-100</v>
      </c>
    </row>
    <row r="71" spans="1:17" x14ac:dyDescent="0.2">
      <c r="A71" s="3" t="s">
        <v>19</v>
      </c>
      <c r="B71" t="s">
        <v>14</v>
      </c>
      <c r="C71" t="s">
        <v>19</v>
      </c>
      <c r="D71" s="2">
        <v>0.77300000000000002</v>
      </c>
      <c r="E71" s="2" t="str">
        <f t="shared" si="52"/>
        <v>LAL</v>
      </c>
      <c r="F71">
        <v>-192</v>
      </c>
      <c r="G71">
        <v>160</v>
      </c>
      <c r="H71" s="2">
        <f t="shared" si="55"/>
        <v>0.77300000000000002</v>
      </c>
      <c r="I71">
        <f t="shared" si="49"/>
        <v>17.560416666666665</v>
      </c>
      <c r="J71">
        <f t="shared" si="50"/>
        <v>-40.98</v>
      </c>
      <c r="K71" s="44">
        <f t="shared" si="53"/>
        <v>-48.780000000000015</v>
      </c>
      <c r="L71" s="45">
        <f t="shared" si="54"/>
        <v>12.997916666666665</v>
      </c>
      <c r="M71" t="s">
        <v>14</v>
      </c>
      <c r="N71" s="26" t="str">
        <f t="shared" si="47"/>
        <v>N</v>
      </c>
      <c r="O71" s="33">
        <v>-100</v>
      </c>
      <c r="P71" s="33">
        <f t="shared" si="48"/>
        <v>-100</v>
      </c>
      <c r="Q71" s="8">
        <f t="shared" si="51"/>
        <v>-100</v>
      </c>
    </row>
    <row r="72" spans="1:17" x14ac:dyDescent="0.2">
      <c r="A72" s="3" t="s">
        <v>16</v>
      </c>
      <c r="B72" t="s">
        <v>6</v>
      </c>
      <c r="C72" t="s">
        <v>16</v>
      </c>
      <c r="D72" s="2">
        <v>0.83279999999999998</v>
      </c>
      <c r="E72" s="2" t="str">
        <f t="shared" si="52"/>
        <v>GSW</v>
      </c>
      <c r="F72">
        <v>-425</v>
      </c>
      <c r="G72">
        <v>330</v>
      </c>
      <c r="H72" s="2">
        <f t="shared" si="55"/>
        <v>0.83279999999999998</v>
      </c>
      <c r="I72">
        <f t="shared" si="49"/>
        <v>2.875294117647055</v>
      </c>
      <c r="J72">
        <f t="shared" si="50"/>
        <v>-28.103999999999999</v>
      </c>
      <c r="K72" s="44">
        <f t="shared" si="53"/>
        <v>-41.004000000000005</v>
      </c>
      <c r="L72" s="45">
        <f t="shared" si="54"/>
        <v>-0.83058823529411896</v>
      </c>
      <c r="M72" t="s">
        <v>16</v>
      </c>
      <c r="N72" s="26" t="str">
        <f t="shared" si="47"/>
        <v>Y</v>
      </c>
      <c r="O72" s="33"/>
      <c r="P72" s="33">
        <f t="shared" si="48"/>
        <v>23.529411764705884</v>
      </c>
      <c r="Q72" s="8">
        <f t="shared" si="51"/>
        <v>23.529411764705884</v>
      </c>
    </row>
    <row r="73" spans="1:17" ht="17" thickBot="1" x14ac:dyDescent="0.25">
      <c r="A73" s="16" t="s">
        <v>35</v>
      </c>
      <c r="B73" s="17" t="s">
        <v>33</v>
      </c>
      <c r="C73" s="17" t="s">
        <v>35</v>
      </c>
      <c r="D73" s="18">
        <v>0.66849999999999998</v>
      </c>
      <c r="E73" s="18" t="str">
        <f t="shared" si="52"/>
        <v>SAC</v>
      </c>
      <c r="F73" s="17">
        <v>-205</v>
      </c>
      <c r="G73" s="17">
        <v>170</v>
      </c>
      <c r="H73" s="18">
        <f t="shared" si="55"/>
        <v>0.66849999999999998</v>
      </c>
      <c r="I73" s="17">
        <f t="shared" si="49"/>
        <v>-0.54024390243903042</v>
      </c>
      <c r="J73" s="17">
        <f t="shared" si="50"/>
        <v>-10.494999999999997</v>
      </c>
      <c r="K73" s="46">
        <f t="shared" si="53"/>
        <v>-18.594999999999999</v>
      </c>
      <c r="L73" s="47">
        <f t="shared" si="54"/>
        <v>-5.0036585365853767</v>
      </c>
      <c r="M73" s="17" t="s">
        <v>35</v>
      </c>
      <c r="N73" s="27" t="str">
        <f t="shared" si="47"/>
        <v>Y</v>
      </c>
      <c r="O73" s="34"/>
      <c r="P73" s="34">
        <f t="shared" si="48"/>
        <v>48.780487804878049</v>
      </c>
      <c r="Q73" s="20">
        <f t="shared" si="51"/>
        <v>48.780487804878049</v>
      </c>
    </row>
    <row r="74" spans="1:17" x14ac:dyDescent="0.2">
      <c r="A74" s="4" t="s">
        <v>12</v>
      </c>
      <c r="B74" s="5" t="s">
        <v>5</v>
      </c>
      <c r="C74" s="5" t="s">
        <v>5</v>
      </c>
      <c r="D74" s="6">
        <v>0.57230000000000003</v>
      </c>
      <c r="E74" s="2" t="str">
        <f t="shared" si="52"/>
        <v>BOS</v>
      </c>
      <c r="F74" s="5">
        <v>-218</v>
      </c>
      <c r="G74" s="5">
        <v>180</v>
      </c>
      <c r="H74" s="6">
        <f t="shared" ref="H74:H86" si="56">IF(F74&lt;0,D74,1-D74)</f>
        <v>0.57230000000000003</v>
      </c>
      <c r="I74" s="5">
        <f>H74*100*100/-F74+(1-H74)*-100</f>
        <v>-16.517706422018346</v>
      </c>
      <c r="J74" s="5">
        <f>(1-H74)*100*G74/100+H74*-100</f>
        <v>19.755999999999986</v>
      </c>
      <c r="K74" s="44">
        <f t="shared" si="53"/>
        <v>11.35599999999998</v>
      </c>
      <c r="L74" s="45">
        <f t="shared" si="54"/>
        <v>-20.893853211009169</v>
      </c>
      <c r="M74" s="5" t="s">
        <v>5</v>
      </c>
      <c r="N74" s="25" t="str">
        <f t="shared" ref="N74:N86" si="57">IF(C74=M74,"Y","N")</f>
        <v>Y</v>
      </c>
      <c r="O74" s="32">
        <v>-100</v>
      </c>
      <c r="P74" s="32">
        <f t="shared" ref="P74:P86" si="58">IF(D74&gt;0.65, IF(N74="Y",100^2/-F74, -100), 0)</f>
        <v>0</v>
      </c>
      <c r="Q74" s="15">
        <f>IF(N74="Y",IF(D74&gt;0.5,100^2/-F74,G74),-100)</f>
        <v>45.871559633027523</v>
      </c>
    </row>
    <row r="75" spans="1:17" x14ac:dyDescent="0.2">
      <c r="A75" s="3" t="s">
        <v>29</v>
      </c>
      <c r="B75" t="s">
        <v>32</v>
      </c>
      <c r="C75" t="s">
        <v>32</v>
      </c>
      <c r="D75" s="2">
        <v>0.6462</v>
      </c>
      <c r="E75" s="2" t="str">
        <f t="shared" si="52"/>
        <v>NYK</v>
      </c>
      <c r="F75">
        <v>-395</v>
      </c>
      <c r="G75">
        <v>310</v>
      </c>
      <c r="H75" s="30">
        <f t="shared" si="56"/>
        <v>0.6462</v>
      </c>
      <c r="I75">
        <f t="shared" ref="I75:I77" si="59">H75*100*100/-F75+(1-H75)*-100</f>
        <v>-19.020506329113928</v>
      </c>
      <c r="J75">
        <f t="shared" ref="J75:J77" si="60">(1-H75)*100*G75/100+H75*-100</f>
        <v>45.058000000000007</v>
      </c>
      <c r="K75" s="44">
        <f t="shared" si="53"/>
        <v>32.757999999999981</v>
      </c>
      <c r="L75" s="45">
        <f t="shared" si="54"/>
        <v>-22.78</v>
      </c>
      <c r="M75" t="s">
        <v>32</v>
      </c>
      <c r="N75" s="26" t="str">
        <f t="shared" si="57"/>
        <v>Y</v>
      </c>
      <c r="O75" s="33">
        <v>-100</v>
      </c>
      <c r="P75" s="33">
        <f t="shared" si="58"/>
        <v>0</v>
      </c>
      <c r="Q75" s="8">
        <f t="shared" ref="Q75:Q77" si="61">IF(N75="Y",IF(D75&gt;0.5,100^2/-F75,G75),-100)</f>
        <v>25.316455696202532</v>
      </c>
    </row>
    <row r="76" spans="1:17" x14ac:dyDescent="0.2">
      <c r="A76" s="3" t="s">
        <v>38</v>
      </c>
      <c r="B76" t="s">
        <v>7</v>
      </c>
      <c r="C76" t="s">
        <v>38</v>
      </c>
      <c r="D76" s="2">
        <v>0.7944</v>
      </c>
      <c r="E76" s="2" t="str">
        <f t="shared" si="52"/>
        <v>PHI</v>
      </c>
      <c r="F76">
        <v>-650</v>
      </c>
      <c r="G76">
        <v>470</v>
      </c>
      <c r="H76" s="2">
        <f t="shared" si="56"/>
        <v>0.7944</v>
      </c>
      <c r="I76">
        <f t="shared" si="59"/>
        <v>-8.3384615384615408</v>
      </c>
      <c r="J76">
        <f t="shared" si="60"/>
        <v>17.192000000000007</v>
      </c>
      <c r="K76" s="44">
        <f t="shared" si="53"/>
        <v>9.1999999999998749E-2</v>
      </c>
      <c r="L76" s="45">
        <f t="shared" si="54"/>
        <v>-11.799999999999999</v>
      </c>
      <c r="M76" t="s">
        <v>7</v>
      </c>
      <c r="N76" s="26" t="str">
        <f t="shared" si="57"/>
        <v>N</v>
      </c>
      <c r="O76" s="33">
        <v>470</v>
      </c>
      <c r="P76" s="33">
        <f t="shared" si="58"/>
        <v>-100</v>
      </c>
      <c r="Q76" s="8">
        <f t="shared" si="61"/>
        <v>-100</v>
      </c>
    </row>
    <row r="77" spans="1:17" ht="17" thickBot="1" x14ac:dyDescent="0.25">
      <c r="A77" s="16" t="s">
        <v>39</v>
      </c>
      <c r="B77" s="17" t="s">
        <v>37</v>
      </c>
      <c r="C77" s="17" t="s">
        <v>39</v>
      </c>
      <c r="D77" s="18">
        <f>100%-52.19%</f>
        <v>0.47809999999999997</v>
      </c>
      <c r="E77" s="18" t="str">
        <f t="shared" si="52"/>
        <v>MIL</v>
      </c>
      <c r="F77" s="17">
        <v>-258</v>
      </c>
      <c r="G77" s="17">
        <v>210</v>
      </c>
      <c r="H77" s="18">
        <f t="shared" si="56"/>
        <v>0.47809999999999997</v>
      </c>
      <c r="I77" s="17">
        <f t="shared" si="59"/>
        <v>-33.65899224806202</v>
      </c>
      <c r="J77" s="17">
        <f t="shared" si="60"/>
        <v>61.789000000000023</v>
      </c>
      <c r="K77" s="46">
        <f t="shared" si="53"/>
        <v>52.489000000000004</v>
      </c>
      <c r="L77" s="47">
        <f t="shared" si="54"/>
        <v>-37.821782945736445</v>
      </c>
      <c r="M77" s="17" t="s">
        <v>39</v>
      </c>
      <c r="N77" s="27" t="str">
        <f t="shared" si="57"/>
        <v>Y</v>
      </c>
      <c r="O77" s="34">
        <v>210</v>
      </c>
      <c r="P77" s="34">
        <f t="shared" si="58"/>
        <v>0</v>
      </c>
      <c r="Q77" s="20">
        <f t="shared" si="61"/>
        <v>210</v>
      </c>
    </row>
    <row r="78" spans="1:17" x14ac:dyDescent="0.2">
      <c r="A78" s="4" t="s">
        <v>36</v>
      </c>
      <c r="B78" s="5" t="s">
        <v>28</v>
      </c>
      <c r="C78" s="5" t="s">
        <v>36</v>
      </c>
      <c r="D78" s="6">
        <v>0.84399999999999997</v>
      </c>
      <c r="E78" s="2" t="str">
        <f t="shared" si="52"/>
        <v>CLE</v>
      </c>
      <c r="F78" s="5">
        <v>-535</v>
      </c>
      <c r="G78" s="5">
        <v>400</v>
      </c>
      <c r="H78" s="6">
        <f t="shared" si="56"/>
        <v>0.84399999999999997</v>
      </c>
      <c r="I78" s="5">
        <f>H78*100*100/-F78+(1-H78)*-100</f>
        <v>0.17570093457943692</v>
      </c>
      <c r="J78" s="5">
        <f>(1-H78)*100*G78/100+H78*-100</f>
        <v>-21.999999999999986</v>
      </c>
      <c r="K78" s="44">
        <f t="shared" si="53"/>
        <v>-37.000000000000007</v>
      </c>
      <c r="L78" s="45">
        <f t="shared" si="54"/>
        <v>-3.3850467289719663</v>
      </c>
      <c r="M78" s="5" t="s">
        <v>36</v>
      </c>
      <c r="N78" s="25" t="str">
        <f t="shared" si="57"/>
        <v>Y</v>
      </c>
      <c r="O78" s="32"/>
      <c r="P78" s="32">
        <f t="shared" si="58"/>
        <v>18.691588785046729</v>
      </c>
      <c r="Q78" s="15">
        <f>IF(N78="Y",IF(D78&gt;0.5,100^2/-F78,G78),-100)</f>
        <v>18.691588785046729</v>
      </c>
    </row>
    <row r="79" spans="1:17" x14ac:dyDescent="0.2">
      <c r="A79" s="3" t="s">
        <v>30</v>
      </c>
      <c r="B79" t="s">
        <v>17</v>
      </c>
      <c r="C79" t="s">
        <v>30</v>
      </c>
      <c r="D79" s="2">
        <v>0.8</v>
      </c>
      <c r="E79" s="2" t="str">
        <f t="shared" si="52"/>
        <v>BKN</v>
      </c>
      <c r="F79">
        <v>-345</v>
      </c>
      <c r="G79">
        <v>275</v>
      </c>
      <c r="H79" s="30">
        <f t="shared" si="56"/>
        <v>0.8</v>
      </c>
      <c r="I79">
        <f t="shared" ref="I79:I86" si="62">H79*100*100/-F79+(1-H79)*-100</f>
        <v>3.1884057971014528</v>
      </c>
      <c r="J79">
        <f t="shared" ref="J79:J86" si="63">(1-H79)*100*G79/100+H79*-100</f>
        <v>-25.000000000000007</v>
      </c>
      <c r="K79" s="44">
        <f t="shared" si="53"/>
        <v>-36.250000000000021</v>
      </c>
      <c r="L79" s="45">
        <f t="shared" si="54"/>
        <v>-0.68115942028985188</v>
      </c>
      <c r="M79" t="s">
        <v>17</v>
      </c>
      <c r="N79" s="26" t="str">
        <f t="shared" si="57"/>
        <v>N</v>
      </c>
      <c r="O79" s="33"/>
      <c r="P79" s="33">
        <f t="shared" si="58"/>
        <v>-100</v>
      </c>
      <c r="Q79" s="8">
        <f t="shared" ref="Q79:Q86" si="64">IF(N79="Y",IF(D79&gt;0.5,100^2/-F79,G79),-100)</f>
        <v>-100</v>
      </c>
    </row>
    <row r="80" spans="1:17" x14ac:dyDescent="0.2">
      <c r="A80" s="3" t="s">
        <v>35</v>
      </c>
      <c r="B80" t="s">
        <v>8</v>
      </c>
      <c r="C80" t="s">
        <v>35</v>
      </c>
      <c r="D80" s="2">
        <v>0.57550000000000001</v>
      </c>
      <c r="E80" s="2" t="str">
        <f t="shared" si="52"/>
        <v>SAC</v>
      </c>
      <c r="F80">
        <v>-162</v>
      </c>
      <c r="G80">
        <v>136</v>
      </c>
      <c r="H80" s="2">
        <f t="shared" si="56"/>
        <v>0.57550000000000001</v>
      </c>
      <c r="I80">
        <f t="shared" si="62"/>
        <v>-6.925308641975306</v>
      </c>
      <c r="J80">
        <f t="shared" si="63"/>
        <v>0.18199999999999505</v>
      </c>
      <c r="K80" s="44">
        <f t="shared" si="53"/>
        <v>-6.8980000000000103</v>
      </c>
      <c r="L80" s="45">
        <f t="shared" si="54"/>
        <v>-11.777160493827161</v>
      </c>
      <c r="M80" t="s">
        <v>8</v>
      </c>
      <c r="N80" s="26" t="str">
        <f t="shared" si="57"/>
        <v>N</v>
      </c>
      <c r="O80" s="33"/>
      <c r="P80" s="33">
        <f t="shared" si="58"/>
        <v>0</v>
      </c>
      <c r="Q80" s="8">
        <f t="shared" si="64"/>
        <v>-100</v>
      </c>
    </row>
    <row r="81" spans="1:20" x14ac:dyDescent="0.2">
      <c r="A81" s="3" t="s">
        <v>31</v>
      </c>
      <c r="B81" t="s">
        <v>34</v>
      </c>
      <c r="C81" t="s">
        <v>31</v>
      </c>
      <c r="D81" s="2">
        <v>0.64419999999999999</v>
      </c>
      <c r="E81" s="2" t="str">
        <f t="shared" si="52"/>
        <v>ORL</v>
      </c>
      <c r="F81">
        <v>-130</v>
      </c>
      <c r="G81">
        <v>110</v>
      </c>
      <c r="H81" s="2">
        <f t="shared" si="56"/>
        <v>0.64419999999999999</v>
      </c>
      <c r="I81">
        <f t="shared" si="62"/>
        <v>13.973846153846154</v>
      </c>
      <c r="J81">
        <f t="shared" si="63"/>
        <v>-25.282000000000004</v>
      </c>
      <c r="K81" s="44">
        <f t="shared" si="53"/>
        <v>-31.582000000000001</v>
      </c>
      <c r="L81" s="45">
        <f t="shared" si="54"/>
        <v>8.6661538461538328</v>
      </c>
      <c r="M81" t="s">
        <v>31</v>
      </c>
      <c r="N81" s="26" t="str">
        <f t="shared" si="57"/>
        <v>Y</v>
      </c>
      <c r="O81" s="33"/>
      <c r="P81" s="33">
        <f t="shared" si="58"/>
        <v>0</v>
      </c>
      <c r="Q81" s="8">
        <f t="shared" si="64"/>
        <v>76.92307692307692</v>
      </c>
    </row>
    <row r="82" spans="1:20" x14ac:dyDescent="0.2">
      <c r="A82" s="3" t="s">
        <v>9</v>
      </c>
      <c r="B82" t="s">
        <v>10</v>
      </c>
      <c r="C82" t="s">
        <v>9</v>
      </c>
      <c r="D82" s="2">
        <f>100%-52.64%</f>
        <v>0.47360000000000002</v>
      </c>
      <c r="E82" s="2" t="str">
        <f t="shared" si="52"/>
        <v>MIN</v>
      </c>
      <c r="F82">
        <v>-142</v>
      </c>
      <c r="G82">
        <v>120</v>
      </c>
      <c r="H82" s="2">
        <f t="shared" si="56"/>
        <v>0.47360000000000002</v>
      </c>
      <c r="I82">
        <f t="shared" si="62"/>
        <v>-19.287887323943664</v>
      </c>
      <c r="J82">
        <f t="shared" si="63"/>
        <v>15.808</v>
      </c>
      <c r="K82" s="44">
        <f t="shared" si="53"/>
        <v>9.2079999999999913</v>
      </c>
      <c r="L82" s="45">
        <f t="shared" si="54"/>
        <v>-24.400563380281692</v>
      </c>
      <c r="M82" t="s">
        <v>9</v>
      </c>
      <c r="N82" s="26" t="str">
        <f t="shared" si="57"/>
        <v>Y</v>
      </c>
      <c r="O82" s="33">
        <v>120</v>
      </c>
      <c r="P82" s="33">
        <f t="shared" si="58"/>
        <v>0</v>
      </c>
      <c r="Q82" s="8">
        <f t="shared" si="64"/>
        <v>120</v>
      </c>
    </row>
    <row r="83" spans="1:20" x14ac:dyDescent="0.2">
      <c r="A83" s="3" t="s">
        <v>13</v>
      </c>
      <c r="B83" t="s">
        <v>6</v>
      </c>
      <c r="C83" t="s">
        <v>13</v>
      </c>
      <c r="D83" s="2">
        <v>0.84670000000000001</v>
      </c>
      <c r="E83" s="2" t="str">
        <f t="shared" si="52"/>
        <v>DEN</v>
      </c>
      <c r="F83">
        <v>-1800</v>
      </c>
      <c r="G83">
        <v>1000</v>
      </c>
      <c r="H83" s="2">
        <f t="shared" si="56"/>
        <v>0.84670000000000001</v>
      </c>
      <c r="I83">
        <f t="shared" si="62"/>
        <v>-10.62611111111111</v>
      </c>
      <c r="J83">
        <f t="shared" si="63"/>
        <v>68.629999999999981</v>
      </c>
      <c r="K83" s="44">
        <f t="shared" si="53"/>
        <v>35.629999999999967</v>
      </c>
      <c r="L83" s="45">
        <f t="shared" si="54"/>
        <v>-13.792777777777776</v>
      </c>
      <c r="M83" t="s">
        <v>13</v>
      </c>
      <c r="N83" s="26" t="str">
        <f t="shared" si="57"/>
        <v>Y</v>
      </c>
      <c r="O83" s="33">
        <v>-100</v>
      </c>
      <c r="P83" s="33">
        <f t="shared" si="58"/>
        <v>5.5555555555555554</v>
      </c>
      <c r="Q83" s="8">
        <f t="shared" si="64"/>
        <v>5.5555555555555554</v>
      </c>
    </row>
    <row r="84" spans="1:20" x14ac:dyDescent="0.2">
      <c r="A84" s="3" t="s">
        <v>41</v>
      </c>
      <c r="B84" t="s">
        <v>14</v>
      </c>
      <c r="C84" t="s">
        <v>41</v>
      </c>
      <c r="D84" s="2">
        <v>0.7802</v>
      </c>
      <c r="E84" s="2" t="str">
        <f t="shared" si="52"/>
        <v>PHX</v>
      </c>
      <c r="F84">
        <v>-192</v>
      </c>
      <c r="G84">
        <v>160</v>
      </c>
      <c r="H84" s="2">
        <f t="shared" si="56"/>
        <v>0.7802</v>
      </c>
      <c r="I84">
        <f t="shared" si="62"/>
        <v>18.655416666666664</v>
      </c>
      <c r="J84">
        <f t="shared" si="63"/>
        <v>-42.851999999999997</v>
      </c>
      <c r="K84" s="44">
        <f t="shared" si="53"/>
        <v>-50.652000000000015</v>
      </c>
      <c r="L84" s="45">
        <f t="shared" si="54"/>
        <v>14.092916666666664</v>
      </c>
      <c r="M84" t="s">
        <v>14</v>
      </c>
      <c r="N84" s="26" t="str">
        <f t="shared" si="57"/>
        <v>N</v>
      </c>
      <c r="O84" s="33">
        <v>-100</v>
      </c>
      <c r="P84" s="33">
        <f t="shared" si="58"/>
        <v>-100</v>
      </c>
      <c r="Q84" s="8">
        <f t="shared" si="64"/>
        <v>-100</v>
      </c>
    </row>
    <row r="85" spans="1:20" x14ac:dyDescent="0.2">
      <c r="A85" s="3" t="s">
        <v>16</v>
      </c>
      <c r="B85" t="s">
        <v>33</v>
      </c>
      <c r="C85" t="s">
        <v>16</v>
      </c>
      <c r="D85" s="2">
        <v>0.63</v>
      </c>
      <c r="E85" s="2" t="str">
        <f t="shared" si="52"/>
        <v>GSW</v>
      </c>
      <c r="F85">
        <v>-130</v>
      </c>
      <c r="G85">
        <v>110</v>
      </c>
      <c r="H85" s="2">
        <f t="shared" si="56"/>
        <v>0.63</v>
      </c>
      <c r="I85">
        <f t="shared" si="62"/>
        <v>11.46153846153846</v>
      </c>
      <c r="J85">
        <f t="shared" si="63"/>
        <v>-22.299999999999997</v>
      </c>
      <c r="K85" s="44">
        <f t="shared" si="53"/>
        <v>-28.6</v>
      </c>
      <c r="L85" s="45">
        <f t="shared" si="54"/>
        <v>6.1538461538461533</v>
      </c>
      <c r="M85" t="s">
        <v>33</v>
      </c>
      <c r="N85" s="26" t="str">
        <f t="shared" si="57"/>
        <v>N</v>
      </c>
      <c r="O85" s="33"/>
      <c r="P85" s="33">
        <f t="shared" si="58"/>
        <v>0</v>
      </c>
      <c r="Q85" s="8">
        <f t="shared" si="64"/>
        <v>-100</v>
      </c>
    </row>
    <row r="86" spans="1:20" ht="17" thickBot="1" x14ac:dyDescent="0.25">
      <c r="A86" s="16" t="s">
        <v>19</v>
      </c>
      <c r="B86" s="17" t="s">
        <v>42</v>
      </c>
      <c r="C86" s="17" t="s">
        <v>42</v>
      </c>
      <c r="D86" s="18">
        <v>0.51939999999999997</v>
      </c>
      <c r="E86" s="18" t="str">
        <f t="shared" si="52"/>
        <v>LAC</v>
      </c>
      <c r="F86" s="17">
        <v>-192</v>
      </c>
      <c r="G86" s="17">
        <v>160</v>
      </c>
      <c r="H86" s="18">
        <f t="shared" si="56"/>
        <v>0.51939999999999997</v>
      </c>
      <c r="I86" s="17">
        <f t="shared" si="62"/>
        <v>-21.00791666666667</v>
      </c>
      <c r="J86" s="17">
        <f t="shared" si="63"/>
        <v>24.956000000000003</v>
      </c>
      <c r="K86" s="46">
        <f t="shared" si="53"/>
        <v>17.156000000000006</v>
      </c>
      <c r="L86" s="47">
        <f t="shared" si="54"/>
        <v>-25.57041666666667</v>
      </c>
      <c r="M86" s="17" t="s">
        <v>19</v>
      </c>
      <c r="N86" s="27" t="str">
        <f t="shared" si="57"/>
        <v>N</v>
      </c>
      <c r="O86" s="34">
        <v>160</v>
      </c>
      <c r="P86" s="34">
        <f t="shared" si="58"/>
        <v>0</v>
      </c>
      <c r="Q86" s="20">
        <f t="shared" si="64"/>
        <v>-100</v>
      </c>
    </row>
    <row r="87" spans="1:20" x14ac:dyDescent="0.2">
      <c r="A87" s="4" t="s">
        <v>12</v>
      </c>
      <c r="B87" s="5" t="s">
        <v>5</v>
      </c>
      <c r="C87" s="5" t="s">
        <v>12</v>
      </c>
      <c r="D87" s="21">
        <v>0.51070000000000004</v>
      </c>
      <c r="E87" s="2" t="str">
        <f t="shared" si="52"/>
        <v>IND</v>
      </c>
      <c r="F87" s="5">
        <v>-162</v>
      </c>
      <c r="G87" s="5">
        <v>136</v>
      </c>
      <c r="H87" s="6">
        <f t="shared" ref="H87:H97" si="65">IF(F87&lt;0,D87,1-D87)</f>
        <v>0.51070000000000004</v>
      </c>
      <c r="I87" s="5">
        <f>H87*100*100/-F87+(1-H87)*-100</f>
        <v>-17.405308641975296</v>
      </c>
      <c r="J87" s="5">
        <f>(1-H87)*100*G87/100+H87*-100</f>
        <v>15.474799999999973</v>
      </c>
      <c r="K87" s="44">
        <f t="shared" si="53"/>
        <v>8.3947999999999823</v>
      </c>
      <c r="L87" s="45">
        <f t="shared" si="54"/>
        <v>-22.257160493827161</v>
      </c>
      <c r="M87" s="5" t="s">
        <v>12</v>
      </c>
      <c r="N87" s="25" t="str">
        <f t="shared" ref="N87:N92" si="66">IF(C87=M87,"Y","N")</f>
        <v>Y</v>
      </c>
      <c r="O87" s="32">
        <v>136</v>
      </c>
      <c r="P87" s="32">
        <f t="shared" ref="P87:P97" si="67">IF(D87&gt;0.65, IF(N87="Y",100^2/-F87, -100), 0)</f>
        <v>0</v>
      </c>
      <c r="Q87" s="15">
        <f t="shared" ref="Q87:Q98" si="68">IF(N87="Y",IF(D87&gt;0.5,100^2/-F87,G87),-100)</f>
        <v>61.728395061728392</v>
      </c>
      <c r="R87" t="s">
        <v>53</v>
      </c>
      <c r="T87" s="21"/>
    </row>
    <row r="88" spans="1:20" x14ac:dyDescent="0.2">
      <c r="A88" s="3" t="s">
        <v>29</v>
      </c>
      <c r="B88" t="s">
        <v>40</v>
      </c>
      <c r="C88" t="s">
        <v>40</v>
      </c>
      <c r="D88" s="21">
        <v>0.62229999999999996</v>
      </c>
      <c r="E88" s="2" t="str">
        <f t="shared" si="52"/>
        <v>OKC</v>
      </c>
      <c r="F88">
        <v>-675</v>
      </c>
      <c r="G88">
        <v>490</v>
      </c>
      <c r="H88" s="30">
        <f t="shared" si="65"/>
        <v>0.62229999999999996</v>
      </c>
      <c r="I88">
        <f t="shared" ref="I88:I92" si="69">H88*100*100/-F88+(1-H88)*-100</f>
        <v>-28.550740740740743</v>
      </c>
      <c r="J88">
        <f t="shared" ref="J88:J92" si="70">(1-H88)*100*G88/100+H88*-100</f>
        <v>122.84300000000005</v>
      </c>
      <c r="K88" s="44">
        <f t="shared" si="53"/>
        <v>105.14299999999999</v>
      </c>
      <c r="L88" s="45">
        <f t="shared" si="54"/>
        <v>-31.995185185185189</v>
      </c>
      <c r="M88" t="s">
        <v>40</v>
      </c>
      <c r="N88" s="26" t="str">
        <f t="shared" si="66"/>
        <v>Y</v>
      </c>
      <c r="O88" s="33">
        <v>-100</v>
      </c>
      <c r="P88" s="33">
        <f t="shared" si="67"/>
        <v>0</v>
      </c>
      <c r="Q88" s="8">
        <f t="shared" si="68"/>
        <v>14.814814814814815</v>
      </c>
      <c r="T88" s="21"/>
    </row>
    <row r="89" spans="1:20" x14ac:dyDescent="0.2">
      <c r="A89" s="3" t="s">
        <v>21</v>
      </c>
      <c r="B89" t="s">
        <v>11</v>
      </c>
      <c r="C89" t="s">
        <v>21</v>
      </c>
      <c r="D89" s="21">
        <v>0.5383</v>
      </c>
      <c r="E89" s="2" t="str">
        <f t="shared" si="52"/>
        <v>CHA</v>
      </c>
      <c r="F89">
        <v>-245</v>
      </c>
      <c r="G89">
        <v>200</v>
      </c>
      <c r="H89" s="2">
        <f t="shared" si="65"/>
        <v>0.5383</v>
      </c>
      <c r="I89">
        <f t="shared" si="69"/>
        <v>-24.19857142857143</v>
      </c>
      <c r="J89">
        <f t="shared" si="70"/>
        <v>38.510000000000005</v>
      </c>
      <c r="K89" s="44">
        <f t="shared" si="53"/>
        <v>29.509999999999984</v>
      </c>
      <c r="L89" s="45">
        <f t="shared" si="54"/>
        <v>-28.423061224489796</v>
      </c>
      <c r="M89" t="s">
        <v>11</v>
      </c>
      <c r="N89" s="26" t="str">
        <f t="shared" si="66"/>
        <v>N</v>
      </c>
      <c r="O89" s="33">
        <v>-100</v>
      </c>
      <c r="P89" s="33">
        <f t="shared" si="67"/>
        <v>0</v>
      </c>
      <c r="Q89" s="8">
        <f t="shared" si="68"/>
        <v>-100</v>
      </c>
      <c r="T89" s="21"/>
    </row>
    <row r="90" spans="1:20" x14ac:dyDescent="0.2">
      <c r="A90" s="3" t="s">
        <v>15</v>
      </c>
      <c r="B90" t="s">
        <v>39</v>
      </c>
      <c r="C90" t="s">
        <v>15</v>
      </c>
      <c r="D90" s="21">
        <v>0.59670000000000001</v>
      </c>
      <c r="E90" s="2" t="str">
        <f t="shared" si="52"/>
        <v>MIA</v>
      </c>
      <c r="F90">
        <v>-180</v>
      </c>
      <c r="G90">
        <v>150</v>
      </c>
      <c r="H90" s="2">
        <f t="shared" si="65"/>
        <v>0.59670000000000001</v>
      </c>
      <c r="I90">
        <f t="shared" si="69"/>
        <v>-7.18</v>
      </c>
      <c r="J90">
        <f t="shared" si="70"/>
        <v>0.82499999999999574</v>
      </c>
      <c r="K90" s="44">
        <f t="shared" si="53"/>
        <v>-6.6750000000000043</v>
      </c>
      <c r="L90" s="45">
        <f t="shared" si="54"/>
        <v>-11.846666666666664</v>
      </c>
      <c r="M90" t="s">
        <v>15</v>
      </c>
      <c r="N90" s="26" t="str">
        <f t="shared" si="66"/>
        <v>Y</v>
      </c>
      <c r="O90" s="33"/>
      <c r="P90" s="33">
        <f t="shared" si="67"/>
        <v>0</v>
      </c>
      <c r="Q90" s="8">
        <f t="shared" si="68"/>
        <v>55.555555555555557</v>
      </c>
      <c r="T90" s="21"/>
    </row>
    <row r="91" spans="1:20" x14ac:dyDescent="0.2">
      <c r="A91" s="3" t="s">
        <v>37</v>
      </c>
      <c r="B91" t="s">
        <v>7</v>
      </c>
      <c r="C91" t="s">
        <v>37</v>
      </c>
      <c r="D91" s="21">
        <v>0.66830000000000001</v>
      </c>
      <c r="E91" s="2" t="str">
        <f t="shared" si="52"/>
        <v>MIL</v>
      </c>
      <c r="F91">
        <v>-455</v>
      </c>
      <c r="G91">
        <v>350</v>
      </c>
      <c r="H91" s="2">
        <f t="shared" si="65"/>
        <v>0.66830000000000001</v>
      </c>
      <c r="I91">
        <f t="shared" si="69"/>
        <v>-18.482087912087913</v>
      </c>
      <c r="J91">
        <f t="shared" si="70"/>
        <v>49.265000000000001</v>
      </c>
      <c r="K91" s="44">
        <f t="shared" si="53"/>
        <v>35.764999999999986</v>
      </c>
      <c r="L91" s="45">
        <f t="shared" si="54"/>
        <v>-22.141428571428573</v>
      </c>
      <c r="M91" t="s">
        <v>7</v>
      </c>
      <c r="N91" s="26" t="str">
        <f t="shared" si="66"/>
        <v>N</v>
      </c>
      <c r="O91" s="33">
        <v>350</v>
      </c>
      <c r="P91" s="33">
        <f t="shared" si="67"/>
        <v>-100</v>
      </c>
      <c r="Q91" s="8">
        <f t="shared" si="68"/>
        <v>-100</v>
      </c>
      <c r="T91" s="21"/>
    </row>
    <row r="92" spans="1:20" ht="17" thickBot="1" x14ac:dyDescent="0.25">
      <c r="A92" s="16" t="s">
        <v>42</v>
      </c>
      <c r="B92" s="17" t="s">
        <v>41</v>
      </c>
      <c r="C92" s="17" t="s">
        <v>42</v>
      </c>
      <c r="D92" s="37">
        <v>0.65190000000000003</v>
      </c>
      <c r="E92" s="18" t="str">
        <f t="shared" si="52"/>
        <v>LAC</v>
      </c>
      <c r="F92" s="17">
        <v>-225</v>
      </c>
      <c r="G92" s="17">
        <v>185</v>
      </c>
      <c r="H92" s="18">
        <f t="shared" si="65"/>
        <v>0.65190000000000003</v>
      </c>
      <c r="I92" s="17">
        <f t="shared" si="69"/>
        <v>-5.8366666666666625</v>
      </c>
      <c r="J92" s="17">
        <f t="shared" si="70"/>
        <v>-0.7914999999999992</v>
      </c>
      <c r="K92" s="46">
        <f t="shared" si="53"/>
        <v>-9.3415000000000248</v>
      </c>
      <c r="L92" s="47">
        <f t="shared" si="54"/>
        <v>-10.170000000000002</v>
      </c>
      <c r="M92" s="17" t="s">
        <v>42</v>
      </c>
      <c r="N92" s="27" t="str">
        <f t="shared" si="66"/>
        <v>Y</v>
      </c>
      <c r="O92" s="34"/>
      <c r="P92" s="34">
        <f t="shared" si="67"/>
        <v>44.444444444444443</v>
      </c>
      <c r="Q92" s="20">
        <f t="shared" si="68"/>
        <v>44.444444444444443</v>
      </c>
      <c r="S92" t="s">
        <v>54</v>
      </c>
      <c r="T92" s="21"/>
    </row>
    <row r="93" spans="1:20" x14ac:dyDescent="0.2">
      <c r="A93" s="4" t="s">
        <v>6</v>
      </c>
      <c r="B93" s="5" t="s">
        <v>35</v>
      </c>
      <c r="C93" s="5" t="s">
        <v>35</v>
      </c>
      <c r="D93" s="38">
        <v>0.7016</v>
      </c>
      <c r="E93" s="2" t="str">
        <f t="shared" si="52"/>
        <v>SAC</v>
      </c>
      <c r="F93" s="5">
        <v>-575</v>
      </c>
      <c r="G93" s="5">
        <v>425</v>
      </c>
      <c r="H93" s="6">
        <f t="shared" si="65"/>
        <v>0.7016</v>
      </c>
      <c r="I93" s="5">
        <f>H93*100*100/-F93+(1-H93)*-100</f>
        <v>-17.638260869565215</v>
      </c>
      <c r="J93" s="5">
        <f>(1-H93)*100*G93/100+H93*-100</f>
        <v>56.66</v>
      </c>
      <c r="K93" s="44">
        <f t="shared" si="53"/>
        <v>40.909999999999997</v>
      </c>
      <c r="L93" s="45">
        <f t="shared" si="54"/>
        <v>-21.160000000000004</v>
      </c>
      <c r="M93" s="5" t="s">
        <v>35</v>
      </c>
      <c r="N93" s="25" t="str">
        <f t="shared" ref="N93:N107" si="71">IF(C93=M93,"Y","N")</f>
        <v>Y</v>
      </c>
      <c r="O93" s="32">
        <v>-100</v>
      </c>
      <c r="P93" s="32">
        <f t="shared" si="67"/>
        <v>17.391304347826086</v>
      </c>
      <c r="Q93" s="15">
        <f t="shared" si="68"/>
        <v>17.391304347826086</v>
      </c>
      <c r="R93" t="s">
        <v>35</v>
      </c>
      <c r="S93" s="21">
        <v>0.71779999999999999</v>
      </c>
    </row>
    <row r="94" spans="1:20" x14ac:dyDescent="0.2">
      <c r="A94" s="3" t="s">
        <v>31</v>
      </c>
      <c r="B94" t="s">
        <v>10</v>
      </c>
      <c r="C94" t="s">
        <v>10</v>
      </c>
      <c r="D94" s="21">
        <v>0.6411</v>
      </c>
      <c r="E94" s="2" t="str">
        <f t="shared" si="52"/>
        <v>MIN</v>
      </c>
      <c r="F94">
        <v>-192</v>
      </c>
      <c r="G94">
        <v>160</v>
      </c>
      <c r="H94" s="30">
        <f t="shared" si="65"/>
        <v>0.6411</v>
      </c>
      <c r="I94">
        <f t="shared" ref="I94:I97" si="72">H94*100*100/-F94+(1-H94)*-100</f>
        <v>-2.4993750000000006</v>
      </c>
      <c r="J94">
        <f t="shared" ref="J94:J97" si="73">(1-H94)*100*G94/100+H94*-100</f>
        <v>-6.6859999999999999</v>
      </c>
      <c r="K94" s="44">
        <f t="shared" si="53"/>
        <v>-14.486000000000004</v>
      </c>
      <c r="L94" s="45">
        <f t="shared" si="54"/>
        <v>-7.0618750000000006</v>
      </c>
      <c r="M94" t="s">
        <v>10</v>
      </c>
      <c r="N94" s="26" t="str">
        <f t="shared" si="71"/>
        <v>Y</v>
      </c>
      <c r="O94" s="33"/>
      <c r="P94" s="33">
        <f t="shared" si="67"/>
        <v>0</v>
      </c>
      <c r="Q94" s="8">
        <f t="shared" si="68"/>
        <v>52.083333333333336</v>
      </c>
      <c r="R94" t="s">
        <v>10</v>
      </c>
      <c r="S94" s="21">
        <v>0.72030000000000005</v>
      </c>
    </row>
    <row r="95" spans="1:20" x14ac:dyDescent="0.2">
      <c r="A95" s="3" t="s">
        <v>32</v>
      </c>
      <c r="B95" t="s">
        <v>17</v>
      </c>
      <c r="C95" t="s">
        <v>32</v>
      </c>
      <c r="D95" s="21">
        <v>0.60460000000000003</v>
      </c>
      <c r="E95" s="2" t="str">
        <f t="shared" si="52"/>
        <v>NYK</v>
      </c>
      <c r="F95">
        <v>-675</v>
      </c>
      <c r="G95">
        <v>490</v>
      </c>
      <c r="H95" s="2">
        <f t="shared" si="65"/>
        <v>0.60460000000000003</v>
      </c>
      <c r="I95">
        <f t="shared" si="72"/>
        <v>-30.582962962962963</v>
      </c>
      <c r="J95">
        <f t="shared" si="73"/>
        <v>133.28599999999997</v>
      </c>
      <c r="K95" s="44">
        <f t="shared" si="53"/>
        <v>115.58599999999996</v>
      </c>
      <c r="L95" s="45">
        <f t="shared" si="54"/>
        <v>-34.027407407407409</v>
      </c>
      <c r="M95" t="s">
        <v>32</v>
      </c>
      <c r="N95" s="26" t="str">
        <f t="shared" si="71"/>
        <v>Y</v>
      </c>
      <c r="O95" s="33">
        <v>-100</v>
      </c>
      <c r="P95" s="33">
        <f t="shared" si="67"/>
        <v>0</v>
      </c>
      <c r="Q95" s="8">
        <f t="shared" si="68"/>
        <v>14.814814814814815</v>
      </c>
      <c r="R95" t="s">
        <v>32</v>
      </c>
      <c r="S95" s="21">
        <v>0.87529999999999997</v>
      </c>
    </row>
    <row r="96" spans="1:20" x14ac:dyDescent="0.2">
      <c r="A96" s="3" t="s">
        <v>9</v>
      </c>
      <c r="B96" t="s">
        <v>14</v>
      </c>
      <c r="C96" t="s">
        <v>9</v>
      </c>
      <c r="D96" s="21">
        <v>0.58640000000000003</v>
      </c>
      <c r="E96" s="2" t="str">
        <f t="shared" si="52"/>
        <v>DAL</v>
      </c>
      <c r="F96">
        <v>-360</v>
      </c>
      <c r="G96">
        <v>285</v>
      </c>
      <c r="H96" s="2">
        <f t="shared" si="65"/>
        <v>0.58640000000000003</v>
      </c>
      <c r="I96">
        <f t="shared" si="72"/>
        <v>-25.071111111111112</v>
      </c>
      <c r="J96">
        <f t="shared" si="73"/>
        <v>59.236000000000004</v>
      </c>
      <c r="K96" s="44">
        <f t="shared" si="53"/>
        <v>47.685999999999972</v>
      </c>
      <c r="L96" s="45">
        <f t="shared" si="54"/>
        <v>-28.904444444444444</v>
      </c>
      <c r="M96" t="s">
        <v>14</v>
      </c>
      <c r="N96" s="26" t="str">
        <f t="shared" si="71"/>
        <v>N</v>
      </c>
      <c r="O96" s="33">
        <v>285</v>
      </c>
      <c r="P96" s="33">
        <f t="shared" si="67"/>
        <v>0</v>
      </c>
      <c r="Q96" s="8">
        <f t="shared" si="68"/>
        <v>-100</v>
      </c>
      <c r="R96" t="s">
        <v>9</v>
      </c>
      <c r="S96" s="21">
        <v>0.80149999999999999</v>
      </c>
    </row>
    <row r="97" spans="1:19" ht="17" thickBot="1" x14ac:dyDescent="0.25">
      <c r="A97" s="16" t="s">
        <v>19</v>
      </c>
      <c r="B97" s="17" t="s">
        <v>33</v>
      </c>
      <c r="C97" s="17" t="s">
        <v>19</v>
      </c>
      <c r="D97" s="37">
        <v>0.55420000000000003</v>
      </c>
      <c r="E97" s="18" t="str">
        <f t="shared" si="52"/>
        <v>LAL</v>
      </c>
      <c r="F97" s="17">
        <v>-198</v>
      </c>
      <c r="G97" s="17">
        <v>164</v>
      </c>
      <c r="H97" s="18">
        <f t="shared" si="65"/>
        <v>0.55420000000000003</v>
      </c>
      <c r="I97" s="17">
        <f t="shared" si="72"/>
        <v>-16.590101010101009</v>
      </c>
      <c r="J97" s="17">
        <f t="shared" si="73"/>
        <v>17.691199999999995</v>
      </c>
      <c r="K97" s="46">
        <f t="shared" si="53"/>
        <v>9.7711999999999932</v>
      </c>
      <c r="L97" s="47">
        <f t="shared" si="54"/>
        <v>-21.105252525252524</v>
      </c>
      <c r="M97" s="17" t="s">
        <v>19</v>
      </c>
      <c r="N97" s="27" t="str">
        <f t="shared" si="71"/>
        <v>Y</v>
      </c>
      <c r="O97" s="34">
        <v>-100</v>
      </c>
      <c r="P97" s="34">
        <f t="shared" si="67"/>
        <v>0</v>
      </c>
      <c r="Q97" s="20">
        <f t="shared" si="68"/>
        <v>50.505050505050505</v>
      </c>
      <c r="R97" t="s">
        <v>19</v>
      </c>
      <c r="S97" s="21">
        <v>0.67069999999999996</v>
      </c>
    </row>
    <row r="98" spans="1:19" x14ac:dyDescent="0.2">
      <c r="A98" s="4" t="s">
        <v>12</v>
      </c>
      <c r="B98" s="5" t="s">
        <v>29</v>
      </c>
      <c r="C98" s="5" t="s">
        <v>12</v>
      </c>
      <c r="D98" s="6">
        <v>0.83709999999999996</v>
      </c>
      <c r="E98" s="2" t="str">
        <f t="shared" si="52"/>
        <v>IND</v>
      </c>
      <c r="F98" s="5">
        <v>-325</v>
      </c>
      <c r="G98" s="5">
        <v>260</v>
      </c>
      <c r="H98" s="6">
        <f t="shared" ref="H98:H107" si="74">IF(F98&lt;0,D98,1-D98)</f>
        <v>0.83709999999999996</v>
      </c>
      <c r="I98" s="5">
        <f>H98*100*100/-F98+(1-H98)*-100</f>
        <v>9.4669230769230701</v>
      </c>
      <c r="J98" s="5">
        <f>(1-H98)*100*G98/100+H98*-100</f>
        <v>-41.35599999999998</v>
      </c>
      <c r="K98" s="44">
        <f t="shared" si="53"/>
        <v>-52.155999999999992</v>
      </c>
      <c r="L98" s="45">
        <f t="shared" si="54"/>
        <v>5.5438461538461468</v>
      </c>
      <c r="M98" s="5" t="s">
        <v>12</v>
      </c>
      <c r="N98" s="25" t="str">
        <f t="shared" si="71"/>
        <v>Y</v>
      </c>
      <c r="O98" s="32"/>
      <c r="P98" s="32">
        <f t="shared" ref="P98:P107" si="75">IF(D98&gt;0.65, IF(N98="Y",100^2/-F98, -100), 0)</f>
        <v>30.76923076923077</v>
      </c>
      <c r="Q98" s="15">
        <f t="shared" si="68"/>
        <v>30.76923076923077</v>
      </c>
      <c r="R98" t="s">
        <v>12</v>
      </c>
      <c r="S98" s="21">
        <v>0.83050000000000002</v>
      </c>
    </row>
    <row r="99" spans="1:19" x14ac:dyDescent="0.2">
      <c r="A99" s="3" t="s">
        <v>5</v>
      </c>
      <c r="B99" t="s">
        <v>10</v>
      </c>
      <c r="C99" t="s">
        <v>5</v>
      </c>
      <c r="D99" s="2">
        <v>0.75019999999999998</v>
      </c>
      <c r="E99" s="2" t="str">
        <f t="shared" si="52"/>
        <v>BOS</v>
      </c>
      <c r="F99">
        <v>-305</v>
      </c>
      <c r="G99">
        <v>245</v>
      </c>
      <c r="H99" s="30">
        <f t="shared" si="74"/>
        <v>0.75019999999999998</v>
      </c>
      <c r="I99">
        <f t="shared" ref="I99:I107" si="76">H99*100*100/-F99+(1-H99)*-100</f>
        <v>-0.38327868852459446</v>
      </c>
      <c r="J99">
        <f t="shared" ref="J99:J107" si="77">(1-H99)*100*G99/100+H99*-100</f>
        <v>-13.818999999999981</v>
      </c>
      <c r="K99" s="44">
        <f t="shared" si="53"/>
        <v>-24.168999999999997</v>
      </c>
      <c r="L99" s="45">
        <f t="shared" si="54"/>
        <v>-4.3668852459016421</v>
      </c>
      <c r="M99" t="s">
        <v>5</v>
      </c>
      <c r="N99" s="26" t="str">
        <f t="shared" si="71"/>
        <v>Y</v>
      </c>
      <c r="O99" s="33"/>
      <c r="P99" s="33">
        <f t="shared" si="75"/>
        <v>32.786885245901637</v>
      </c>
      <c r="Q99" s="8">
        <f t="shared" ref="Q99:Q107" si="78">IF(N99="Y",IF(D99&gt;0.5,100^2/-F99,G99),-100)</f>
        <v>32.786885245901637</v>
      </c>
      <c r="R99" t="s">
        <v>5</v>
      </c>
      <c r="S99" s="21">
        <v>0.64949999999999997</v>
      </c>
    </row>
    <row r="100" spans="1:19" x14ac:dyDescent="0.2">
      <c r="A100" s="3" t="s">
        <v>6</v>
      </c>
      <c r="B100" t="s">
        <v>28</v>
      </c>
      <c r="C100" t="s">
        <v>6</v>
      </c>
      <c r="D100" s="2">
        <v>0.44269999999999998</v>
      </c>
      <c r="E100" s="2" t="str">
        <f t="shared" si="52"/>
        <v>SAS</v>
      </c>
      <c r="F100">
        <v>-148</v>
      </c>
      <c r="G100">
        <v>124</v>
      </c>
      <c r="H100" s="2">
        <f t="shared" si="74"/>
        <v>0.44269999999999998</v>
      </c>
      <c r="I100">
        <f t="shared" si="76"/>
        <v>-25.817837837837843</v>
      </c>
      <c r="J100">
        <f t="shared" si="77"/>
        <v>24.835200000000015</v>
      </c>
      <c r="K100" s="44">
        <f t="shared" si="53"/>
        <v>18.115199999999994</v>
      </c>
      <c r="L100" s="45">
        <f t="shared" si="54"/>
        <v>-30.844864864864867</v>
      </c>
      <c r="M100" t="s">
        <v>28</v>
      </c>
      <c r="N100" s="26" t="str">
        <f t="shared" si="71"/>
        <v>N</v>
      </c>
      <c r="O100" s="33">
        <v>-100</v>
      </c>
      <c r="P100" s="33">
        <f t="shared" si="75"/>
        <v>0</v>
      </c>
      <c r="Q100" s="8">
        <f t="shared" si="78"/>
        <v>-100</v>
      </c>
      <c r="R100" t="s">
        <v>6</v>
      </c>
      <c r="S100" s="21">
        <f>100%-57.7%</f>
        <v>0.42299999999999993</v>
      </c>
    </row>
    <row r="101" spans="1:19" x14ac:dyDescent="0.2">
      <c r="A101" s="3" t="s">
        <v>21</v>
      </c>
      <c r="B101" t="s">
        <v>35</v>
      </c>
      <c r="C101" t="s">
        <v>35</v>
      </c>
      <c r="D101" s="2">
        <v>0.67100000000000004</v>
      </c>
      <c r="E101" s="2" t="str">
        <f t="shared" si="52"/>
        <v>SAC</v>
      </c>
      <c r="F101">
        <v>-285</v>
      </c>
      <c r="G101">
        <v>230</v>
      </c>
      <c r="H101" s="2">
        <f t="shared" si="74"/>
        <v>0.67100000000000004</v>
      </c>
      <c r="I101">
        <f t="shared" si="76"/>
        <v>-9.3561403508771868</v>
      </c>
      <c r="J101">
        <f t="shared" si="77"/>
        <v>8.5699999999999932</v>
      </c>
      <c r="K101" s="44">
        <f t="shared" si="53"/>
        <v>-1.3300000000000267</v>
      </c>
      <c r="L101" s="45">
        <f t="shared" si="54"/>
        <v>-13.408771929824564</v>
      </c>
      <c r="M101" t="s">
        <v>35</v>
      </c>
      <c r="N101" s="26" t="str">
        <f t="shared" si="71"/>
        <v>Y</v>
      </c>
      <c r="O101" s="33"/>
      <c r="P101" s="33">
        <f t="shared" si="75"/>
        <v>35.087719298245617</v>
      </c>
      <c r="Q101" s="8">
        <f t="shared" si="78"/>
        <v>35.087719298245617</v>
      </c>
      <c r="R101" t="s">
        <v>35</v>
      </c>
      <c r="S101" s="21">
        <v>0.68259999999999998</v>
      </c>
    </row>
    <row r="102" spans="1:19" x14ac:dyDescent="0.2">
      <c r="A102" s="3" t="s">
        <v>15</v>
      </c>
      <c r="B102" t="s">
        <v>40</v>
      </c>
      <c r="C102" t="s">
        <v>40</v>
      </c>
      <c r="D102" s="2">
        <v>0.52129999999999999</v>
      </c>
      <c r="E102" s="2" t="str">
        <f t="shared" si="52"/>
        <v>OKC</v>
      </c>
      <c r="F102">
        <v>-180</v>
      </c>
      <c r="G102">
        <v>150</v>
      </c>
      <c r="H102" s="2">
        <f t="shared" si="74"/>
        <v>0.52129999999999999</v>
      </c>
      <c r="I102">
        <f t="shared" si="76"/>
        <v>-18.908888888888892</v>
      </c>
      <c r="J102">
        <f t="shared" si="77"/>
        <v>19.675000000000011</v>
      </c>
      <c r="K102" s="44">
        <f t="shared" si="53"/>
        <v>12.17499999999999</v>
      </c>
      <c r="L102" s="45">
        <f t="shared" si="54"/>
        <v>-23.57555555555556</v>
      </c>
      <c r="M102" t="s">
        <v>40</v>
      </c>
      <c r="N102" s="26" t="str">
        <f t="shared" si="71"/>
        <v>Y</v>
      </c>
      <c r="O102" s="33">
        <v>-100</v>
      </c>
      <c r="P102" s="33">
        <f t="shared" si="75"/>
        <v>0</v>
      </c>
      <c r="Q102" s="8">
        <f t="shared" si="78"/>
        <v>55.555555555555557</v>
      </c>
      <c r="R102" t="s">
        <v>40</v>
      </c>
      <c r="S102" s="21">
        <v>0.53359999999999996</v>
      </c>
    </row>
    <row r="103" spans="1:19" x14ac:dyDescent="0.2">
      <c r="A103" s="3" t="s">
        <v>34</v>
      </c>
      <c r="B103" t="s">
        <v>38</v>
      </c>
      <c r="C103" t="s">
        <v>38</v>
      </c>
      <c r="D103" s="2">
        <v>0.38080000000000003</v>
      </c>
      <c r="E103" s="2" t="str">
        <f t="shared" si="52"/>
        <v>ATL</v>
      </c>
      <c r="F103">
        <v>-125</v>
      </c>
      <c r="G103">
        <v>105</v>
      </c>
      <c r="H103" s="2">
        <f t="shared" si="74"/>
        <v>0.38080000000000003</v>
      </c>
      <c r="I103">
        <f t="shared" si="76"/>
        <v>-31.455999999999992</v>
      </c>
      <c r="J103">
        <f t="shared" si="77"/>
        <v>26.935999999999986</v>
      </c>
      <c r="K103" s="44">
        <f t="shared" si="53"/>
        <v>20.785999999999987</v>
      </c>
      <c r="L103" s="45">
        <f t="shared" si="54"/>
        <v>-36.856000000000002</v>
      </c>
      <c r="M103" t="s">
        <v>34</v>
      </c>
      <c r="N103" s="26" t="str">
        <f t="shared" si="71"/>
        <v>N</v>
      </c>
      <c r="O103" s="33">
        <v>105</v>
      </c>
      <c r="P103" s="33">
        <f t="shared" si="75"/>
        <v>0</v>
      </c>
      <c r="Q103" s="8">
        <f t="shared" si="78"/>
        <v>-100</v>
      </c>
      <c r="R103" t="s">
        <v>38</v>
      </c>
      <c r="S103" s="21">
        <f>100%-63.44%</f>
        <v>0.36560000000000004</v>
      </c>
    </row>
    <row r="104" spans="1:19" x14ac:dyDescent="0.2">
      <c r="A104" s="3" t="s">
        <v>11</v>
      </c>
      <c r="B104" t="s">
        <v>39</v>
      </c>
      <c r="C104" t="s">
        <v>39</v>
      </c>
      <c r="D104" s="2">
        <v>0.50009999999999999</v>
      </c>
      <c r="E104" s="2" t="str">
        <f t="shared" si="52"/>
        <v>HOU</v>
      </c>
      <c r="F104">
        <v>-180</v>
      </c>
      <c r="G104">
        <v>150</v>
      </c>
      <c r="H104" s="2">
        <f t="shared" si="74"/>
        <v>0.50009999999999999</v>
      </c>
      <c r="I104">
        <f t="shared" si="76"/>
        <v>-22.206666666666667</v>
      </c>
      <c r="J104">
        <f t="shared" si="77"/>
        <v>24.975000000000001</v>
      </c>
      <c r="K104" s="44">
        <f t="shared" si="53"/>
        <v>17.474999999999994</v>
      </c>
      <c r="L104" s="45">
        <f t="shared" si="54"/>
        <v>-26.873333333333335</v>
      </c>
      <c r="M104" t="s">
        <v>11</v>
      </c>
      <c r="N104" s="26" t="str">
        <f t="shared" si="71"/>
        <v>N</v>
      </c>
      <c r="O104" s="33">
        <v>-100</v>
      </c>
      <c r="P104" s="33">
        <f t="shared" si="75"/>
        <v>0</v>
      </c>
      <c r="Q104" s="8">
        <f t="shared" si="78"/>
        <v>-100</v>
      </c>
      <c r="R104" t="s">
        <v>39</v>
      </c>
      <c r="S104" s="21">
        <f>100%-55.83%</f>
        <v>0.44169999999999998</v>
      </c>
    </row>
    <row r="105" spans="1:19" x14ac:dyDescent="0.2">
      <c r="A105" s="3" t="s">
        <v>16</v>
      </c>
      <c r="B105" t="s">
        <v>8</v>
      </c>
      <c r="C105" t="s">
        <v>16</v>
      </c>
      <c r="D105" s="2">
        <v>0.43890000000000001</v>
      </c>
      <c r="E105" s="2" t="str">
        <f t="shared" si="52"/>
        <v>NOP</v>
      </c>
      <c r="F105">
        <v>-120</v>
      </c>
      <c r="G105">
        <v>100</v>
      </c>
      <c r="H105" s="2">
        <f t="shared" si="74"/>
        <v>0.43890000000000001</v>
      </c>
      <c r="I105">
        <f t="shared" si="76"/>
        <v>-19.534999999999989</v>
      </c>
      <c r="J105">
        <f t="shared" si="77"/>
        <v>12.219999999999992</v>
      </c>
      <c r="K105" s="44">
        <f t="shared" si="53"/>
        <v>6.2199999999999989</v>
      </c>
      <c r="L105" s="45">
        <f t="shared" si="54"/>
        <v>-25.034999999999997</v>
      </c>
      <c r="M105" t="s">
        <v>8</v>
      </c>
      <c r="N105" s="26" t="str">
        <f t="shared" si="71"/>
        <v>N</v>
      </c>
      <c r="O105" s="33"/>
      <c r="P105" s="33">
        <f t="shared" si="75"/>
        <v>0</v>
      </c>
      <c r="Q105" s="8">
        <f t="shared" si="78"/>
        <v>-100</v>
      </c>
      <c r="R105" t="s">
        <v>16</v>
      </c>
      <c r="S105" s="21">
        <f>100%-52.14%</f>
        <v>0.47860000000000003</v>
      </c>
    </row>
    <row r="106" spans="1:19" x14ac:dyDescent="0.2">
      <c r="A106" s="3" t="s">
        <v>7</v>
      </c>
      <c r="B106" t="s">
        <v>13</v>
      </c>
      <c r="C106" t="s">
        <v>13</v>
      </c>
      <c r="D106" s="2">
        <v>0.59630000000000005</v>
      </c>
      <c r="E106" s="2" t="str">
        <f t="shared" si="52"/>
        <v>DEN</v>
      </c>
      <c r="F106">
        <v>-250</v>
      </c>
      <c r="G106">
        <v>205</v>
      </c>
      <c r="H106" s="2">
        <f t="shared" si="74"/>
        <v>0.59630000000000005</v>
      </c>
      <c r="I106">
        <f t="shared" si="76"/>
        <v>-16.517999999999997</v>
      </c>
      <c r="J106">
        <f t="shared" si="77"/>
        <v>23.128499999999995</v>
      </c>
      <c r="K106" s="44">
        <f t="shared" si="53"/>
        <v>13.978499999999968</v>
      </c>
      <c r="L106" s="45">
        <f t="shared" si="54"/>
        <v>-20.717999999999996</v>
      </c>
      <c r="M106" t="s">
        <v>7</v>
      </c>
      <c r="N106" s="26" t="str">
        <f t="shared" si="71"/>
        <v>N</v>
      </c>
      <c r="O106" s="33">
        <v>205</v>
      </c>
      <c r="P106" s="33">
        <f t="shared" si="75"/>
        <v>0</v>
      </c>
      <c r="Q106" s="8">
        <f t="shared" si="78"/>
        <v>-100</v>
      </c>
      <c r="R106" t="s">
        <v>13</v>
      </c>
      <c r="S106" s="21">
        <v>0.62470000000000003</v>
      </c>
    </row>
    <row r="107" spans="1:19" ht="17" thickBot="1" x14ac:dyDescent="0.25">
      <c r="A107" s="16" t="s">
        <v>42</v>
      </c>
      <c r="B107" s="17" t="s">
        <v>33</v>
      </c>
      <c r="C107" s="17" t="s">
        <v>42</v>
      </c>
      <c r="D107" s="18">
        <v>0.72589999999999999</v>
      </c>
      <c r="E107" s="18" t="str">
        <f t="shared" si="52"/>
        <v>LAC</v>
      </c>
      <c r="F107" s="17">
        <v>-485</v>
      </c>
      <c r="G107" s="17">
        <v>370</v>
      </c>
      <c r="H107" s="18">
        <f t="shared" si="74"/>
        <v>0.72589999999999999</v>
      </c>
      <c r="I107" s="17">
        <f t="shared" si="76"/>
        <v>-12.44298969072165</v>
      </c>
      <c r="J107" s="17">
        <f t="shared" si="77"/>
        <v>28.826999999999998</v>
      </c>
      <c r="K107" s="46">
        <f t="shared" si="53"/>
        <v>14.72699999999999</v>
      </c>
      <c r="L107" s="47">
        <f t="shared" si="54"/>
        <v>-16.061546391752579</v>
      </c>
      <c r="M107" s="17" t="s">
        <v>42</v>
      </c>
      <c r="N107" s="27" t="str">
        <f t="shared" si="71"/>
        <v>Y</v>
      </c>
      <c r="O107" s="34"/>
      <c r="P107" s="34">
        <f t="shared" si="75"/>
        <v>20.618556701030929</v>
      </c>
      <c r="Q107" s="20">
        <f t="shared" si="78"/>
        <v>20.618556701030929</v>
      </c>
      <c r="R107" t="s">
        <v>42</v>
      </c>
      <c r="S107" s="21">
        <v>0.77410000000000001</v>
      </c>
    </row>
    <row r="108" spans="1:19" x14ac:dyDescent="0.2">
      <c r="A108" s="4" t="s">
        <v>36</v>
      </c>
      <c r="B108" s="5" t="s">
        <v>30</v>
      </c>
      <c r="C108" s="5" t="s">
        <v>36</v>
      </c>
      <c r="D108" s="6">
        <v>0.6784</v>
      </c>
      <c r="E108" s="2" t="str">
        <f t="shared" si="52"/>
        <v>CLE</v>
      </c>
      <c r="F108" s="5">
        <v>-155</v>
      </c>
      <c r="G108" s="5">
        <v>130</v>
      </c>
      <c r="H108" s="6">
        <f t="shared" ref="H108:H122" si="79">IF(F108&lt;0,D108,1-D108)</f>
        <v>0.6784</v>
      </c>
      <c r="I108" s="5">
        <f>H108*100*100/-F108+(1-H108)*-100</f>
        <v>11.607741935483872</v>
      </c>
      <c r="J108" s="5">
        <f>(1-H108)*100*G108/100+H108*-100</f>
        <v>-26.032000000000011</v>
      </c>
      <c r="K108" s="44">
        <f t="shared" si="53"/>
        <v>-32.932000000000009</v>
      </c>
      <c r="L108" s="45">
        <f t="shared" si="54"/>
        <v>6.6722580645161287</v>
      </c>
      <c r="M108" s="5" t="s">
        <v>36</v>
      </c>
      <c r="N108" s="25" t="str">
        <f t="shared" ref="N108:N122" si="80">IF(C108=M108,"Y","N")</f>
        <v>Y</v>
      </c>
      <c r="O108" s="32"/>
      <c r="P108" s="32">
        <f t="shared" ref="P108:P122" si="81">IF(D108&gt;0.65, IF(N108="Y",100^2/-F108, -100), 0)</f>
        <v>64.516129032258064</v>
      </c>
      <c r="Q108" s="15">
        <f>IF(N108="Y",IF(D108&gt;0.5,100^2/-F108,G108),-100)</f>
        <v>64.516129032258064</v>
      </c>
      <c r="R108" t="s">
        <v>36</v>
      </c>
      <c r="S108" s="21">
        <v>0.70409999999999995</v>
      </c>
    </row>
    <row r="109" spans="1:19" x14ac:dyDescent="0.2">
      <c r="A109" s="3" t="s">
        <v>37</v>
      </c>
      <c r="B109" t="s">
        <v>5</v>
      </c>
      <c r="C109" t="s">
        <v>5</v>
      </c>
      <c r="D109" s="2">
        <v>0.51659999999999995</v>
      </c>
      <c r="E109" s="2" t="str">
        <f t="shared" si="52"/>
        <v>BOS</v>
      </c>
      <c r="F109">
        <v>-198</v>
      </c>
      <c r="G109">
        <v>164</v>
      </c>
      <c r="H109" s="30">
        <f t="shared" si="79"/>
        <v>0.51659999999999995</v>
      </c>
      <c r="I109">
        <f t="shared" ref="I109:I112" si="82">H109*100*100/-F109+(1-H109)*-100</f>
        <v>-22.249090909090913</v>
      </c>
      <c r="J109">
        <f t="shared" ref="J109:J112" si="83">(1-H109)*100*G109/100+H109*-100</f>
        <v>27.61760000000001</v>
      </c>
      <c r="K109" s="44">
        <f t="shared" si="53"/>
        <v>19.697600000000008</v>
      </c>
      <c r="L109" s="45">
        <f t="shared" si="54"/>
        <v>-26.76424242424244</v>
      </c>
      <c r="M109" t="s">
        <v>37</v>
      </c>
      <c r="N109" s="26" t="str">
        <f t="shared" si="80"/>
        <v>N</v>
      </c>
      <c r="O109" s="33">
        <v>164</v>
      </c>
      <c r="P109" s="33">
        <f t="shared" si="81"/>
        <v>0</v>
      </c>
      <c r="Q109" s="8">
        <f t="shared" ref="Q109:Q112" si="84">IF(N109="Y",IF(D109&gt;0.5,100^2/-F109,G109),-100)</f>
        <v>-100</v>
      </c>
      <c r="R109" t="s">
        <v>5</v>
      </c>
      <c r="S109" s="21">
        <v>0.50560000000000005</v>
      </c>
    </row>
    <row r="110" spans="1:19" x14ac:dyDescent="0.2">
      <c r="A110" s="3" t="s">
        <v>40</v>
      </c>
      <c r="B110" t="s">
        <v>17</v>
      </c>
      <c r="C110" t="s">
        <v>40</v>
      </c>
      <c r="D110" s="2">
        <v>0.85980000000000001</v>
      </c>
      <c r="E110" s="2" t="str">
        <f t="shared" si="52"/>
        <v>OKC</v>
      </c>
      <c r="F110">
        <v>-900</v>
      </c>
      <c r="G110">
        <v>600</v>
      </c>
      <c r="H110" s="2">
        <f t="shared" si="79"/>
        <v>0.85980000000000001</v>
      </c>
      <c r="I110">
        <f t="shared" si="82"/>
        <v>-4.4666666666666668</v>
      </c>
      <c r="J110">
        <f t="shared" si="83"/>
        <v>-1.8599999999999994</v>
      </c>
      <c r="K110" s="44">
        <f t="shared" si="53"/>
        <v>-22.860000000000028</v>
      </c>
      <c r="L110" s="45">
        <f t="shared" si="54"/>
        <v>-7.7999999999999989</v>
      </c>
      <c r="M110" t="s">
        <v>40</v>
      </c>
      <c r="N110" s="26" t="str">
        <f t="shared" si="80"/>
        <v>Y</v>
      </c>
      <c r="O110" s="33"/>
      <c r="P110" s="33">
        <f t="shared" si="81"/>
        <v>11.111111111111111</v>
      </c>
      <c r="Q110" s="8">
        <f t="shared" si="84"/>
        <v>11.111111111111111</v>
      </c>
      <c r="R110" t="s">
        <v>40</v>
      </c>
      <c r="S110" s="21">
        <v>0.86209999999999998</v>
      </c>
    </row>
    <row r="111" spans="1:19" x14ac:dyDescent="0.2">
      <c r="A111" s="3" t="s">
        <v>9</v>
      </c>
      <c r="B111" t="s">
        <v>32</v>
      </c>
      <c r="C111" t="s">
        <v>9</v>
      </c>
      <c r="D111" s="2">
        <v>0.57430000000000003</v>
      </c>
      <c r="E111" s="2" t="str">
        <f t="shared" si="52"/>
        <v>DAL</v>
      </c>
      <c r="F111">
        <v>-166</v>
      </c>
      <c r="G111">
        <v>140</v>
      </c>
      <c r="H111" s="2">
        <f t="shared" si="79"/>
        <v>0.57430000000000003</v>
      </c>
      <c r="I111">
        <f t="shared" si="82"/>
        <v>-7.9736144578313102</v>
      </c>
      <c r="J111">
        <f t="shared" si="83"/>
        <v>2.1679999999999851</v>
      </c>
      <c r="K111" s="44">
        <f t="shared" si="53"/>
        <v>-5.0320000000000178</v>
      </c>
      <c r="L111" s="45">
        <f t="shared" si="54"/>
        <v>-12.78084337349398</v>
      </c>
      <c r="M111" t="s">
        <v>9</v>
      </c>
      <c r="N111" s="26" t="str">
        <f t="shared" si="80"/>
        <v>Y</v>
      </c>
      <c r="O111" s="33"/>
      <c r="P111" s="33">
        <f t="shared" si="81"/>
        <v>0</v>
      </c>
      <c r="Q111" s="8">
        <f t="shared" si="84"/>
        <v>60.24096385542169</v>
      </c>
      <c r="R111" t="s">
        <v>9</v>
      </c>
      <c r="S111" s="21">
        <v>0.58650000000000002</v>
      </c>
    </row>
    <row r="112" spans="1:19" ht="17" thickBot="1" x14ac:dyDescent="0.25">
      <c r="A112" s="16" t="s">
        <v>19</v>
      </c>
      <c r="B112" s="17" t="s">
        <v>41</v>
      </c>
      <c r="C112" s="17" t="s">
        <v>19</v>
      </c>
      <c r="D112" s="18">
        <v>0.55069999999999997</v>
      </c>
      <c r="E112" s="18" t="str">
        <f t="shared" si="52"/>
        <v>LAL</v>
      </c>
      <c r="F112" s="17">
        <v>-112</v>
      </c>
      <c r="G112" s="17">
        <f>100^2/108</f>
        <v>92.592592592592595</v>
      </c>
      <c r="H112" s="18">
        <f t="shared" si="79"/>
        <v>0.55069999999999997</v>
      </c>
      <c r="I112" s="17">
        <f t="shared" si="82"/>
        <v>4.2396428571428402</v>
      </c>
      <c r="J112" s="17">
        <f t="shared" si="83"/>
        <v>-13.468148148148131</v>
      </c>
      <c r="K112" s="46">
        <f t="shared" si="53"/>
        <v>-19.245925925925924</v>
      </c>
      <c r="L112" s="47">
        <f t="shared" si="54"/>
        <v>-1.4389285714285833</v>
      </c>
      <c r="M112" s="17" t="s">
        <v>41</v>
      </c>
      <c r="N112" s="27" t="str">
        <f t="shared" si="80"/>
        <v>N</v>
      </c>
      <c r="O112" s="34"/>
      <c r="P112" s="34">
        <f t="shared" si="81"/>
        <v>0</v>
      </c>
      <c r="Q112" s="20">
        <f t="shared" si="84"/>
        <v>-100</v>
      </c>
      <c r="R112" t="s">
        <v>19</v>
      </c>
      <c r="S112" s="21">
        <v>0.58750000000000002</v>
      </c>
    </row>
    <row r="113" spans="1:19" x14ac:dyDescent="0.2">
      <c r="A113" s="4" t="s">
        <v>38</v>
      </c>
      <c r="B113" s="5" t="s">
        <v>35</v>
      </c>
      <c r="C113" s="5" t="s">
        <v>38</v>
      </c>
      <c r="D113" s="6">
        <f>100%-68.44%</f>
        <v>0.31559999999999999</v>
      </c>
      <c r="E113" s="6" t="str">
        <f t="shared" si="52"/>
        <v>SAC</v>
      </c>
      <c r="F113" s="5">
        <v>-112</v>
      </c>
      <c r="G113" s="5">
        <f>100^2/108</f>
        <v>92.592592592592595</v>
      </c>
      <c r="H113" s="6">
        <f t="shared" si="79"/>
        <v>0.31559999999999999</v>
      </c>
      <c r="I113" s="5">
        <f>H113*100*100/-F113+(1-H113)*-100</f>
        <v>-40.261428571428567</v>
      </c>
      <c r="J113" s="5">
        <f>(1-H113)*100*G113/100+H113*-100</f>
        <v>31.810370370370375</v>
      </c>
      <c r="K113" s="42">
        <f t="shared" si="53"/>
        <v>26.032592592592593</v>
      </c>
      <c r="L113" s="43">
        <f t="shared" si="54"/>
        <v>-45.94</v>
      </c>
      <c r="M113" s="5" t="s">
        <v>38</v>
      </c>
      <c r="N113" s="25" t="str">
        <f t="shared" si="80"/>
        <v>Y</v>
      </c>
      <c r="O113" s="32">
        <v>92.59</v>
      </c>
      <c r="P113" s="32">
        <f t="shared" si="81"/>
        <v>0</v>
      </c>
      <c r="Q113" s="15">
        <f>IF(N113="Y",IF(D113&gt;0.5,100^2/-F113,G113),-100)</f>
        <v>92.592592592592595</v>
      </c>
      <c r="R113" t="s">
        <v>38</v>
      </c>
      <c r="S113" s="21">
        <v>0.74239999999999995</v>
      </c>
    </row>
    <row r="114" spans="1:19" x14ac:dyDescent="0.2">
      <c r="A114" s="3" t="s">
        <v>34</v>
      </c>
      <c r="B114" t="s">
        <v>12</v>
      </c>
      <c r="C114" t="s">
        <v>12</v>
      </c>
      <c r="D114" s="2">
        <v>0.5524</v>
      </c>
      <c r="E114" s="2" t="str">
        <f t="shared" si="52"/>
        <v>IND</v>
      </c>
      <c r="F114">
        <v>-205</v>
      </c>
      <c r="G114">
        <v>170</v>
      </c>
      <c r="H114" s="30">
        <f t="shared" si="79"/>
        <v>0.5524</v>
      </c>
      <c r="I114">
        <f t="shared" ref="I114:I122" si="85">H114*100*100/-F114+(1-H114)*-100</f>
        <v>-17.813658536585365</v>
      </c>
      <c r="J114">
        <f t="shared" ref="J114:J122" si="86">(1-H114)*100*G114/100+H114*-100</f>
        <v>20.851999999999997</v>
      </c>
      <c r="K114" s="44">
        <f t="shared" si="53"/>
        <v>12.751999999999988</v>
      </c>
      <c r="L114" s="45">
        <f t="shared" si="54"/>
        <v>-22.277073170731718</v>
      </c>
      <c r="M114" t="s">
        <v>12</v>
      </c>
      <c r="N114" s="26" t="str">
        <f t="shared" si="80"/>
        <v>Y</v>
      </c>
      <c r="O114" s="33">
        <v>-100</v>
      </c>
      <c r="P114" s="33">
        <f t="shared" si="81"/>
        <v>0</v>
      </c>
      <c r="Q114" s="8">
        <f t="shared" ref="Q114:Q122" si="87">IF(N114="Y",IF(D114&gt;0.5,100^2/-F114,G114),-100)</f>
        <v>48.780487804878049</v>
      </c>
      <c r="R114" t="s">
        <v>12</v>
      </c>
      <c r="S114" s="21">
        <v>0.6109</v>
      </c>
    </row>
    <row r="115" spans="1:19" x14ac:dyDescent="0.2">
      <c r="A115" s="3" t="s">
        <v>6</v>
      </c>
      <c r="B115" t="s">
        <v>39</v>
      </c>
      <c r="C115" t="s">
        <v>39</v>
      </c>
      <c r="D115" s="2">
        <v>0.78100000000000003</v>
      </c>
      <c r="E115" s="2" t="str">
        <f t="shared" si="52"/>
        <v>HOU</v>
      </c>
      <c r="F115">
        <v>-290</v>
      </c>
      <c r="G115">
        <v>235</v>
      </c>
      <c r="H115" s="2">
        <f t="shared" si="79"/>
        <v>0.78100000000000003</v>
      </c>
      <c r="I115">
        <f t="shared" si="85"/>
        <v>5.0310344827586242</v>
      </c>
      <c r="J115">
        <f t="shared" si="86"/>
        <v>-26.635000000000005</v>
      </c>
      <c r="K115" s="44">
        <f t="shared" si="53"/>
        <v>-36.685000000000024</v>
      </c>
      <c r="L115" s="45">
        <f t="shared" si="54"/>
        <v>0.99655172413793025</v>
      </c>
      <c r="M115" t="s">
        <v>39</v>
      </c>
      <c r="N115" s="26" t="str">
        <f t="shared" si="80"/>
        <v>Y</v>
      </c>
      <c r="O115" s="33"/>
      <c r="P115" s="33">
        <f t="shared" si="81"/>
        <v>34.482758620689658</v>
      </c>
      <c r="Q115" s="8">
        <f t="shared" si="87"/>
        <v>34.482758620689658</v>
      </c>
      <c r="R115" t="s">
        <v>39</v>
      </c>
      <c r="S115" s="21">
        <v>0.80740000000000001</v>
      </c>
    </row>
    <row r="116" spans="1:19" x14ac:dyDescent="0.2">
      <c r="A116" s="3" t="s">
        <v>15</v>
      </c>
      <c r="B116" t="s">
        <v>31</v>
      </c>
      <c r="C116" t="s">
        <v>15</v>
      </c>
      <c r="D116" s="2">
        <v>0.62649999999999995</v>
      </c>
      <c r="E116" s="2" t="str">
        <f t="shared" si="52"/>
        <v>MIA</v>
      </c>
      <c r="F116">
        <v>-155</v>
      </c>
      <c r="G116">
        <v>130</v>
      </c>
      <c r="H116" s="2">
        <f t="shared" si="79"/>
        <v>0.62649999999999995</v>
      </c>
      <c r="I116">
        <f t="shared" si="85"/>
        <v>3.0693548387096641</v>
      </c>
      <c r="J116">
        <f t="shared" si="86"/>
        <v>-14.094999999999985</v>
      </c>
      <c r="K116" s="44">
        <f t="shared" si="53"/>
        <v>-20.99499999999999</v>
      </c>
      <c r="L116" s="45">
        <f t="shared" si="54"/>
        <v>-1.8661290322580797</v>
      </c>
      <c r="M116" t="s">
        <v>15</v>
      </c>
      <c r="N116" s="26" t="str">
        <f t="shared" si="80"/>
        <v>Y</v>
      </c>
      <c r="O116" s="33"/>
      <c r="P116" s="33">
        <f t="shared" si="81"/>
        <v>0</v>
      </c>
      <c r="Q116" s="8">
        <f t="shared" si="87"/>
        <v>64.516129032258064</v>
      </c>
      <c r="R116" t="s">
        <v>15</v>
      </c>
      <c r="S116" s="21">
        <v>0.59299999999999997</v>
      </c>
    </row>
    <row r="117" spans="1:19" x14ac:dyDescent="0.2">
      <c r="A117" s="3" t="s">
        <v>14</v>
      </c>
      <c r="B117" t="s">
        <v>42</v>
      </c>
      <c r="C117" t="s">
        <v>42</v>
      </c>
      <c r="D117" s="2">
        <v>0.74590000000000001</v>
      </c>
      <c r="E117" s="2" t="str">
        <f t="shared" si="52"/>
        <v>LAC</v>
      </c>
      <c r="F117">
        <v>-310</v>
      </c>
      <c r="G117">
        <v>250</v>
      </c>
      <c r="H117" s="2">
        <f t="shared" si="79"/>
        <v>0.74590000000000001</v>
      </c>
      <c r="I117">
        <f t="shared" si="85"/>
        <v>-1.3487096774193539</v>
      </c>
      <c r="J117">
        <f t="shared" si="86"/>
        <v>-11.065000000000005</v>
      </c>
      <c r="K117" s="44">
        <f t="shared" si="53"/>
        <v>-21.565000000000012</v>
      </c>
      <c r="L117" s="45">
        <f t="shared" si="54"/>
        <v>-5.3164516129032293</v>
      </c>
      <c r="M117" t="s">
        <v>42</v>
      </c>
      <c r="N117" s="26" t="str">
        <f t="shared" si="80"/>
        <v>Y</v>
      </c>
      <c r="O117" s="33"/>
      <c r="P117" s="33">
        <f t="shared" si="81"/>
        <v>32.258064516129032</v>
      </c>
      <c r="Q117" s="8">
        <f t="shared" si="87"/>
        <v>32.258064516129032</v>
      </c>
      <c r="R117" t="s">
        <v>42</v>
      </c>
      <c r="S117" s="21">
        <v>0.75209999999999999</v>
      </c>
    </row>
    <row r="118" spans="1:19" x14ac:dyDescent="0.2">
      <c r="A118" s="3" t="s">
        <v>10</v>
      </c>
      <c r="B118" t="s">
        <v>17</v>
      </c>
      <c r="C118" t="s">
        <v>10</v>
      </c>
      <c r="D118" s="2">
        <v>0.89529999999999998</v>
      </c>
      <c r="E118" s="2" t="str">
        <f t="shared" si="52"/>
        <v>MIN</v>
      </c>
      <c r="F118">
        <v>-1350</v>
      </c>
      <c r="G118">
        <v>800</v>
      </c>
      <c r="H118" s="2">
        <f t="shared" si="79"/>
        <v>0.89529999999999998</v>
      </c>
      <c r="I118">
        <f t="shared" si="85"/>
        <v>-3.838148148148151</v>
      </c>
      <c r="J118">
        <f t="shared" si="86"/>
        <v>-5.7699999999999818</v>
      </c>
      <c r="K118" s="44">
        <f t="shared" si="53"/>
        <v>-32.77000000000001</v>
      </c>
      <c r="L118" s="45">
        <f t="shared" si="54"/>
        <v>-7.0603703703703706</v>
      </c>
      <c r="M118" t="s">
        <v>10</v>
      </c>
      <c r="N118" s="26" t="str">
        <f t="shared" si="80"/>
        <v>Y</v>
      </c>
      <c r="O118" s="33"/>
      <c r="P118" s="33">
        <f t="shared" si="81"/>
        <v>7.4074074074074074</v>
      </c>
      <c r="Q118" s="8">
        <f t="shared" si="87"/>
        <v>7.4074074074074074</v>
      </c>
      <c r="R118" t="s">
        <v>10</v>
      </c>
      <c r="S118" s="21">
        <v>0.90700000000000003</v>
      </c>
    </row>
    <row r="119" spans="1:19" x14ac:dyDescent="0.2">
      <c r="A119" s="3" t="s">
        <v>11</v>
      </c>
      <c r="B119" t="s">
        <v>16</v>
      </c>
      <c r="C119" t="s">
        <v>11</v>
      </c>
      <c r="D119" s="2">
        <v>0.53120000000000001</v>
      </c>
      <c r="E119" s="2" t="str">
        <f t="shared" si="52"/>
        <v>CHI</v>
      </c>
      <c r="F119">
        <v>-155</v>
      </c>
      <c r="G119">
        <v>130</v>
      </c>
      <c r="H119" s="2">
        <f t="shared" si="79"/>
        <v>0.53120000000000001</v>
      </c>
      <c r="I119">
        <f t="shared" si="85"/>
        <v>-12.609032258064516</v>
      </c>
      <c r="J119">
        <f t="shared" si="86"/>
        <v>7.8240000000000052</v>
      </c>
      <c r="K119" s="44">
        <f t="shared" si="53"/>
        <v>0.92399999999999238</v>
      </c>
      <c r="L119" s="45">
        <f t="shared" si="54"/>
        <v>-17.54451612903226</v>
      </c>
      <c r="M119" t="s">
        <v>16</v>
      </c>
      <c r="N119" s="26" t="str">
        <f t="shared" si="80"/>
        <v>N</v>
      </c>
      <c r="O119" s="33"/>
      <c r="P119" s="33">
        <f t="shared" si="81"/>
        <v>0</v>
      </c>
      <c r="Q119" s="8">
        <f t="shared" si="87"/>
        <v>-100</v>
      </c>
      <c r="R119" t="s">
        <v>16</v>
      </c>
      <c r="S119" s="21">
        <v>0.51359999999999995</v>
      </c>
    </row>
    <row r="120" spans="1:19" x14ac:dyDescent="0.2">
      <c r="A120" s="3" t="s">
        <v>28</v>
      </c>
      <c r="B120" t="s">
        <v>21</v>
      </c>
      <c r="C120" t="s">
        <v>28</v>
      </c>
      <c r="D120" s="2">
        <v>0.51529999999999998</v>
      </c>
      <c r="E120" s="2" t="str">
        <f t="shared" si="52"/>
        <v>SAS</v>
      </c>
      <c r="F120">
        <v>-142</v>
      </c>
      <c r="G120">
        <v>120</v>
      </c>
      <c r="H120" s="2">
        <f t="shared" si="79"/>
        <v>0.51529999999999998</v>
      </c>
      <c r="I120">
        <f t="shared" si="85"/>
        <v>-12.181267605633799</v>
      </c>
      <c r="J120">
        <f t="shared" si="86"/>
        <v>6.6339999999999932</v>
      </c>
      <c r="K120" s="44">
        <f t="shared" si="53"/>
        <v>3.399999999999892E-2</v>
      </c>
      <c r="L120" s="45">
        <f t="shared" si="54"/>
        <v>-17.293943661971845</v>
      </c>
      <c r="M120" t="s">
        <v>28</v>
      </c>
      <c r="N120" s="26" t="str">
        <f t="shared" si="80"/>
        <v>Y</v>
      </c>
      <c r="O120" s="33"/>
      <c r="P120" s="33">
        <f t="shared" si="81"/>
        <v>0</v>
      </c>
      <c r="Q120" s="8">
        <f t="shared" si="87"/>
        <v>70.422535211267601</v>
      </c>
      <c r="R120" t="s">
        <v>21</v>
      </c>
      <c r="S120" s="21">
        <v>0.50409999999999999</v>
      </c>
    </row>
    <row r="121" spans="1:19" x14ac:dyDescent="0.2">
      <c r="A121" s="3" t="s">
        <v>7</v>
      </c>
      <c r="B121" t="s">
        <v>33</v>
      </c>
      <c r="C121" t="s">
        <v>7</v>
      </c>
      <c r="D121" s="2">
        <v>0.58440000000000003</v>
      </c>
      <c r="E121" s="2" t="str">
        <f t="shared" ref="E121:E130" si="88">IF(D121&gt;0.5,C121,IF(C121=B121,A121,B121))</f>
        <v>UTA</v>
      </c>
      <c r="F121">
        <v>-135</v>
      </c>
      <c r="G121">
        <v>114</v>
      </c>
      <c r="H121" s="2">
        <f t="shared" si="79"/>
        <v>0.58440000000000003</v>
      </c>
      <c r="I121">
        <f t="shared" si="85"/>
        <v>1.7288888888889034</v>
      </c>
      <c r="J121">
        <f t="shared" si="86"/>
        <v>-11.061600000000013</v>
      </c>
      <c r="K121" s="44">
        <f t="shared" ref="K121:K130" si="89">(1-(H121+$R$4))*G121-(H121+$R$4)*100</f>
        <v>-17.481600000000014</v>
      </c>
      <c r="L121" s="45">
        <f t="shared" ref="L121:L130" si="90">(H121-$R$4)*100*100/-F121+(1-H121+$R$4)*-100</f>
        <v>-3.4933333333333323</v>
      </c>
      <c r="M121" t="s">
        <v>7</v>
      </c>
      <c r="N121" s="26" t="str">
        <f t="shared" si="80"/>
        <v>Y</v>
      </c>
      <c r="O121" s="33"/>
      <c r="P121" s="33">
        <f t="shared" si="81"/>
        <v>0</v>
      </c>
      <c r="Q121" s="8">
        <f t="shared" si="87"/>
        <v>74.074074074074076</v>
      </c>
      <c r="R121" t="s">
        <v>7</v>
      </c>
      <c r="S121" s="21">
        <v>0.6</v>
      </c>
    </row>
    <row r="122" spans="1:19" ht="17" thickBot="1" x14ac:dyDescent="0.25">
      <c r="A122" s="16" t="s">
        <v>13</v>
      </c>
      <c r="B122" s="17" t="s">
        <v>8</v>
      </c>
      <c r="C122" s="17" t="s">
        <v>13</v>
      </c>
      <c r="D122" s="18">
        <v>0.68640000000000001</v>
      </c>
      <c r="E122" s="18" t="str">
        <f t="shared" si="88"/>
        <v>DEN</v>
      </c>
      <c r="F122" s="17">
        <v>-340</v>
      </c>
      <c r="G122" s="17">
        <v>270</v>
      </c>
      <c r="H122" s="18">
        <f t="shared" si="79"/>
        <v>0.68640000000000001</v>
      </c>
      <c r="I122" s="17">
        <f t="shared" si="85"/>
        <v>-11.171764705882353</v>
      </c>
      <c r="J122" s="17">
        <f t="shared" si="86"/>
        <v>16.032000000000011</v>
      </c>
      <c r="K122" s="46">
        <f t="shared" si="89"/>
        <v>4.9319999999999879</v>
      </c>
      <c r="L122" s="47">
        <f t="shared" si="90"/>
        <v>-15.054117647058824</v>
      </c>
      <c r="M122" s="17" t="s">
        <v>13</v>
      </c>
      <c r="N122" s="27" t="str">
        <f t="shared" si="80"/>
        <v>Y</v>
      </c>
      <c r="O122" s="34"/>
      <c r="P122" s="34">
        <f t="shared" si="81"/>
        <v>29.411764705882351</v>
      </c>
      <c r="Q122" s="20">
        <f t="shared" si="87"/>
        <v>29.411764705882351</v>
      </c>
      <c r="R122" t="s">
        <v>13</v>
      </c>
      <c r="S122" s="21">
        <v>0.69769999999999999</v>
      </c>
    </row>
    <row r="123" spans="1:19" x14ac:dyDescent="0.2">
      <c r="A123" s="4" t="s">
        <v>5</v>
      </c>
      <c r="B123" s="5" t="s">
        <v>39</v>
      </c>
      <c r="C123" s="5" t="s">
        <v>5</v>
      </c>
      <c r="D123" s="6">
        <v>0.75600000000000001</v>
      </c>
      <c r="E123" s="6" t="str">
        <f t="shared" si="88"/>
        <v>BOS</v>
      </c>
      <c r="F123" s="5">
        <v>-1350</v>
      </c>
      <c r="G123" s="5">
        <v>800</v>
      </c>
      <c r="H123" s="6">
        <f t="shared" ref="H123:H130" si="91">IF(F123&lt;0,D123,1-D123)</f>
        <v>0.75600000000000001</v>
      </c>
      <c r="I123" s="5">
        <f>H123*100*100/-F123+(1-H123)*-100</f>
        <v>-18.799999999999997</v>
      </c>
      <c r="J123" s="5">
        <f>(1-H123)*100*G123/100+H123*-100</f>
        <v>119.6</v>
      </c>
      <c r="K123" s="42">
        <f t="shared" si="89"/>
        <v>92.59999999999998</v>
      </c>
      <c r="L123" s="43">
        <f t="shared" si="90"/>
        <v>-22.022222222222226</v>
      </c>
      <c r="M123" s="5" t="s">
        <v>5</v>
      </c>
      <c r="N123" s="25" t="str">
        <f t="shared" ref="N123:N130" si="92">IF(C123=M123,"Y","N")</f>
        <v>Y</v>
      </c>
      <c r="O123" s="32">
        <v>-100</v>
      </c>
      <c r="P123" s="32">
        <f t="shared" ref="P123:P130" si="93">IF(D123&gt;0.65, IF(N123="Y",100^2/-F123, -100), 0)</f>
        <v>7.4074074074074074</v>
      </c>
      <c r="Q123" s="15">
        <f>IF(N123="Y",IF(D123&gt;0.5,100^2/-F123,G123),-100)</f>
        <v>7.4074074074074074</v>
      </c>
      <c r="R123" t="s">
        <v>5</v>
      </c>
      <c r="S123" s="21">
        <v>0.74680000000000002</v>
      </c>
    </row>
    <row r="124" spans="1:19" x14ac:dyDescent="0.2">
      <c r="A124" s="3" t="s">
        <v>34</v>
      </c>
      <c r="B124" t="s">
        <v>29</v>
      </c>
      <c r="C124" t="s">
        <v>34</v>
      </c>
      <c r="D124" s="2">
        <v>0.75980000000000003</v>
      </c>
      <c r="E124" s="2" t="str">
        <f t="shared" si="88"/>
        <v>ATL</v>
      </c>
      <c r="F124">
        <v>-270</v>
      </c>
      <c r="G124">
        <v>220</v>
      </c>
      <c r="H124" s="30">
        <f t="shared" si="91"/>
        <v>0.75980000000000003</v>
      </c>
      <c r="I124">
        <f t="shared" ref="I124:I130" si="94">H124*100*100/-F124+(1-H124)*-100</f>
        <v>4.120740740740743</v>
      </c>
      <c r="J124">
        <f t="shared" ref="J124:J130" si="95">(1-H124)*100*G124/100+H124*-100</f>
        <v>-23.136000000000017</v>
      </c>
      <c r="K124" s="44">
        <f t="shared" si="89"/>
        <v>-32.736000000000018</v>
      </c>
      <c r="L124" s="45">
        <f t="shared" si="90"/>
        <v>9.6296296296287665E-3</v>
      </c>
      <c r="M124" t="s">
        <v>29</v>
      </c>
      <c r="N124" s="26" t="str">
        <f t="shared" si="92"/>
        <v>N</v>
      </c>
      <c r="O124" s="33"/>
      <c r="P124" s="33">
        <f t="shared" si="93"/>
        <v>-100</v>
      </c>
      <c r="Q124" s="8">
        <f t="shared" ref="Q124:Q130" si="96">IF(N124="Y",IF(D124&gt;0.5,100^2/-F124,G124),-100)</f>
        <v>-100</v>
      </c>
      <c r="R124" t="s">
        <v>34</v>
      </c>
      <c r="S124" s="21">
        <v>0.69389999999999996</v>
      </c>
    </row>
    <row r="125" spans="1:19" x14ac:dyDescent="0.2">
      <c r="A125" s="3" t="s">
        <v>14</v>
      </c>
      <c r="B125" t="s">
        <v>32</v>
      </c>
      <c r="C125" t="s">
        <v>32</v>
      </c>
      <c r="D125" s="2">
        <v>0.67230000000000001</v>
      </c>
      <c r="E125" s="2" t="str">
        <f t="shared" si="88"/>
        <v>NYK</v>
      </c>
      <c r="F125">
        <v>-340</v>
      </c>
      <c r="G125">
        <v>270</v>
      </c>
      <c r="H125" s="2">
        <f t="shared" si="91"/>
        <v>0.67230000000000001</v>
      </c>
      <c r="I125">
        <f t="shared" si="94"/>
        <v>-12.99647058823529</v>
      </c>
      <c r="J125">
        <f t="shared" si="95"/>
        <v>21.248999999999995</v>
      </c>
      <c r="K125" s="44">
        <f t="shared" si="89"/>
        <v>10.148999999999987</v>
      </c>
      <c r="L125" s="45">
        <f t="shared" si="90"/>
        <v>-16.878823529411768</v>
      </c>
      <c r="M125" t="s">
        <v>32</v>
      </c>
      <c r="N125" s="26" t="str">
        <f t="shared" si="92"/>
        <v>Y</v>
      </c>
      <c r="O125" s="33"/>
      <c r="P125" s="33">
        <f t="shared" si="93"/>
        <v>29.411764705882351</v>
      </c>
      <c r="Q125" s="8">
        <f t="shared" si="96"/>
        <v>29.411764705882351</v>
      </c>
      <c r="R125" t="s">
        <v>32</v>
      </c>
      <c r="S125" s="21">
        <v>0.67830000000000001</v>
      </c>
    </row>
    <row r="126" spans="1:19" x14ac:dyDescent="0.2">
      <c r="A126" s="3" t="s">
        <v>37</v>
      </c>
      <c r="B126" t="s">
        <v>16</v>
      </c>
      <c r="C126" t="s">
        <v>37</v>
      </c>
      <c r="D126" s="2">
        <v>0.72460000000000002</v>
      </c>
      <c r="E126" s="2" t="str">
        <f t="shared" si="88"/>
        <v>MIL</v>
      </c>
      <c r="F126">
        <v>-700</v>
      </c>
      <c r="G126">
        <v>500</v>
      </c>
      <c r="H126" s="2">
        <f t="shared" si="91"/>
        <v>0.72460000000000002</v>
      </c>
      <c r="I126">
        <f t="shared" si="94"/>
        <v>-17.188571428571429</v>
      </c>
      <c r="J126">
        <f t="shared" si="95"/>
        <v>65.239999999999981</v>
      </c>
      <c r="K126" s="44">
        <f t="shared" si="89"/>
        <v>47.239999999999966</v>
      </c>
      <c r="L126" s="45">
        <f t="shared" si="90"/>
        <v>-20.617142857142859</v>
      </c>
      <c r="M126" t="s">
        <v>37</v>
      </c>
      <c r="N126" s="26" t="str">
        <f t="shared" si="92"/>
        <v>Y</v>
      </c>
      <c r="O126" s="33">
        <v>-100</v>
      </c>
      <c r="P126" s="33">
        <f t="shared" si="93"/>
        <v>14.285714285714286</v>
      </c>
      <c r="Q126" s="8">
        <f t="shared" si="96"/>
        <v>14.285714285714286</v>
      </c>
      <c r="R126" t="s">
        <v>37</v>
      </c>
      <c r="S126" s="21">
        <v>0.74350000000000005</v>
      </c>
    </row>
    <row r="127" spans="1:19" x14ac:dyDescent="0.2">
      <c r="A127" s="3" t="s">
        <v>40</v>
      </c>
      <c r="B127" t="s">
        <v>31</v>
      </c>
      <c r="C127" t="s">
        <v>40</v>
      </c>
      <c r="D127" s="2">
        <v>0.77300000000000002</v>
      </c>
      <c r="E127" s="2" t="str">
        <f t="shared" si="88"/>
        <v>OKC</v>
      </c>
      <c r="F127">
        <v>-675</v>
      </c>
      <c r="G127">
        <v>490</v>
      </c>
      <c r="H127" s="2">
        <f t="shared" si="91"/>
        <v>0.77300000000000002</v>
      </c>
      <c r="I127">
        <f t="shared" si="94"/>
        <v>-11.248148148148147</v>
      </c>
      <c r="J127">
        <f t="shared" si="95"/>
        <v>33.930000000000007</v>
      </c>
      <c r="K127" s="44">
        <f t="shared" si="89"/>
        <v>16.229999999999961</v>
      </c>
      <c r="L127" s="45">
        <f t="shared" si="90"/>
        <v>-14.692592592592591</v>
      </c>
      <c r="M127" t="s">
        <v>40</v>
      </c>
      <c r="N127" s="26" t="str">
        <f t="shared" si="92"/>
        <v>Y</v>
      </c>
      <c r="O127" s="33">
        <v>-100</v>
      </c>
      <c r="P127" s="33">
        <f t="shared" si="93"/>
        <v>14.814814814814815</v>
      </c>
      <c r="Q127" s="8">
        <f t="shared" si="96"/>
        <v>14.814814814814815</v>
      </c>
      <c r="R127" t="s">
        <v>40</v>
      </c>
      <c r="S127" s="21">
        <v>0.73440000000000005</v>
      </c>
    </row>
    <row r="128" spans="1:19" x14ac:dyDescent="0.2">
      <c r="A128" s="3" t="s">
        <v>28</v>
      </c>
      <c r="B128" t="s">
        <v>11</v>
      </c>
      <c r="C128" t="s">
        <v>11</v>
      </c>
      <c r="D128" s="2">
        <v>0.63390000000000002</v>
      </c>
      <c r="E128" s="2" t="str">
        <f t="shared" si="88"/>
        <v>CHI</v>
      </c>
      <c r="F128">
        <v>-230</v>
      </c>
      <c r="G128">
        <v>190</v>
      </c>
      <c r="H128" s="2">
        <f t="shared" si="91"/>
        <v>0.63390000000000002</v>
      </c>
      <c r="I128">
        <f t="shared" si="94"/>
        <v>-9.049130434782608</v>
      </c>
      <c r="J128">
        <f t="shared" si="95"/>
        <v>6.1689999999999969</v>
      </c>
      <c r="K128" s="44">
        <f t="shared" si="89"/>
        <v>-2.5310000000000059</v>
      </c>
      <c r="L128" s="45">
        <f t="shared" si="90"/>
        <v>-13.353478260869565</v>
      </c>
      <c r="M128" t="s">
        <v>60</v>
      </c>
      <c r="N128" s="26" t="str">
        <f t="shared" si="92"/>
        <v>Y</v>
      </c>
      <c r="O128" s="33"/>
      <c r="P128" s="33">
        <f t="shared" si="93"/>
        <v>0</v>
      </c>
      <c r="Q128" s="8">
        <f t="shared" si="96"/>
        <v>43.478260869565219</v>
      </c>
      <c r="R128" t="s">
        <v>11</v>
      </c>
      <c r="S128" s="21">
        <v>0.65559999999999996</v>
      </c>
    </row>
    <row r="129" spans="1:19" x14ac:dyDescent="0.2">
      <c r="A129" s="3" t="s">
        <v>9</v>
      </c>
      <c r="B129" t="s">
        <v>8</v>
      </c>
      <c r="C129" t="s">
        <v>9</v>
      </c>
      <c r="D129" s="2">
        <v>0.51839999999999997</v>
      </c>
      <c r="E129" s="2" t="str">
        <f t="shared" si="88"/>
        <v>DAL</v>
      </c>
      <c r="F129">
        <v>-148</v>
      </c>
      <c r="G129">
        <v>124</v>
      </c>
      <c r="H129" s="2">
        <f t="shared" si="91"/>
        <v>0.51839999999999997</v>
      </c>
      <c r="I129">
        <f t="shared" si="94"/>
        <v>-13.132972972972979</v>
      </c>
      <c r="J129">
        <f t="shared" si="95"/>
        <v>7.8784000000000063</v>
      </c>
      <c r="K129" s="44">
        <f t="shared" si="89"/>
        <v>1.1584000000000003</v>
      </c>
      <c r="L129" s="45">
        <f t="shared" si="90"/>
        <v>-18.160000000000004</v>
      </c>
      <c r="M129" t="s">
        <v>8</v>
      </c>
      <c r="N129" s="26" t="str">
        <f t="shared" si="92"/>
        <v>N</v>
      </c>
      <c r="O129" s="33"/>
      <c r="P129" s="33">
        <f t="shared" si="93"/>
        <v>0</v>
      </c>
      <c r="Q129" s="8">
        <f t="shared" si="96"/>
        <v>-100</v>
      </c>
      <c r="R129" t="s">
        <v>9</v>
      </c>
      <c r="S129" s="21">
        <v>0.56200000000000006</v>
      </c>
    </row>
    <row r="130" spans="1:19" ht="17" thickBot="1" x14ac:dyDescent="0.25">
      <c r="A130" s="16" t="s">
        <v>7</v>
      </c>
      <c r="B130" s="17" t="s">
        <v>19</v>
      </c>
      <c r="C130" s="17" t="s">
        <v>7</v>
      </c>
      <c r="D130" s="18">
        <v>0.41959999999999997</v>
      </c>
      <c r="E130" s="18" t="str">
        <f t="shared" si="88"/>
        <v>LAL</v>
      </c>
      <c r="F130" s="17">
        <v>-120</v>
      </c>
      <c r="G130" s="17">
        <v>100</v>
      </c>
      <c r="H130" s="18">
        <f t="shared" si="91"/>
        <v>0.41959999999999997</v>
      </c>
      <c r="I130" s="17">
        <f t="shared" si="94"/>
        <v>-23.073333333333345</v>
      </c>
      <c r="J130" s="17">
        <f t="shared" si="95"/>
        <v>16.080000000000013</v>
      </c>
      <c r="K130" s="46">
        <f t="shared" si="89"/>
        <v>10.079999999999998</v>
      </c>
      <c r="L130" s="47">
        <f t="shared" si="90"/>
        <v>-28.573333333333345</v>
      </c>
      <c r="M130" s="17" t="s">
        <v>7</v>
      </c>
      <c r="N130" s="27" t="str">
        <f t="shared" si="92"/>
        <v>Y</v>
      </c>
      <c r="O130" s="34"/>
      <c r="P130" s="34">
        <f t="shared" si="93"/>
        <v>0</v>
      </c>
      <c r="Q130" s="20">
        <f t="shared" si="96"/>
        <v>100</v>
      </c>
      <c r="R130" t="s">
        <v>7</v>
      </c>
      <c r="S130" s="21">
        <v>0.46579999999999999</v>
      </c>
    </row>
    <row r="131" spans="1:19" x14ac:dyDescent="0.2">
      <c r="A131" s="4" t="s">
        <v>13</v>
      </c>
      <c r="B131" s="5" t="s">
        <v>12</v>
      </c>
      <c r="C131" s="5" t="s">
        <v>13</v>
      </c>
      <c r="D131" s="6">
        <v>0.66569999999999996</v>
      </c>
      <c r="E131" s="6" t="str">
        <f t="shared" ref="E131:E146" si="97">IF(D131&gt;0.5,C131,IF(C131=B131,A131,B131))</f>
        <v>DEN</v>
      </c>
      <c r="F131" s="5">
        <v>-535</v>
      </c>
      <c r="G131" s="5">
        <v>400</v>
      </c>
      <c r="H131" s="6">
        <f t="shared" ref="H131:H135" si="98">IF(F131&lt;0,D131,1-D131)</f>
        <v>0.66569999999999996</v>
      </c>
      <c r="I131" s="5">
        <f>H131*100*100/-F131+(1-H131)*-100</f>
        <v>-20.987009345794402</v>
      </c>
      <c r="J131" s="5">
        <f>(1-H131)*100*G131/100+H131*-100</f>
        <v>67.150000000000034</v>
      </c>
      <c r="K131" s="42">
        <f t="shared" ref="K131:K146" si="99">(1-(H131+$R$4))*G131-(H131+$R$4)*100</f>
        <v>52.150000000000006</v>
      </c>
      <c r="L131" s="43">
        <f t="shared" ref="L131:L146" si="100">(H131-$R$4)*100*100/-F131+(1-H131+$R$4)*-100</f>
        <v>-24.547757009345801</v>
      </c>
      <c r="M131" s="5" t="s">
        <v>13</v>
      </c>
      <c r="N131" s="25" t="str">
        <f t="shared" ref="N131:N146" si="101">IF(C131=M131,"Y","N")</f>
        <v>Y</v>
      </c>
      <c r="O131" s="32">
        <v>-100</v>
      </c>
      <c r="P131" s="32">
        <f t="shared" ref="P131:P135" si="102">IF(D131&gt;0.65, IF(N131="Y",100^2/-F131, -100), 0)</f>
        <v>18.691588785046729</v>
      </c>
      <c r="Q131" s="15">
        <f>IF(N131="Y",IF(D131&gt;0.5,100^2/-F131,G131),-100)</f>
        <v>18.691588785046729</v>
      </c>
      <c r="R131" t="s">
        <v>13</v>
      </c>
      <c r="S131" s="21">
        <v>0.67300000000000004</v>
      </c>
    </row>
    <row r="132" spans="1:19" x14ac:dyDescent="0.2">
      <c r="A132" s="3" t="s">
        <v>15</v>
      </c>
      <c r="B132" t="s">
        <v>21</v>
      </c>
      <c r="C132" t="s">
        <v>15</v>
      </c>
      <c r="D132" s="2">
        <v>0.85009999999999997</v>
      </c>
      <c r="E132" s="2" t="str">
        <f t="shared" si="97"/>
        <v>MIA</v>
      </c>
      <c r="F132">
        <v>-360</v>
      </c>
      <c r="G132">
        <v>285</v>
      </c>
      <c r="H132" s="30">
        <f t="shared" si="98"/>
        <v>0.85009999999999997</v>
      </c>
      <c r="I132">
        <f t="shared" ref="I132:I135" si="103">H132*100*100/-F132+(1-H132)*-100</f>
        <v>8.6238888888888834</v>
      </c>
      <c r="J132">
        <f t="shared" ref="J132:J135" si="104">(1-H132)*100*G132/100+H132*-100</f>
        <v>-42.288499999999978</v>
      </c>
      <c r="K132" s="44">
        <f t="shared" si="99"/>
        <v>-53.838500000000003</v>
      </c>
      <c r="L132" s="45">
        <f t="shared" si="100"/>
        <v>4.790555555555553</v>
      </c>
      <c r="M132" t="s">
        <v>15</v>
      </c>
      <c r="N132" s="26" t="str">
        <f t="shared" si="101"/>
        <v>Y</v>
      </c>
      <c r="O132" s="33"/>
      <c r="P132" s="33">
        <f t="shared" si="102"/>
        <v>27.777777777777779</v>
      </c>
      <c r="Q132" s="8">
        <f t="shared" ref="Q132:Q135" si="105">IF(N132="Y",IF(D132&gt;0.5,100^2/-F132,G132),-100)</f>
        <v>27.777777777777779</v>
      </c>
      <c r="R132" t="s">
        <v>15</v>
      </c>
      <c r="S132" s="21">
        <v>0.84360000000000002</v>
      </c>
    </row>
    <row r="133" spans="1:19" x14ac:dyDescent="0.2">
      <c r="A133" s="3" t="s">
        <v>37</v>
      </c>
      <c r="B133" t="s">
        <v>35</v>
      </c>
      <c r="C133" t="s">
        <v>37</v>
      </c>
      <c r="D133" s="2">
        <v>0.72540000000000004</v>
      </c>
      <c r="E133" s="2" t="str">
        <f t="shared" si="97"/>
        <v>MIL</v>
      </c>
      <c r="F133">
        <v>-185</v>
      </c>
      <c r="G133">
        <v>154</v>
      </c>
      <c r="H133" s="2">
        <f t="shared" si="98"/>
        <v>0.72540000000000004</v>
      </c>
      <c r="I133">
        <f t="shared" si="103"/>
        <v>11.750810810810819</v>
      </c>
      <c r="J133">
        <f t="shared" si="104"/>
        <v>-30.25160000000001</v>
      </c>
      <c r="K133" s="44">
        <f t="shared" si="99"/>
        <v>-37.871600000000015</v>
      </c>
      <c r="L133" s="45">
        <f t="shared" si="100"/>
        <v>7.1291891891891943</v>
      </c>
      <c r="M133" t="s">
        <v>37</v>
      </c>
      <c r="N133" s="26" t="str">
        <f t="shared" si="101"/>
        <v>Y</v>
      </c>
      <c r="O133" s="33"/>
      <c r="P133" s="33">
        <f t="shared" si="102"/>
        <v>54.054054054054056</v>
      </c>
      <c r="Q133" s="8">
        <f t="shared" si="105"/>
        <v>54.054054054054056</v>
      </c>
      <c r="R133" t="s">
        <v>37</v>
      </c>
      <c r="S133" s="21">
        <v>0.73770000000000002</v>
      </c>
    </row>
    <row r="134" spans="1:19" x14ac:dyDescent="0.2">
      <c r="A134" s="3" t="s">
        <v>10</v>
      </c>
      <c r="B134" t="s">
        <v>42</v>
      </c>
      <c r="C134" t="s">
        <v>10</v>
      </c>
      <c r="D134" s="2">
        <f>100%-61.36%</f>
        <v>0.38639999999999997</v>
      </c>
      <c r="E134" s="2" t="str">
        <f t="shared" si="97"/>
        <v>LAC</v>
      </c>
      <c r="F134">
        <v>-125</v>
      </c>
      <c r="G134">
        <v>105</v>
      </c>
      <c r="H134" s="2">
        <f t="shared" si="98"/>
        <v>0.38639999999999997</v>
      </c>
      <c r="I134">
        <f t="shared" si="103"/>
        <v>-30.448000000000011</v>
      </c>
      <c r="J134">
        <f t="shared" si="104"/>
        <v>25.788000000000018</v>
      </c>
      <c r="K134" s="44">
        <f t="shared" si="99"/>
        <v>19.637999999999998</v>
      </c>
      <c r="L134" s="45">
        <f t="shared" si="100"/>
        <v>-35.847999999999999</v>
      </c>
      <c r="M134" t="s">
        <v>10</v>
      </c>
      <c r="N134" s="26" t="str">
        <f t="shared" si="101"/>
        <v>Y</v>
      </c>
      <c r="O134" s="33">
        <v>105</v>
      </c>
      <c r="P134" s="33">
        <f t="shared" si="102"/>
        <v>0</v>
      </c>
      <c r="Q134" s="8">
        <f t="shared" si="105"/>
        <v>105</v>
      </c>
      <c r="R134" t="s">
        <v>10</v>
      </c>
      <c r="S134" s="21">
        <v>0.60129999999999995</v>
      </c>
    </row>
    <row r="135" spans="1:19" ht="17" thickBot="1" x14ac:dyDescent="0.25">
      <c r="A135" s="16" t="s">
        <v>17</v>
      </c>
      <c r="B135" s="17" t="s">
        <v>41</v>
      </c>
      <c r="C135" s="17" t="s">
        <v>41</v>
      </c>
      <c r="D135" s="18">
        <v>0.70640000000000003</v>
      </c>
      <c r="E135" s="18" t="str">
        <f t="shared" si="97"/>
        <v>PHX</v>
      </c>
      <c r="F135" s="17">
        <v>-600</v>
      </c>
      <c r="G135" s="17">
        <v>440</v>
      </c>
      <c r="H135" s="18">
        <f t="shared" si="98"/>
        <v>0.70640000000000003</v>
      </c>
      <c r="I135" s="17">
        <f t="shared" si="103"/>
        <v>-17.586666666666662</v>
      </c>
      <c r="J135" s="17">
        <f t="shared" si="104"/>
        <v>58.543999999999969</v>
      </c>
      <c r="K135" s="46">
        <f t="shared" si="99"/>
        <v>42.34399999999998</v>
      </c>
      <c r="L135" s="47">
        <f t="shared" si="100"/>
        <v>-21.086666666666666</v>
      </c>
      <c r="M135" s="17" t="s">
        <v>41</v>
      </c>
      <c r="N135" s="27" t="str">
        <f t="shared" si="101"/>
        <v>Y</v>
      </c>
      <c r="O135" s="34">
        <v>-100</v>
      </c>
      <c r="P135" s="34">
        <f t="shared" si="102"/>
        <v>16.666666666666668</v>
      </c>
      <c r="Q135" s="20">
        <f t="shared" si="105"/>
        <v>16.666666666666668</v>
      </c>
      <c r="R135" t="s">
        <v>41</v>
      </c>
      <c r="S135" s="21">
        <v>0.74380000000000002</v>
      </c>
    </row>
    <row r="136" spans="1:19" x14ac:dyDescent="0.2">
      <c r="A136" s="4" t="s">
        <v>38</v>
      </c>
      <c r="B136" s="5" t="s">
        <v>39</v>
      </c>
      <c r="C136" s="5" t="s">
        <v>38</v>
      </c>
      <c r="D136" s="6">
        <v>0.70940000000000003</v>
      </c>
      <c r="E136" s="6" t="str">
        <f t="shared" si="97"/>
        <v>PHI</v>
      </c>
      <c r="F136" s="5">
        <v>-305</v>
      </c>
      <c r="G136" s="5">
        <v>245</v>
      </c>
      <c r="H136" s="6">
        <f>IF(F136&lt;0,D136,1-D136)</f>
        <v>0.70940000000000003</v>
      </c>
      <c r="I136" s="7">
        <f>H136*100*100/-F136+(1-H136)*-100</f>
        <v>-5.8009836065573737</v>
      </c>
      <c r="J136" s="7">
        <f>(1-H136)*100*G136/100+H136*-100</f>
        <v>0.25699999999999079</v>
      </c>
      <c r="K136" s="42">
        <f t="shared" si="99"/>
        <v>-10.093000000000025</v>
      </c>
      <c r="L136" s="43">
        <f t="shared" si="100"/>
        <v>-9.7845901639344284</v>
      </c>
      <c r="M136" s="5" t="s">
        <v>38</v>
      </c>
      <c r="N136" s="5" t="str">
        <f t="shared" si="101"/>
        <v>Y</v>
      </c>
      <c r="O136" s="15"/>
      <c r="P136" s="15">
        <f>IF(D136&gt;0.65, IF(N136="Y",100^2/-F136, -100), 0)</f>
        <v>32.786885245901637</v>
      </c>
      <c r="Q136" s="15">
        <f>IF(N136="Y",IF(D136&gt;0.5,100^2/-F136,G136),-100)</f>
        <v>32.786885245901637</v>
      </c>
      <c r="R136" t="s">
        <v>38</v>
      </c>
      <c r="S136" s="24">
        <v>0.74870000000000003</v>
      </c>
    </row>
    <row r="137" spans="1:19" x14ac:dyDescent="0.2">
      <c r="A137" s="3" t="s">
        <v>9</v>
      </c>
      <c r="B137" t="s">
        <v>8</v>
      </c>
      <c r="C137" t="s">
        <v>9</v>
      </c>
      <c r="D137" s="2">
        <v>0.50729999999999997</v>
      </c>
      <c r="E137" s="2" t="str">
        <f t="shared" si="97"/>
        <v>DAL</v>
      </c>
      <c r="F137">
        <v>-175</v>
      </c>
      <c r="G137">
        <v>145</v>
      </c>
      <c r="H137" s="2">
        <f>IF(F137&lt;0,D137,1-D137)</f>
        <v>0.50729999999999997</v>
      </c>
      <c r="I137" s="14">
        <f>H137*100*100/-F137+(1-H137)*-100</f>
        <v>-20.281428571428574</v>
      </c>
      <c r="J137" s="14">
        <f>(1-H137)*100*G137/100+H137*-100</f>
        <v>20.711500000000008</v>
      </c>
      <c r="K137" s="44">
        <f t="shared" si="99"/>
        <v>13.361499999999999</v>
      </c>
      <c r="L137" s="45">
        <f t="shared" si="100"/>
        <v>-24.995714285714289</v>
      </c>
      <c r="M137" t="s">
        <v>9</v>
      </c>
      <c r="N137" t="str">
        <f t="shared" si="101"/>
        <v>Y</v>
      </c>
      <c r="O137" s="8">
        <v>-100</v>
      </c>
      <c r="P137" s="8">
        <f>IF(D137&gt;0.65, IF(N137="Y",100^2/-F137, -100), 0)</f>
        <v>0</v>
      </c>
      <c r="Q137" s="8">
        <f>IF(N137="Y",IF(D137&gt;0.5,100^2/-F137,G137),-100)</f>
        <v>57.142857142857146</v>
      </c>
      <c r="R137" t="s">
        <v>9</v>
      </c>
      <c r="S137" s="21">
        <v>0.5514</v>
      </c>
    </row>
    <row r="138" spans="1:19" x14ac:dyDescent="0.2">
      <c r="A138" s="3" t="s">
        <v>32</v>
      </c>
      <c r="B138" t="s">
        <v>31</v>
      </c>
      <c r="C138" t="s">
        <v>32</v>
      </c>
      <c r="D138" s="2">
        <v>0.68210000000000004</v>
      </c>
      <c r="E138" s="2" t="str">
        <f t="shared" si="97"/>
        <v>NYK</v>
      </c>
      <c r="F138">
        <v>-250</v>
      </c>
      <c r="G138">
        <v>205</v>
      </c>
      <c r="H138" s="2">
        <f t="shared" ref="H138:H139" si="106">IF(F138&lt;0,D138,1-D138)</f>
        <v>0.68210000000000004</v>
      </c>
      <c r="I138" s="14">
        <f t="shared" ref="I138:I146" si="107">H138*100*100/-F138+(1-H138)*-100</f>
        <v>-4.5059999999999931</v>
      </c>
      <c r="J138" s="14">
        <f t="shared" ref="J138:J146" si="108">(1-H138)*100*G138/100+H138*-100</f>
        <v>-3.0405000000000229</v>
      </c>
      <c r="K138" s="44">
        <f t="shared" si="99"/>
        <v>-12.190500000000021</v>
      </c>
      <c r="L138" s="45">
        <f t="shared" si="100"/>
        <v>-8.705999999999996</v>
      </c>
      <c r="M138" t="s">
        <v>31</v>
      </c>
      <c r="N138" t="str">
        <f t="shared" si="101"/>
        <v>N</v>
      </c>
      <c r="O138" s="8"/>
      <c r="P138" s="8">
        <f t="shared" ref="P138:P146" si="109">IF(D138&gt;0.65, IF(N138="Y",100^2/-F138, -100), 0)</f>
        <v>-100</v>
      </c>
      <c r="Q138" s="8">
        <f t="shared" ref="Q138:Q146" si="110">IF(N138="Y",IF(D138&gt;0.5,100^2/-F138,G138),-100)</f>
        <v>-100</v>
      </c>
      <c r="R138" t="s">
        <v>32</v>
      </c>
      <c r="S138" s="21">
        <v>0.69140000000000001</v>
      </c>
    </row>
    <row r="139" spans="1:19" x14ac:dyDescent="0.2">
      <c r="A139" s="3" t="s">
        <v>29</v>
      </c>
      <c r="B139" t="s">
        <v>6</v>
      </c>
      <c r="C139" t="s">
        <v>29</v>
      </c>
      <c r="D139" s="2">
        <v>0.60409999999999997</v>
      </c>
      <c r="E139" s="2" t="str">
        <f t="shared" si="97"/>
        <v>WAS</v>
      </c>
      <c r="F139">
        <v>-218</v>
      </c>
      <c r="G139">
        <v>180</v>
      </c>
      <c r="H139" s="2">
        <f t="shared" si="106"/>
        <v>0.60409999999999997</v>
      </c>
      <c r="I139" s="14">
        <f t="shared" si="107"/>
        <v>-11.878990825688078</v>
      </c>
      <c r="J139" s="14">
        <f t="shared" si="108"/>
        <v>10.852000000000004</v>
      </c>
      <c r="K139" s="44">
        <f t="shared" si="99"/>
        <v>2.4519999999999982</v>
      </c>
      <c r="L139" s="45">
        <f t="shared" si="100"/>
        <v>-16.255137614678901</v>
      </c>
      <c r="M139" t="s">
        <v>6</v>
      </c>
      <c r="N139" t="str">
        <f t="shared" si="101"/>
        <v>N</v>
      </c>
      <c r="O139" s="8"/>
      <c r="P139" s="8">
        <f t="shared" si="109"/>
        <v>0</v>
      </c>
      <c r="Q139" s="8">
        <f t="shared" si="110"/>
        <v>-100</v>
      </c>
      <c r="R139" t="s">
        <v>29</v>
      </c>
      <c r="S139" s="21">
        <v>0.57779999999999998</v>
      </c>
    </row>
    <row r="140" spans="1:19" x14ac:dyDescent="0.2">
      <c r="A140" s="3" t="s">
        <v>34</v>
      </c>
      <c r="B140" t="s">
        <v>28</v>
      </c>
      <c r="C140" t="s">
        <v>34</v>
      </c>
      <c r="D140" s="2">
        <v>0.68159999999999998</v>
      </c>
      <c r="E140" s="2" t="str">
        <f t="shared" si="97"/>
        <v>ATL</v>
      </c>
      <c r="F140">
        <v>-325</v>
      </c>
      <c r="G140">
        <v>260</v>
      </c>
      <c r="H140" s="2">
        <f>IF(F140&lt;0,D140,1-D140)</f>
        <v>0.68159999999999998</v>
      </c>
      <c r="I140" s="14">
        <f t="shared" si="107"/>
        <v>-10.867692307692312</v>
      </c>
      <c r="J140" s="14">
        <f t="shared" si="108"/>
        <v>14.624000000000024</v>
      </c>
      <c r="K140" s="44">
        <f t="shared" si="99"/>
        <v>3.8239999999999981</v>
      </c>
      <c r="L140" s="45">
        <f t="shared" si="100"/>
        <v>-14.790769230769236</v>
      </c>
      <c r="M140" t="s">
        <v>34</v>
      </c>
      <c r="N140" t="str">
        <f t="shared" si="101"/>
        <v>Y</v>
      </c>
      <c r="O140" s="8"/>
      <c r="P140" s="8">
        <f t="shared" si="109"/>
        <v>30.76923076923077</v>
      </c>
      <c r="Q140" s="8">
        <f t="shared" si="110"/>
        <v>30.76923076923077</v>
      </c>
      <c r="R140" t="s">
        <v>34</v>
      </c>
      <c r="S140" s="21">
        <v>0.69940000000000002</v>
      </c>
    </row>
    <row r="141" spans="1:19" x14ac:dyDescent="0.2">
      <c r="A141" s="3" t="s">
        <v>14</v>
      </c>
      <c r="B141" t="s">
        <v>16</v>
      </c>
      <c r="C141" t="s">
        <v>16</v>
      </c>
      <c r="D141" s="2">
        <v>0.60719999999999996</v>
      </c>
      <c r="E141" s="2" t="str">
        <f t="shared" si="97"/>
        <v>GSW</v>
      </c>
      <c r="F141">
        <v>-285</v>
      </c>
      <c r="G141">
        <v>230</v>
      </c>
      <c r="H141" s="2">
        <f t="shared" ref="H141:H146" si="111">IF(F141&lt;0,D141,1-D141)</f>
        <v>0.60719999999999996</v>
      </c>
      <c r="I141" s="14">
        <f t="shared" si="107"/>
        <v>-17.974736842105266</v>
      </c>
      <c r="J141" s="14">
        <f t="shared" si="108"/>
        <v>29.623999999999995</v>
      </c>
      <c r="K141" s="44">
        <f t="shared" si="99"/>
        <v>19.724000000000004</v>
      </c>
      <c r="L141" s="45">
        <f t="shared" si="100"/>
        <v>-22.027368421052643</v>
      </c>
      <c r="M141" t="s">
        <v>14</v>
      </c>
      <c r="N141" t="str">
        <f t="shared" si="101"/>
        <v>N</v>
      </c>
      <c r="O141" s="8">
        <v>230</v>
      </c>
      <c r="P141" s="8">
        <f t="shared" si="109"/>
        <v>0</v>
      </c>
      <c r="Q141" s="8">
        <f t="shared" si="110"/>
        <v>-100</v>
      </c>
      <c r="R141" t="s">
        <v>16</v>
      </c>
      <c r="S141" s="21">
        <v>0.61909999999999998</v>
      </c>
    </row>
    <row r="142" spans="1:19" x14ac:dyDescent="0.2">
      <c r="A142" s="3" t="s">
        <v>36</v>
      </c>
      <c r="B142" t="s">
        <v>11</v>
      </c>
      <c r="C142" t="s">
        <v>36</v>
      </c>
      <c r="D142" s="2">
        <v>0.68510000000000004</v>
      </c>
      <c r="E142" s="2" t="str">
        <f t="shared" si="97"/>
        <v>CLE</v>
      </c>
      <c r="F142">
        <v>-166</v>
      </c>
      <c r="G142">
        <v>140</v>
      </c>
      <c r="H142" s="2">
        <f t="shared" si="111"/>
        <v>0.68510000000000004</v>
      </c>
      <c r="I142" s="14">
        <f t="shared" si="107"/>
        <v>9.7810843373494052</v>
      </c>
      <c r="J142" s="14">
        <f t="shared" si="108"/>
        <v>-24.424000000000014</v>
      </c>
      <c r="K142" s="44">
        <f t="shared" si="99"/>
        <v>-31.624000000000017</v>
      </c>
      <c r="L142" s="45">
        <f t="shared" si="100"/>
        <v>4.973855421686757</v>
      </c>
      <c r="M142" t="s">
        <v>36</v>
      </c>
      <c r="N142" t="str">
        <f t="shared" si="101"/>
        <v>Y</v>
      </c>
      <c r="O142" s="8"/>
      <c r="P142" s="8">
        <f t="shared" si="109"/>
        <v>60.24096385542169</v>
      </c>
      <c r="Q142" s="8">
        <f t="shared" si="110"/>
        <v>60.24096385542169</v>
      </c>
      <c r="R142" t="s">
        <v>36</v>
      </c>
      <c r="S142" s="21">
        <v>0.6976</v>
      </c>
    </row>
    <row r="143" spans="1:19" x14ac:dyDescent="0.2">
      <c r="A143" s="3" t="s">
        <v>33</v>
      </c>
      <c r="B143" t="s">
        <v>5</v>
      </c>
      <c r="C143" t="s">
        <v>5</v>
      </c>
      <c r="D143" s="2">
        <v>0.72199999999999998</v>
      </c>
      <c r="E143" s="2" t="str">
        <f t="shared" si="97"/>
        <v>BOS</v>
      </c>
      <c r="F143">
        <v>-298</v>
      </c>
      <c r="G143">
        <v>240</v>
      </c>
      <c r="H143" s="2">
        <f t="shared" si="111"/>
        <v>0.72199999999999998</v>
      </c>
      <c r="I143" s="14">
        <f t="shared" si="107"/>
        <v>-3.5718120805369153</v>
      </c>
      <c r="J143" s="14">
        <f t="shared" si="108"/>
        <v>-5.4799999999999898</v>
      </c>
      <c r="K143" s="44">
        <f t="shared" si="99"/>
        <v>-15.680000000000007</v>
      </c>
      <c r="L143" s="45">
        <f t="shared" si="100"/>
        <v>-7.5785234899328948</v>
      </c>
      <c r="M143" t="s">
        <v>5</v>
      </c>
      <c r="N143" t="str">
        <f t="shared" si="101"/>
        <v>Y</v>
      </c>
      <c r="O143" s="8"/>
      <c r="P143" s="8">
        <f t="shared" si="109"/>
        <v>33.557046979865774</v>
      </c>
      <c r="Q143" s="8">
        <f t="shared" si="110"/>
        <v>33.557046979865774</v>
      </c>
      <c r="R143" t="s">
        <v>5</v>
      </c>
      <c r="S143" s="21">
        <v>0.67549999999999999</v>
      </c>
    </row>
    <row r="144" spans="1:19" x14ac:dyDescent="0.2">
      <c r="A144" s="3" t="s">
        <v>30</v>
      </c>
      <c r="B144" t="s">
        <v>15</v>
      </c>
      <c r="C144" t="s">
        <v>15</v>
      </c>
      <c r="D144" s="2">
        <v>0.54190000000000005</v>
      </c>
      <c r="E144" s="2" t="str">
        <f t="shared" si="97"/>
        <v>MIA</v>
      </c>
      <c r="F144">
        <v>-125</v>
      </c>
      <c r="G144">
        <v>105</v>
      </c>
      <c r="H144" s="2">
        <f t="shared" si="111"/>
        <v>0.54190000000000005</v>
      </c>
      <c r="I144" s="14">
        <f t="shared" si="107"/>
        <v>-2.4579999999999913</v>
      </c>
      <c r="J144" s="14">
        <f t="shared" si="108"/>
        <v>-6.0895000000000152</v>
      </c>
      <c r="K144" s="44">
        <f t="shared" si="99"/>
        <v>-12.239500000000014</v>
      </c>
      <c r="L144" s="45">
        <f t="shared" si="100"/>
        <v>-7.8579999999999899</v>
      </c>
      <c r="M144" t="s">
        <v>15</v>
      </c>
      <c r="N144" t="str">
        <f t="shared" si="101"/>
        <v>Y</v>
      </c>
      <c r="O144" s="8"/>
      <c r="P144" s="8">
        <f t="shared" si="109"/>
        <v>0</v>
      </c>
      <c r="Q144" s="8">
        <f t="shared" si="110"/>
        <v>80</v>
      </c>
      <c r="R144" t="s">
        <v>15</v>
      </c>
      <c r="S144" s="21">
        <v>0.55369999999999997</v>
      </c>
    </row>
    <row r="145" spans="1:19" x14ac:dyDescent="0.2">
      <c r="A145" s="3" t="s">
        <v>7</v>
      </c>
      <c r="B145" t="s">
        <v>12</v>
      </c>
      <c r="C145" t="s">
        <v>7</v>
      </c>
      <c r="D145" s="2">
        <v>0.51239999999999997</v>
      </c>
      <c r="E145" s="2" t="str">
        <f t="shared" si="97"/>
        <v>UTA</v>
      </c>
      <c r="F145">
        <v>-265</v>
      </c>
      <c r="G145">
        <v>215</v>
      </c>
      <c r="H145" s="2">
        <f t="shared" si="111"/>
        <v>0.51239999999999997</v>
      </c>
      <c r="I145" s="14">
        <f t="shared" si="107"/>
        <v>-29.424150943396235</v>
      </c>
      <c r="J145" s="14">
        <f t="shared" si="108"/>
        <v>53.594000000000023</v>
      </c>
      <c r="K145" s="44">
        <f t="shared" si="99"/>
        <v>44.143999999999998</v>
      </c>
      <c r="L145" s="45">
        <f t="shared" si="100"/>
        <v>-33.556226415094343</v>
      </c>
      <c r="M145" t="s">
        <v>12</v>
      </c>
      <c r="N145" t="str">
        <f t="shared" si="101"/>
        <v>N</v>
      </c>
      <c r="O145" s="8">
        <v>215</v>
      </c>
      <c r="P145" s="8">
        <f t="shared" si="109"/>
        <v>0</v>
      </c>
      <c r="Q145" s="8">
        <f t="shared" si="110"/>
        <v>-100</v>
      </c>
      <c r="R145" t="s">
        <v>12</v>
      </c>
      <c r="S145" s="21">
        <v>0.52800000000000002</v>
      </c>
    </row>
    <row r="146" spans="1:19" ht="17" thickBot="1" x14ac:dyDescent="0.25">
      <c r="A146" s="16" t="s">
        <v>19</v>
      </c>
      <c r="B146" s="17" t="s">
        <v>40</v>
      </c>
      <c r="C146" s="17" t="s">
        <v>40</v>
      </c>
      <c r="D146" s="18">
        <f>100%-63.72%</f>
        <v>0.36280000000000001</v>
      </c>
      <c r="E146" s="18" t="str">
        <f t="shared" si="97"/>
        <v>LAL</v>
      </c>
      <c r="F146" s="17">
        <v>-112</v>
      </c>
      <c r="G146" s="17">
        <f>100^2/108</f>
        <v>92.592592592592595</v>
      </c>
      <c r="H146" s="18">
        <f t="shared" si="111"/>
        <v>0.36280000000000001</v>
      </c>
      <c r="I146" s="19">
        <f t="shared" si="107"/>
        <v>-31.327142857142853</v>
      </c>
      <c r="J146" s="19">
        <f t="shared" si="108"/>
        <v>22.72</v>
      </c>
      <c r="K146" s="46">
        <f t="shared" si="99"/>
        <v>16.94222222222222</v>
      </c>
      <c r="L146" s="47">
        <f t="shared" si="100"/>
        <v>-37.005714285714284</v>
      </c>
      <c r="M146" s="17" t="s">
        <v>19</v>
      </c>
      <c r="N146" s="17" t="str">
        <f t="shared" si="101"/>
        <v>N</v>
      </c>
      <c r="O146" s="20">
        <v>-100</v>
      </c>
      <c r="P146" s="20">
        <f t="shared" si="109"/>
        <v>0</v>
      </c>
      <c r="Q146" s="20">
        <f t="shared" si="110"/>
        <v>-100</v>
      </c>
      <c r="R146" t="s">
        <v>40</v>
      </c>
      <c r="S146" s="21">
        <f>100%-58.32%</f>
        <v>0.41679999999999995</v>
      </c>
    </row>
    <row r="147" spans="1:19" x14ac:dyDescent="0.2">
      <c r="A147" s="3" t="s">
        <v>38</v>
      </c>
      <c r="B147" t="s">
        <v>13</v>
      </c>
      <c r="C147" t="s">
        <v>38</v>
      </c>
      <c r="D147" s="2">
        <v>0.59740000000000004</v>
      </c>
      <c r="E147" s="2" t="str">
        <f>IF(D147&gt;0.5,C147,IF(C147=B147,A147,B147))</f>
        <v>PHI</v>
      </c>
      <c r="F147">
        <v>-148</v>
      </c>
      <c r="G147">
        <v>124</v>
      </c>
      <c r="H147" s="2">
        <f t="shared" ref="H147:H149" si="112">IF(F147&lt;0,D147,1-D147)</f>
        <v>0.59740000000000004</v>
      </c>
      <c r="I147" s="14">
        <f t="shared" ref="I147:I149" si="113">H147*100*100/-F147+(1-H147)*-100</f>
        <v>0.10486486486486513</v>
      </c>
      <c r="J147" s="14">
        <f t="shared" ref="J147:J149" si="114">(1-H147)*100*G147/100+H147*-100</f>
        <v>-9.8176000000000059</v>
      </c>
      <c r="K147" s="44">
        <f>(1-(H147+$R$4))*G147-(H147+$R$4)*100</f>
        <v>-16.537600000000019</v>
      </c>
      <c r="L147" s="45">
        <f>(H147-$R$4)*100*100/-F147+(1-H147+$R$4)*-100</f>
        <v>-4.9221621621621594</v>
      </c>
      <c r="M147" t="s">
        <v>38</v>
      </c>
      <c r="N147" t="str">
        <f>IF(C147=M147,"Y","N")</f>
        <v>Y</v>
      </c>
      <c r="O147" s="8"/>
      <c r="P147" s="8">
        <f t="shared" ref="P147:P149" si="115">IF(D147&gt;0.65, IF(N147="Y",100^2/-F147, -100), 0)</f>
        <v>0</v>
      </c>
      <c r="Q147" s="8">
        <f t="shared" ref="Q147:Q149" si="116">IF(N147="Y",IF(D147&gt;0.5,100^2/-F147,G147),-100)</f>
        <v>67.567567567567565</v>
      </c>
      <c r="R147" t="s">
        <v>38</v>
      </c>
      <c r="S147" s="21">
        <v>0.59870000000000001</v>
      </c>
    </row>
    <row r="148" spans="1:19" x14ac:dyDescent="0.2">
      <c r="A148" s="3" t="s">
        <v>41</v>
      </c>
      <c r="B148" t="s">
        <v>35</v>
      </c>
      <c r="C148" t="s">
        <v>41</v>
      </c>
      <c r="D148" s="2">
        <v>0.58299999999999996</v>
      </c>
      <c r="E148" s="2" t="str">
        <f>IF(D148&gt;0.5,C148,IF(C148=B148,A148,B148))</f>
        <v>PHX</v>
      </c>
      <c r="F148">
        <v>-180</v>
      </c>
      <c r="G148">
        <v>150</v>
      </c>
      <c r="H148" s="2">
        <f t="shared" si="112"/>
        <v>0.58299999999999996</v>
      </c>
      <c r="I148" s="14">
        <f t="shared" si="113"/>
        <v>-9.3111111111111171</v>
      </c>
      <c r="J148" s="14">
        <f t="shared" si="114"/>
        <v>4.25</v>
      </c>
      <c r="K148" s="44">
        <f>(1-(H148+$R$4))*G148-(H148+$R$4)*100</f>
        <v>-3.2499999999999929</v>
      </c>
      <c r="L148" s="45">
        <f>(H148-$R$4)*100*100/-F148+(1-H148+$R$4)*-100</f>
        <v>-13.977777777777781</v>
      </c>
      <c r="M148" t="s">
        <v>41</v>
      </c>
      <c r="N148" t="str">
        <f>IF(C148=M148,"Y","N")</f>
        <v>Y</v>
      </c>
      <c r="O148" s="8"/>
      <c r="P148" s="8">
        <f t="shared" si="115"/>
        <v>0</v>
      </c>
      <c r="Q148" s="8">
        <f t="shared" si="116"/>
        <v>55.555555555555557</v>
      </c>
      <c r="R148" t="s">
        <v>41</v>
      </c>
      <c r="S148" s="21">
        <v>0.621</v>
      </c>
    </row>
    <row r="149" spans="1:19" ht="17" thickBot="1" x14ac:dyDescent="0.25">
      <c r="A149" s="16" t="s">
        <v>42</v>
      </c>
      <c r="B149" s="17" t="s">
        <v>40</v>
      </c>
      <c r="C149" s="17" t="s">
        <v>42</v>
      </c>
      <c r="D149" s="18">
        <v>0.52410000000000001</v>
      </c>
      <c r="E149" s="18" t="str">
        <f>IF(D149&gt;0.5,C149,IF(C149=B149,A149,B149))</f>
        <v>LAC</v>
      </c>
      <c r="F149" s="17">
        <v>-258</v>
      </c>
      <c r="G149" s="17">
        <v>210</v>
      </c>
      <c r="H149" s="18">
        <f t="shared" si="112"/>
        <v>0.52410000000000001</v>
      </c>
      <c r="I149" s="19">
        <f t="shared" si="113"/>
        <v>-27.276046511627904</v>
      </c>
      <c r="J149" s="19">
        <f t="shared" si="114"/>
        <v>47.528999999999989</v>
      </c>
      <c r="K149" s="46">
        <f>(1-(H149+$R$4))*G149-(H149+$R$4)*100</f>
        <v>38.228999999999992</v>
      </c>
      <c r="L149" s="47">
        <f>(H149-$R$4)*100*100/-F149+(1-H149+$R$4)*-100</f>
        <v>-31.438837209302328</v>
      </c>
      <c r="M149" s="17" t="s">
        <v>40</v>
      </c>
      <c r="N149" s="17" t="str">
        <f>IF(C149=M149,"Y","N")</f>
        <v>N</v>
      </c>
      <c r="O149" s="20">
        <v>-100</v>
      </c>
      <c r="P149" s="20">
        <f t="shared" si="115"/>
        <v>0</v>
      </c>
      <c r="Q149" s="20">
        <f t="shared" si="116"/>
        <v>-100</v>
      </c>
      <c r="R149" t="s">
        <v>42</v>
      </c>
      <c r="S149" s="21">
        <v>0.51819999999999999</v>
      </c>
    </row>
  </sheetData>
  <sortState xmlns:xlrd2="http://schemas.microsoft.com/office/spreadsheetml/2017/richdata2" ref="V2:V149">
    <sortCondition descending="1" ref="V2:V149"/>
  </sortState>
  <conditionalFormatting sqref="E1:E149 E160:E1048576">
    <cfRule type="colorScale" priority="21">
      <colorScale>
        <cfvo type="min"/>
        <cfvo type="max"/>
        <color rgb="FFFCFCFF"/>
        <color rgb="FF63BE7B"/>
      </colorScale>
    </cfRule>
    <cfRule type="colorScale" priority="19">
      <colorScale>
        <cfvo type="percent" val="50"/>
        <cfvo type="percent" val="100"/>
        <color rgb="FFFCFCFF"/>
        <color rgb="FF63BE7B"/>
      </colorScale>
    </cfRule>
  </conditionalFormatting>
  <conditionalFormatting sqref="E10:E19">
    <cfRule type="colorScale" priority="46">
      <colorScale>
        <cfvo type="num" val="0.5"/>
        <cfvo type="num" val="1"/>
        <color rgb="FFFCFCFF"/>
        <color rgb="FF63BE7B"/>
      </colorScale>
    </cfRule>
  </conditionalFormatting>
  <conditionalFormatting sqref="E20:E25">
    <cfRule type="colorScale" priority="42">
      <colorScale>
        <cfvo type="num" val="0.5"/>
        <cfvo type="num" val="1"/>
        <color rgb="FFFCFCFF"/>
        <color rgb="FF63BE7B"/>
      </colorScale>
    </cfRule>
  </conditionalFormatting>
  <conditionalFormatting sqref="E26:E31">
    <cfRule type="colorScale" priority="38">
      <colorScale>
        <cfvo type="num" val="0.5"/>
        <cfvo type="num" val="1"/>
        <color rgb="FFFCFCFF"/>
        <color rgb="FF63BE7B"/>
      </colorScale>
    </cfRule>
  </conditionalFormatting>
  <conditionalFormatting sqref="E32:E39">
    <cfRule type="colorScale" priority="34">
      <colorScale>
        <cfvo type="num" val="0.5"/>
        <cfvo type="num" val="1"/>
        <color rgb="FFFCFCFF"/>
        <color rgb="FF63BE7B"/>
      </colorScale>
    </cfRule>
  </conditionalFormatting>
  <conditionalFormatting sqref="E40:E45">
    <cfRule type="colorScale" priority="30">
      <colorScale>
        <cfvo type="num" val="0.5"/>
        <cfvo type="num" val="1"/>
        <color rgb="FFFCFCFF"/>
        <color rgb="FF63BE7B"/>
      </colorScale>
    </cfRule>
  </conditionalFormatting>
  <conditionalFormatting sqref="E46:E57">
    <cfRule type="colorScale" priority="26">
      <colorScale>
        <cfvo type="num" val="0.5"/>
        <cfvo type="num" val="1"/>
        <color rgb="FFFCFCFF"/>
        <color rgb="FF63BE7B"/>
      </colorScale>
    </cfRule>
  </conditionalFormatting>
  <conditionalFormatting sqref="E58:E59">
    <cfRule type="colorScale" priority="22">
      <colorScale>
        <cfvo type="num" val="0.5"/>
        <cfvo type="num" val="1"/>
        <color rgb="FFFCFCFF"/>
        <color rgb="FF63BE7B"/>
      </colorScale>
    </cfRule>
  </conditionalFormatting>
  <conditionalFormatting sqref="E136:E149">
    <cfRule type="colorScale" priority="6">
      <colorScale>
        <cfvo type="num" val="0.5"/>
        <cfvo type="num" val="1"/>
        <color rgb="FFFCFCFF"/>
        <color rgb="FF63BE7B"/>
      </colorScale>
    </cfRule>
  </conditionalFormatting>
  <conditionalFormatting sqref="I1:I149 I160:I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L1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L2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L31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L3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0:L4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6:L5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8:L5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6:L14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7:L14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L149 J160:L104857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112 I2:L9 L4:L112 K113:L122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3:L1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1:L13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6:L14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7:L14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149 N160:N1048576">
    <cfRule type="cellIs" dxfId="8" priority="14" operator="equal">
      <formula>"Y"</formula>
    </cfRule>
    <cfRule type="cellIs" dxfId="7" priority="15" operator="equal">
      <formula>"""Y"""</formula>
    </cfRule>
  </conditionalFormatting>
  <conditionalFormatting sqref="N2:N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ntainsText" dxfId="6" priority="24" operator="containsText" text="Y">
      <formula>NOT(ISERROR(SEARCH("Y",N2)))</formula>
    </cfRule>
  </conditionalFormatting>
  <conditionalFormatting sqref="N10:N1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N2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3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:N4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:N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6:N1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" priority="5" operator="containsText" text="Y">
      <formula>NOT(ISERROR(SEARCH("Y",N136)))</formula>
    </cfRule>
  </conditionalFormatting>
  <conditionalFormatting sqref="O1:O149 O160:O1048576">
    <cfRule type="cellIs" dxfId="4" priority="13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4052-2A3E-C142-A401-9A72EC7D6B54}">
  <dimension ref="A1:AG13"/>
  <sheetViews>
    <sheetView tabSelected="1" zoomScale="87" workbookViewId="0">
      <selection activeCell="D8" sqref="D8"/>
    </sheetView>
  </sheetViews>
  <sheetFormatPr baseColWidth="10" defaultRowHeight="16" x14ac:dyDescent="0.2"/>
  <cols>
    <col min="1" max="1" width="11.33203125" bestFit="1" customWidth="1"/>
    <col min="2" max="2" width="11" bestFit="1" customWidth="1"/>
    <col min="3" max="3" width="10.5" bestFit="1" customWidth="1"/>
    <col min="4" max="4" width="15.83203125" bestFit="1" customWidth="1"/>
    <col min="5" max="5" width="10.33203125" bestFit="1" customWidth="1"/>
    <col min="6" max="6" width="5.83203125" bestFit="1" customWidth="1"/>
    <col min="7" max="7" width="6.1640625" bestFit="1" customWidth="1"/>
    <col min="8" max="8" width="13.1640625" bestFit="1" customWidth="1"/>
    <col min="9" max="9" width="11.1640625" bestFit="1" customWidth="1"/>
    <col min="10" max="10" width="12.1640625" bestFit="1" customWidth="1"/>
    <col min="11" max="11" width="8.6640625" bestFit="1" customWidth="1"/>
    <col min="12" max="12" width="7.6640625" bestFit="1" customWidth="1"/>
    <col min="13" max="13" width="6.33203125" bestFit="1" customWidth="1"/>
    <col min="14" max="14" width="10.1640625" bestFit="1" customWidth="1"/>
    <col min="15" max="15" width="13.33203125" bestFit="1" customWidth="1"/>
    <col min="16" max="17" width="13.33203125" customWidth="1"/>
    <col min="18" max="18" width="12.33203125" bestFit="1" customWidth="1"/>
    <col min="19" max="19" width="11.1640625" bestFit="1" customWidth="1"/>
    <col min="20" max="20" width="17.83203125" customWidth="1"/>
    <col min="22" max="22" width="14.6640625" bestFit="1" customWidth="1"/>
    <col min="24" max="24" width="17.83203125" style="36" customWidth="1"/>
  </cols>
  <sheetData>
    <row r="1" spans="1:33" ht="17" thickBot="1" x14ac:dyDescent="0.25">
      <c r="A1" s="53" t="s">
        <v>0</v>
      </c>
      <c r="B1" s="50" t="s">
        <v>1</v>
      </c>
      <c r="C1" s="50" t="s">
        <v>2</v>
      </c>
      <c r="D1" s="48" t="s">
        <v>61</v>
      </c>
      <c r="E1" s="48" t="s">
        <v>52</v>
      </c>
      <c r="F1" s="50" t="s">
        <v>26</v>
      </c>
      <c r="G1" s="50" t="s">
        <v>27</v>
      </c>
      <c r="H1" s="48" t="s">
        <v>20</v>
      </c>
      <c r="I1" s="50" t="s">
        <v>3</v>
      </c>
      <c r="J1" s="50" t="s">
        <v>4</v>
      </c>
      <c r="K1" s="50" t="s">
        <v>55</v>
      </c>
      <c r="L1" s="50" t="s">
        <v>57</v>
      </c>
      <c r="M1" s="50" t="s">
        <v>22</v>
      </c>
      <c r="N1" s="50" t="s">
        <v>24</v>
      </c>
      <c r="O1" s="50" t="s">
        <v>76</v>
      </c>
      <c r="P1" s="54" t="s">
        <v>77</v>
      </c>
      <c r="Q1" s="54" t="s">
        <v>67</v>
      </c>
      <c r="R1" s="52" t="s">
        <v>62</v>
      </c>
      <c r="S1" s="55" t="s">
        <v>63</v>
      </c>
      <c r="T1" s="1" t="s">
        <v>64</v>
      </c>
      <c r="V1" s="1" t="s">
        <v>68</v>
      </c>
      <c r="X1" s="57" t="s">
        <v>73</v>
      </c>
      <c r="AF1" s="1" t="s">
        <v>75</v>
      </c>
      <c r="AG1" s="1" t="s">
        <v>79</v>
      </c>
    </row>
    <row r="2" spans="1:33" x14ac:dyDescent="0.2">
      <c r="A2" s="4" t="s">
        <v>38</v>
      </c>
      <c r="B2" s="5" t="s">
        <v>30</v>
      </c>
      <c r="C2" s="5" t="s">
        <v>38</v>
      </c>
      <c r="D2" s="6">
        <v>0.7913</v>
      </c>
      <c r="E2" s="6" t="s">
        <v>38</v>
      </c>
      <c r="F2" s="5">
        <v>-180</v>
      </c>
      <c r="G2" s="5">
        <v>140</v>
      </c>
      <c r="H2" s="2">
        <f>IF(E2=C2,D2,1-D2)</f>
        <v>0.7913</v>
      </c>
      <c r="I2" s="7">
        <f t="shared" ref="I2:I6" si="0">H2*100*100/-F2+(1-H2)*-100</f>
        <v>23.091111111111108</v>
      </c>
      <c r="J2" s="14">
        <f>(1-H2)*100*G2/100+H2*-100</f>
        <v>-49.911999999999992</v>
      </c>
      <c r="K2" s="14">
        <f>(1-(H2+$U$6))*G2-(H2+$U$6)*100</f>
        <v>-57.112000000000009</v>
      </c>
      <c r="L2" s="14">
        <f>(H2-$U$6)*100*100/-F2+(1-H2+$U$6)*-100</f>
        <v>18.424444444444443</v>
      </c>
      <c r="N2" t="str">
        <f t="shared" ref="N2:N6" si="1">IF(C2=M2,"Y","N")</f>
        <v>N</v>
      </c>
      <c r="O2" s="2">
        <f>IF(K2&gt;$U$2,(1-H2),0)</f>
        <v>0</v>
      </c>
      <c r="P2" s="51">
        <f t="shared" ref="P2:P6" si="2">IF(L2&gt;$U$3,H2,0)</f>
        <v>0.7913</v>
      </c>
      <c r="Q2" s="2">
        <f>SUM(O2:P2)/SUM(O$2:P$11)</f>
        <v>1</v>
      </c>
      <c r="R2" s="40">
        <f>IF(K2&gt;=$U$2,IF(M2=E2,-$U$5*O2*Q2,$U$5*O2*G2/100),0)</f>
        <v>0</v>
      </c>
      <c r="S2" s="40">
        <f t="shared" ref="S2:S6" si="3">IF(L2&gt;$U$3,IF(M2=E2,P2*$U$5*100/-F2,-Q2*U$5),0)</f>
        <v>-4.5880000000000001</v>
      </c>
      <c r="T2" s="1" t="s">
        <v>65</v>
      </c>
      <c r="U2" s="36">
        <v>15</v>
      </c>
      <c r="V2" s="1" t="s">
        <v>71</v>
      </c>
      <c r="W2" s="11">
        <f>SUM(R2:R10000)+SUM(S2:S10000)</f>
        <v>-4.5880000000000001</v>
      </c>
      <c r="X2" s="36">
        <v>25</v>
      </c>
      <c r="AF2">
        <f>IF(O2&lt;&gt;0,1-O2,IF(S2&lt;&gt;0,1-P2,1))</f>
        <v>0.2087</v>
      </c>
      <c r="AG2">
        <f>IF(O2&lt;&gt;0,O2,IF(S2&lt;&gt;0,P2,1))</f>
        <v>0.7913</v>
      </c>
    </row>
    <row r="3" spans="1:33" x14ac:dyDescent="0.2">
      <c r="A3" s="3" t="s">
        <v>34</v>
      </c>
      <c r="B3" t="s">
        <v>16</v>
      </c>
      <c r="C3" t="s">
        <v>16</v>
      </c>
      <c r="D3" s="2">
        <v>0.51659999999999995</v>
      </c>
      <c r="E3" s="2" t="s">
        <v>34</v>
      </c>
      <c r="F3">
        <v>-135</v>
      </c>
      <c r="G3">
        <v>114</v>
      </c>
      <c r="H3" s="2">
        <f t="shared" ref="H3:H6" si="4">IF(E3=C3,D3,1-D3)</f>
        <v>0.48340000000000005</v>
      </c>
      <c r="I3" s="14">
        <f t="shared" si="0"/>
        <v>-15.852592592592586</v>
      </c>
      <c r="J3" s="14">
        <f t="shared" ref="J3:J6" si="5">(1-H3)*100*G3/100+H3*-100</f>
        <v>10.552399999999992</v>
      </c>
      <c r="K3" s="14">
        <f t="shared" ref="K3:K6" si="6">(1-(H3+$U$6))*G3-(H3+$U$6)*100</f>
        <v>4.1323999999999828</v>
      </c>
      <c r="L3" s="14">
        <f t="shared" ref="L3:L6" si="7">(H3-$U$6)*100*100/-F3+(1-H3+$U$6)*-100</f>
        <v>-21.074814814814815</v>
      </c>
      <c r="N3" t="str">
        <f t="shared" si="1"/>
        <v>N</v>
      </c>
      <c r="O3" s="2">
        <f t="shared" ref="O3:O6" si="8">IF(K3&gt;$U$2,(1-H3),0)</f>
        <v>0</v>
      </c>
      <c r="P3" s="51">
        <f t="shared" si="2"/>
        <v>0</v>
      </c>
      <c r="Q3" s="2">
        <f t="shared" ref="Q3:Q6" si="9">SUM(O3:P3)/SUM(O$2:P$11)</f>
        <v>0</v>
      </c>
      <c r="R3" s="40">
        <f t="shared" ref="R3:R8" si="10">IF(K3&gt;=$U$2,IF(M3=E3,-$U$5*O3*Q3,$U$5*O3*G3/100),0)</f>
        <v>0</v>
      </c>
      <c r="S3" s="40">
        <f t="shared" si="3"/>
        <v>0</v>
      </c>
      <c r="T3" s="1" t="s">
        <v>66</v>
      </c>
      <c r="U3" s="36">
        <v>14</v>
      </c>
      <c r="V3" s="1" t="s">
        <v>72</v>
      </c>
      <c r="W3" s="24">
        <f>W2/U5</f>
        <v>-1</v>
      </c>
      <c r="X3" s="36">
        <v>26.13</v>
      </c>
      <c r="AF3">
        <f t="shared" ref="AF3:AF11" si="11">IF(O3&lt;&gt;0,1-O3,IF(S3&lt;&gt;0,1-P3,1))</f>
        <v>1</v>
      </c>
      <c r="AG3">
        <f t="shared" ref="AG3:AG11" si="12">IF(O3&lt;&gt;0,O3,IF(S3&lt;&gt;0,P3,1))</f>
        <v>1</v>
      </c>
    </row>
    <row r="4" spans="1:33" x14ac:dyDescent="0.2">
      <c r="A4" s="3" t="s">
        <v>11</v>
      </c>
      <c r="B4" t="s">
        <v>35</v>
      </c>
      <c r="C4" t="s">
        <v>35</v>
      </c>
      <c r="D4" s="2">
        <v>0.55700000000000005</v>
      </c>
      <c r="E4" s="2" t="s">
        <v>11</v>
      </c>
      <c r="F4">
        <v>-125</v>
      </c>
      <c r="G4">
        <v>105</v>
      </c>
      <c r="H4" s="2">
        <f t="shared" si="4"/>
        <v>0.44299999999999995</v>
      </c>
      <c r="I4" s="14">
        <f t="shared" si="0"/>
        <v>-20.260000000000005</v>
      </c>
      <c r="J4" s="14">
        <f t="shared" si="5"/>
        <v>14.185000000000002</v>
      </c>
      <c r="K4" s="14">
        <f t="shared" si="6"/>
        <v>8.0350000000000037</v>
      </c>
      <c r="L4" s="14">
        <f t="shared" si="7"/>
        <v>-25.660000000000018</v>
      </c>
      <c r="N4" t="str">
        <f t="shared" si="1"/>
        <v>N</v>
      </c>
      <c r="O4" s="2">
        <f t="shared" si="8"/>
        <v>0</v>
      </c>
      <c r="P4" s="51">
        <f t="shared" si="2"/>
        <v>0</v>
      </c>
      <c r="Q4" s="2">
        <f t="shared" si="9"/>
        <v>0</v>
      </c>
      <c r="R4" s="40">
        <f t="shared" si="10"/>
        <v>0</v>
      </c>
      <c r="S4" s="40">
        <f t="shared" si="3"/>
        <v>0</v>
      </c>
      <c r="T4" s="1" t="s">
        <v>80</v>
      </c>
      <c r="U4" s="9">
        <v>0.2</v>
      </c>
      <c r="V4" s="1" t="s">
        <v>70</v>
      </c>
      <c r="W4" s="56">
        <v>22.94</v>
      </c>
      <c r="X4" s="36">
        <f>X3+2.89</f>
        <v>29.02</v>
      </c>
      <c r="AF4">
        <f t="shared" si="11"/>
        <v>1</v>
      </c>
      <c r="AG4">
        <f t="shared" si="12"/>
        <v>1</v>
      </c>
    </row>
    <row r="5" spans="1:33" x14ac:dyDescent="0.2">
      <c r="A5" s="3" t="s">
        <v>32</v>
      </c>
      <c r="B5" t="s">
        <v>19</v>
      </c>
      <c r="C5" t="s">
        <v>32</v>
      </c>
      <c r="D5" s="2">
        <v>0.72199999999999998</v>
      </c>
      <c r="E5" s="2" t="s">
        <v>32</v>
      </c>
      <c r="F5">
        <v>-198</v>
      </c>
      <c r="G5">
        <v>164</v>
      </c>
      <c r="H5" s="2">
        <f t="shared" si="4"/>
        <v>0.72199999999999998</v>
      </c>
      <c r="I5" s="14">
        <f t="shared" si="0"/>
        <v>8.6646464646464594</v>
      </c>
      <c r="J5" s="14">
        <f t="shared" si="5"/>
        <v>-26.607999999999997</v>
      </c>
      <c r="K5" s="14">
        <f t="shared" si="6"/>
        <v>-34.528000000000006</v>
      </c>
      <c r="L5" s="14">
        <f t="shared" si="7"/>
        <v>4.1494949494949438</v>
      </c>
      <c r="N5" t="str">
        <f t="shared" si="1"/>
        <v>N</v>
      </c>
      <c r="O5" s="2">
        <f t="shared" si="8"/>
        <v>0</v>
      </c>
      <c r="P5" s="51">
        <f t="shared" si="2"/>
        <v>0</v>
      </c>
      <c r="Q5" s="2">
        <f t="shared" si="9"/>
        <v>0</v>
      </c>
      <c r="R5" s="40">
        <f t="shared" si="10"/>
        <v>0</v>
      </c>
      <c r="S5" s="40">
        <f>IF(L5&gt;$U$3,IF(M5=E5,P5*$U$5*100/-F5,-Q5*U$5),0)</f>
        <v>0</v>
      </c>
      <c r="T5" s="1" t="s">
        <v>81</v>
      </c>
      <c r="U5" s="36">
        <f>U4*W4</f>
        <v>4.5880000000000001</v>
      </c>
      <c r="V5" s="1" t="s">
        <v>74</v>
      </c>
      <c r="W5" s="24">
        <f>PRODUCT(AF2:AF11)</f>
        <v>0.2087</v>
      </c>
      <c r="X5" s="36">
        <f>X4-2.03</f>
        <v>26.99</v>
      </c>
      <c r="AF5">
        <f t="shared" si="11"/>
        <v>1</v>
      </c>
      <c r="AG5">
        <f t="shared" si="12"/>
        <v>1</v>
      </c>
    </row>
    <row r="6" spans="1:33" x14ac:dyDescent="0.2">
      <c r="A6" s="3" t="s">
        <v>9</v>
      </c>
      <c r="B6" t="s">
        <v>37</v>
      </c>
      <c r="C6" t="s">
        <v>37</v>
      </c>
      <c r="D6" s="2">
        <v>0.59909999999999997</v>
      </c>
      <c r="E6" s="2" t="s">
        <v>37</v>
      </c>
      <c r="F6">
        <v>-192</v>
      </c>
      <c r="G6">
        <v>160</v>
      </c>
      <c r="H6" s="2">
        <f t="shared" si="4"/>
        <v>0.59909999999999997</v>
      </c>
      <c r="I6" s="14">
        <f t="shared" si="0"/>
        <v>-8.8868750000000034</v>
      </c>
      <c r="J6" s="14">
        <f t="shared" si="5"/>
        <v>4.2340000000000089</v>
      </c>
      <c r="K6" s="14">
        <f t="shared" si="6"/>
        <v>-3.5659999999999954</v>
      </c>
      <c r="L6" s="14">
        <f t="shared" si="7"/>
        <v>-13.449375000000003</v>
      </c>
      <c r="N6" t="str">
        <f t="shared" si="1"/>
        <v>N</v>
      </c>
      <c r="O6" s="2">
        <f t="shared" si="8"/>
        <v>0</v>
      </c>
      <c r="P6" s="51">
        <f t="shared" si="2"/>
        <v>0</v>
      </c>
      <c r="Q6" s="2">
        <f t="shared" si="9"/>
        <v>0</v>
      </c>
      <c r="R6" s="40">
        <f t="shared" si="10"/>
        <v>0</v>
      </c>
      <c r="S6" s="40">
        <f t="shared" si="3"/>
        <v>0</v>
      </c>
      <c r="T6" s="1" t="s">
        <v>69</v>
      </c>
      <c r="U6" s="39">
        <v>0.03</v>
      </c>
      <c r="V6" s="1" t="s">
        <v>78</v>
      </c>
      <c r="W6" s="24">
        <f>PRODUCT(AG2:AG11)</f>
        <v>0.7913</v>
      </c>
      <c r="X6" s="36">
        <f>X5-2.7</f>
        <v>24.29</v>
      </c>
      <c r="AF6">
        <f t="shared" si="11"/>
        <v>1</v>
      </c>
      <c r="AG6">
        <f t="shared" si="12"/>
        <v>1</v>
      </c>
    </row>
    <row r="7" spans="1:33" x14ac:dyDescent="0.2">
      <c r="A7" s="3" t="s">
        <v>28</v>
      </c>
      <c r="B7" t="s">
        <v>36</v>
      </c>
      <c r="C7" t="s">
        <v>36</v>
      </c>
      <c r="D7" s="2">
        <v>0.8024</v>
      </c>
      <c r="E7" s="2" t="s">
        <v>36</v>
      </c>
      <c r="F7">
        <v>-470</v>
      </c>
      <c r="G7">
        <v>360</v>
      </c>
      <c r="H7" s="2">
        <f t="shared" ref="H7:H8" si="13">IF(E7=C7,D7,1-D7)</f>
        <v>0.8024</v>
      </c>
      <c r="I7" s="14">
        <f t="shared" ref="I7:I8" si="14">H7*100*100/-F7+(1-H7)*-100</f>
        <v>-2.6876595744680856</v>
      </c>
      <c r="J7" s="14">
        <f t="shared" ref="J7:J8" si="15">(1-H7)*100*G7/100+H7*-100</f>
        <v>-9.1039999999999992</v>
      </c>
      <c r="K7" s="14">
        <f t="shared" ref="K7:K8" si="16">(1-(H7+$U$6))*G7-(H7+$U$6)*100</f>
        <v>-22.904000000000018</v>
      </c>
      <c r="L7" s="14">
        <f t="shared" ref="L7:L8" si="17">(H7-$U$6)*100*100/-F7+(1-H7+$U$6)*-100</f>
        <v>-6.3259574468085091</v>
      </c>
      <c r="N7" t="str">
        <f t="shared" ref="N7:N8" si="18">IF(C7=M7,"Y","N")</f>
        <v>N</v>
      </c>
      <c r="O7" s="2">
        <f t="shared" ref="O7:O8" si="19">IF(K7&gt;$U$2,(1-H7),0)</f>
        <v>0</v>
      </c>
      <c r="P7" s="51">
        <f t="shared" ref="P7:P8" si="20">IF(L7&gt;$U$3,H7,0)</f>
        <v>0</v>
      </c>
      <c r="Q7" s="2">
        <f t="shared" ref="Q7:Q8" si="21">SUM(O7:P7)/SUM(O$2:P$11)</f>
        <v>0</v>
      </c>
      <c r="R7" s="40">
        <f t="shared" si="10"/>
        <v>0</v>
      </c>
      <c r="S7" s="40">
        <f t="shared" ref="S7:S8" si="22">IF(L7&gt;$U$3,IF(M7=E7,P7*$U$5*100/-F7,-Q7*U$5),0)</f>
        <v>0</v>
      </c>
      <c r="V7" s="1" t="s">
        <v>82</v>
      </c>
      <c r="W7" s="11">
        <f>SUM(O2:O11)*U5</f>
        <v>0</v>
      </c>
      <c r="X7" s="36">
        <f>X6-1.35</f>
        <v>22.939999999999998</v>
      </c>
      <c r="AF7">
        <f t="shared" si="11"/>
        <v>1</v>
      </c>
      <c r="AG7">
        <f t="shared" si="12"/>
        <v>1</v>
      </c>
    </row>
    <row r="8" spans="1:33" x14ac:dyDescent="0.2">
      <c r="A8" s="3"/>
      <c r="D8" s="2"/>
      <c r="E8" s="2"/>
      <c r="H8" s="2"/>
      <c r="I8" s="14"/>
      <c r="J8" s="14"/>
      <c r="K8" s="14"/>
      <c r="L8" s="14"/>
      <c r="O8" s="2"/>
      <c r="P8" s="51"/>
      <c r="Q8" s="2"/>
      <c r="R8" s="40"/>
      <c r="S8" s="40"/>
      <c r="X8" s="36">
        <f>X7+3.86</f>
        <v>26.799999999999997</v>
      </c>
      <c r="AF8">
        <f t="shared" si="11"/>
        <v>1</v>
      </c>
      <c r="AG8">
        <f t="shared" si="12"/>
        <v>1</v>
      </c>
    </row>
    <row r="9" spans="1:33" x14ac:dyDescent="0.2">
      <c r="A9" s="3"/>
      <c r="D9" s="2"/>
      <c r="E9" s="2"/>
      <c r="H9" s="2"/>
      <c r="I9" s="14"/>
      <c r="J9" s="14"/>
      <c r="K9" s="14"/>
      <c r="L9" s="14"/>
      <c r="O9" s="2"/>
      <c r="P9" s="51"/>
      <c r="Q9" s="2"/>
      <c r="R9" s="40"/>
      <c r="S9" s="40"/>
      <c r="X9" s="36">
        <f>X8-1.57</f>
        <v>25.229999999999997</v>
      </c>
      <c r="AF9">
        <f t="shared" si="11"/>
        <v>1</v>
      </c>
      <c r="AG9">
        <f t="shared" si="12"/>
        <v>1</v>
      </c>
    </row>
    <row r="10" spans="1:33" x14ac:dyDescent="0.2">
      <c r="A10" s="3"/>
      <c r="D10" s="2"/>
      <c r="E10" s="2"/>
      <c r="H10" s="2"/>
      <c r="I10" s="14"/>
      <c r="J10" s="14"/>
      <c r="K10" s="14"/>
      <c r="L10" s="14"/>
      <c r="O10" s="2"/>
      <c r="P10" s="51"/>
      <c r="Q10" s="2"/>
      <c r="R10" s="40"/>
      <c r="S10" s="40"/>
      <c r="X10" s="36">
        <f>X9+2.66</f>
        <v>27.889999999999997</v>
      </c>
      <c r="AF10">
        <f t="shared" si="11"/>
        <v>1</v>
      </c>
      <c r="AG10">
        <f t="shared" si="12"/>
        <v>1</v>
      </c>
    </row>
    <row r="11" spans="1:33" x14ac:dyDescent="0.2">
      <c r="A11" s="3"/>
      <c r="D11" s="2"/>
      <c r="E11" s="2"/>
      <c r="H11" s="2"/>
      <c r="I11" s="14"/>
      <c r="J11" s="14"/>
      <c r="K11" s="14"/>
      <c r="L11" s="14"/>
      <c r="O11" s="2"/>
      <c r="P11" s="51"/>
      <c r="Q11" s="2"/>
      <c r="R11" s="40"/>
      <c r="S11" s="40"/>
      <c r="AF11">
        <f t="shared" si="11"/>
        <v>1</v>
      </c>
      <c r="AG11">
        <f t="shared" si="12"/>
        <v>1</v>
      </c>
    </row>
    <row r="12" spans="1:33" x14ac:dyDescent="0.2">
      <c r="D12" s="2"/>
      <c r="E12" s="30"/>
      <c r="H12" s="2"/>
      <c r="I12" s="14"/>
      <c r="J12" s="14"/>
      <c r="K12" s="14"/>
      <c r="L12" s="14"/>
      <c r="O12" s="2"/>
      <c r="P12" s="51"/>
      <c r="Q12" s="2"/>
      <c r="R12" s="40"/>
      <c r="S12" s="40"/>
    </row>
    <row r="13" spans="1:33" x14ac:dyDescent="0.2">
      <c r="A13" s="3"/>
      <c r="D13" s="2"/>
      <c r="E13" s="30"/>
      <c r="H13" s="2"/>
      <c r="I13" s="14"/>
      <c r="J13" s="14"/>
      <c r="K13" s="14"/>
      <c r="L13" s="14"/>
      <c r="O13" s="2"/>
      <c r="P13" s="51"/>
      <c r="Q13" s="2"/>
      <c r="R13" s="40"/>
      <c r="S13" s="40"/>
    </row>
  </sheetData>
  <conditionalFormatting sqref="E1">
    <cfRule type="colorScale" priority="19">
      <colorScale>
        <cfvo type="min"/>
        <cfvo type="max"/>
        <color rgb="FFFCFCFF"/>
        <color rgb="FF63BE7B"/>
      </colorScale>
    </cfRule>
    <cfRule type="colorScale" priority="18">
      <colorScale>
        <cfvo type="percent" val="50"/>
        <cfvo type="percent" val="100"/>
        <color rgb="FFFCFCFF"/>
        <color rgb="FF63BE7B"/>
      </colorScale>
    </cfRule>
  </conditionalFormatting>
  <conditionalFormatting sqref="E2:E13">
    <cfRule type="colorScale" priority="4">
      <colorScale>
        <cfvo type="num" val="0.5"/>
        <cfvo type="num" val="1"/>
        <color rgb="FFFCFCFF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  <cfRule type="colorScale" priority="11">
      <colorScale>
        <cfvo type="percent" val="50"/>
        <cfvo type="percent" val="100"/>
        <color rgb="FFFCFCFF"/>
        <color rgb="FF63BE7B"/>
      </colorScale>
    </cfRule>
  </conditionalFormatting>
  <conditionalFormatting sqref="I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L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L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L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L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14">
    <cfRule type="cellIs" dxfId="3" priority="7" operator="equal">
      <formula>"Y"</formula>
    </cfRule>
    <cfRule type="cellIs" dxfId="2" priority="8" operator="equal">
      <formula>"""Y"""</formula>
    </cfRule>
  </conditionalFormatting>
  <conditionalFormatting sqref="N2:N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" priority="3" operator="containsText" text="Y">
      <formula>NOT(ISERROR(SEARCH("Y",N2)))</formula>
    </cfRule>
  </conditionalFormatting>
  <conditionalFormatting sqref="R1:S13"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LiveBetting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Rex, Atticus</dc:creator>
  <cp:lastModifiedBy>Rex, Atticus</cp:lastModifiedBy>
  <dcterms:created xsi:type="dcterms:W3CDTF">2023-12-28T13:41:26Z</dcterms:created>
  <dcterms:modified xsi:type="dcterms:W3CDTF">2024-02-04T23:21:19Z</dcterms:modified>
</cp:coreProperties>
</file>