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Namz\Documents\"/>
    </mc:Choice>
  </mc:AlternateContent>
  <xr:revisionPtr revIDLastSave="0" documentId="8_{F4EEB6EE-4FD0-45AC-B247-6303523ED2C6}" xr6:coauthVersionLast="45" xr6:coauthVersionMax="45" xr10:uidLastSave="{00000000-0000-0000-0000-000000000000}"/>
  <bookViews>
    <workbookView xWindow="-108" yWindow="-108" windowWidth="23256" windowHeight="13176" xr2:uid="{9B9C031C-8553-4FA1-BFB5-C58F3B01E333}"/>
  </bookViews>
  <sheets>
    <sheet name="DATA_ful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75" i="1" l="1"/>
  <c r="F75" i="1"/>
  <c r="AG74" i="1"/>
  <c r="G74" i="1"/>
  <c r="F73" i="1"/>
  <c r="X72" i="1"/>
  <c r="I70" i="1"/>
  <c r="AO69" i="1"/>
  <c r="AN69" i="1"/>
  <c r="AM69" i="1"/>
  <c r="AL69" i="1" s="1"/>
  <c r="AC69" i="1"/>
  <c r="AB69" i="1"/>
  <c r="AA69" i="1"/>
  <c r="X69" i="1"/>
  <c r="U68" i="1"/>
  <c r="F68" i="1"/>
  <c r="U67" i="1"/>
  <c r="F67" i="1"/>
  <c r="F66" i="1"/>
  <c r="F65" i="1"/>
  <c r="X56" i="1"/>
  <c r="AM55" i="1"/>
  <c r="AH55" i="1"/>
  <c r="AA55" i="1"/>
  <c r="K54" i="1"/>
  <c r="X51" i="1"/>
  <c r="K51" i="1"/>
  <c r="I51" i="1"/>
  <c r="AQ49" i="1"/>
  <c r="AM49" i="1"/>
  <c r="AA49" i="1"/>
  <c r="X49" i="1"/>
  <c r="AQ48" i="1"/>
  <c r="AM48" i="1"/>
  <c r="AA48" i="1"/>
  <c r="X48" i="1"/>
  <c r="AQ47" i="1"/>
  <c r="AM47" i="1"/>
  <c r="AA47" i="1"/>
  <c r="X47" i="1"/>
  <c r="K46" i="1"/>
  <c r="I45" i="1"/>
  <c r="K44" i="1"/>
  <c r="AM43" i="1"/>
  <c r="AA43" i="1"/>
  <c r="I43" i="1"/>
  <c r="F40" i="1"/>
  <c r="AM39" i="1"/>
  <c r="AA39" i="1"/>
  <c r="X35" i="1"/>
  <c r="AM29" i="1"/>
  <c r="K29" i="1"/>
  <c r="X22" i="1"/>
  <c r="AQ21" i="1"/>
  <c r="X21" i="1"/>
  <c r="K21" i="1"/>
  <c r="AM19" i="1"/>
  <c r="AG19" i="1"/>
  <c r="I19" i="1"/>
  <c r="AM16" i="1"/>
  <c r="AH16" i="1"/>
  <c r="AA16" i="1"/>
  <c r="X14" i="1"/>
  <c r="G14" i="1"/>
  <c r="X13" i="1"/>
  <c r="G13" i="1"/>
  <c r="F12" i="1"/>
  <c r="K11" i="1"/>
  <c r="I11" i="1"/>
  <c r="F9" i="1"/>
  <c r="AN8" i="1"/>
  <c r="K8" i="1"/>
  <c r="I8" i="1"/>
  <c r="I7" i="1"/>
  <c r="I5" i="1"/>
</calcChain>
</file>

<file path=xl/sharedStrings.xml><?xml version="1.0" encoding="utf-8"?>
<sst xmlns="http://schemas.openxmlformats.org/spreadsheetml/2006/main" count="1874" uniqueCount="349">
  <si>
    <t>DISEASE</t>
  </si>
  <si>
    <t>PATHOGEN</t>
  </si>
  <si>
    <t>CONTAGIOUSNESS</t>
  </si>
  <si>
    <t>DEADLINESS</t>
  </si>
  <si>
    <t>NOTORIETY</t>
  </si>
  <si>
    <t>INFECTION</t>
  </si>
  <si>
    <t xml:space="preserve">INCIDENCE  </t>
  </si>
  <si>
    <t>PREVALENCE</t>
  </si>
  <si>
    <t>DALYs</t>
  </si>
  <si>
    <t>FATALITIES</t>
  </si>
  <si>
    <t>OTHER INFO</t>
  </si>
  <si>
    <t>ID</t>
  </si>
  <si>
    <t>Name</t>
  </si>
  <si>
    <t>Sublabel</t>
  </si>
  <si>
    <t>Pathogen_type</t>
  </si>
  <si>
    <t>Biosafety</t>
  </si>
  <si>
    <t>Survive_surfaces</t>
  </si>
  <si>
    <t>Survive_ideal</t>
  </si>
  <si>
    <t>R0</t>
  </si>
  <si>
    <t>CFR_adult</t>
  </si>
  <si>
    <t>CFR_adult_grp</t>
  </si>
  <si>
    <t>CFR_child</t>
  </si>
  <si>
    <t>Hits</t>
  </si>
  <si>
    <t>Hits_news</t>
  </si>
  <si>
    <t>I_news</t>
  </si>
  <si>
    <t>I_yucky</t>
  </si>
  <si>
    <t>I_fear</t>
  </si>
  <si>
    <t>I_ignored</t>
  </si>
  <si>
    <t>I_attention</t>
  </si>
  <si>
    <t>I_notoriety</t>
  </si>
  <si>
    <t>Mode</t>
  </si>
  <si>
    <t>Dose</t>
  </si>
  <si>
    <t>Dose_grp</t>
  </si>
  <si>
    <t>Dose_type</t>
  </si>
  <si>
    <t>Incubation</t>
  </si>
  <si>
    <t>Incubation_range</t>
  </si>
  <si>
    <t>Incidence</t>
  </si>
  <si>
    <t>Incidence_raw</t>
  </si>
  <si>
    <t>Incidence_US</t>
  </si>
  <si>
    <t>Incidence_Eur</t>
  </si>
  <si>
    <t>Incidence_Af</t>
  </si>
  <si>
    <t>Prevalence</t>
  </si>
  <si>
    <t>Prevalence_raw</t>
  </si>
  <si>
    <t>DALYs_raw</t>
  </si>
  <si>
    <t>DALYs_US</t>
  </si>
  <si>
    <t>DALYs_Eur</t>
  </si>
  <si>
    <t>DALYs_Af</t>
  </si>
  <si>
    <t>Fatal</t>
  </si>
  <si>
    <t>Fatal_raw</t>
  </si>
  <si>
    <t>Fatal_US</t>
  </si>
  <si>
    <t>Fatal_Eur</t>
  </si>
  <si>
    <t>Fatal_Af</t>
  </si>
  <si>
    <t>Peak</t>
  </si>
  <si>
    <t>Peak_year</t>
  </si>
  <si>
    <t>Vulnerable</t>
  </si>
  <si>
    <t>Hotspots</t>
  </si>
  <si>
    <t>Treatment</t>
  </si>
  <si>
    <t>Effectiveness</t>
  </si>
  <si>
    <t>Resistance</t>
  </si>
  <si>
    <t>Disease ID number, 1-78.</t>
  </si>
  <si>
    <t>Disease name.</t>
  </si>
  <si>
    <t>Disease type, or whether treated / untreated.</t>
  </si>
  <si>
    <t>Virus, bacterium or parasite.</t>
  </si>
  <si>
    <t>Biosafety containment / hazard level from 1 to 4. Higher number is more hazardous, more precautions required.</t>
  </si>
  <si>
    <t>Max. survival time on surfaces, days</t>
  </si>
  <si>
    <t>Max. survival in ideal conditions outside host or vector (ie. blood, faeces), days</t>
  </si>
  <si>
    <t>Basic reproduction number, average estimate. Normally mean of extreme estimates.</t>
  </si>
  <si>
    <t>Adult case fatality rate (CFR): % of those who contract the disease who die from it. Adults or, if adult data not available, all people.</t>
  </si>
  <si>
    <t>Adult CFR grouped into seven categories: Virtually zero (CFR &lt; 0.1%), very low (0.1% &lt;  1%), low (1% &lt; 10%), moderate (10% &lt; 50%), high (50% &lt; 80%), very high (80% &lt; 100%) and virtually certain (~100%).</t>
  </si>
  <si>
    <t>Child case fatality rate (CFR), %. Age cutoff varies (where GHDX is source: always 14 and under)</t>
  </si>
  <si>
    <t>Hits on google.co.uk, retrieved Jan 2018</t>
  </si>
  <si>
    <t>Hits on google.co.uk, News, date range 2000-2018, data retreived 3/1/2018</t>
  </si>
  <si>
    <t>Inflammation rating 1: MOST NEWS ATTENTION. News hits as % general hits</t>
  </si>
  <si>
    <t>Inflammation rating 2: MOST YUCKY. Google news hits per annual death</t>
  </si>
  <si>
    <t>Inflammation rating 3: MOST FEAR INDUCING. Google hits per annual death</t>
  </si>
  <si>
    <t>Press vs Contagiousness: MOST IGNORED. Contagiousness / news hits (higher = most ignored)</t>
  </si>
  <si>
    <t>Press vs Incidence: OVER ATTENTION</t>
  </si>
  <si>
    <t>Notoriety to fatalities rate ratio. Google hits / world case fatality rate</t>
  </si>
  <si>
    <t>Primary mode of transmission: air droplets, bites, body fluids, fecal-oral, food and water, other</t>
  </si>
  <si>
    <t>Minimum infectious dose - minimum pathogen particles required to infect someone (or an animal, where noted)</t>
  </si>
  <si>
    <t>Minimum infectious dose grouped - minimum pathogen particles required to infect someone (or an animal, where noted). Grouped into log10 categories 1, 10, 100 etc.</t>
  </si>
  <si>
    <t>Human or animal. Was min. infectious dose ascertained in human or animal studies?</t>
  </si>
  <si>
    <t>Incubation period, average number of days</t>
  </si>
  <si>
    <t>Incubation period, range in days (from X to Y days), plus notes</t>
  </si>
  <si>
    <t>New cases of disease per year for latest available year, global, millions, rounded</t>
  </si>
  <si>
    <t>New cases of disease per year for latest available year, global, not rounded</t>
  </si>
  <si>
    <t>New cases of disease per year for latest available year, United States</t>
  </si>
  <si>
    <t>New cases of disease per year for latest available year, Europe</t>
  </si>
  <si>
    <t>New cases of disease per year for latest available year, Africa</t>
  </si>
  <si>
    <t>Number of current cases, global, rounded, in millions</t>
  </si>
  <si>
    <t>Number of current cases, global, not rounded</t>
  </si>
  <si>
    <t>Disability-adjusted life years: Years per year lived with disease or lost to early mortality. Global, millions, rounded.</t>
  </si>
  <si>
    <t>Disability-adjusted life years: Years per year lived with disease or lost to early mortality. Global, not rounded.</t>
  </si>
  <si>
    <t>Disability-adjusted life years: Years per year lived with disease or lost to early mortality. United States</t>
  </si>
  <si>
    <t>Disability-adjusted life years: Years per year lived with disease or lost to early mortality. Europe</t>
  </si>
  <si>
    <t>Disability-adjusted life years: Years per year lived with disease or lost to early mortality. Africa</t>
  </si>
  <si>
    <t>Deaths per year: average or latest year. Global, rounded (not in millions)</t>
  </si>
  <si>
    <t>Deaths per year: average or latest year. Global, not rounded.</t>
  </si>
  <si>
    <t>Deaths per year: average or latest year. United States.</t>
  </si>
  <si>
    <t>Deaths per year: average or latest year. Europe.</t>
  </si>
  <si>
    <t>Deaths per year: average or latest year. Africa.</t>
  </si>
  <si>
    <t>Peak fatalities: highest deaths in worst historical year of outbreak. Global except where noted</t>
  </si>
  <si>
    <t>Year of peak fatalities</t>
  </si>
  <si>
    <t>Most vulnerable populations. Who gets infected the most?</t>
  </si>
  <si>
    <t>Geographical hotspots of disease: nations, areas</t>
  </si>
  <si>
    <t>Primary treatment</t>
  </si>
  <si>
    <t>How effective is the treatment listed?</t>
  </si>
  <si>
    <t>Any resistance of pathogen to treatment noted?</t>
  </si>
  <si>
    <t>Anthrax</t>
  </si>
  <si>
    <t>(cutaneous, untreated)</t>
  </si>
  <si>
    <t>bacterium</t>
  </si>
  <si>
    <t>-</t>
  </si>
  <si>
    <t>Moderate</t>
  </si>
  <si>
    <t>air droplets</t>
  </si>
  <si>
    <t>human</t>
  </si>
  <si>
    <t>Antibiotics: Penicillin, ciprofloxacin (and other quinolones), doxicyclin, ampicillin, imipenem, clindamycin, clarithromycin, vancomycin, chloramphenicol, rifampicin are effective antimicrobials.</t>
  </si>
  <si>
    <t>(gastrointestinal)</t>
  </si>
  <si>
    <t>High</t>
  </si>
  <si>
    <t>1979 outbreak, Soviet Union</t>
  </si>
  <si>
    <t>(inhalation)</t>
  </si>
  <si>
    <t>Very high</t>
  </si>
  <si>
    <t>C. difficile</t>
  </si>
  <si>
    <t>Low</t>
  </si>
  <si>
    <t>fecal-oral</t>
  </si>
  <si>
    <t>varies</t>
  </si>
  <si>
    <t>US only, 2011</t>
  </si>
  <si>
    <t>Older adults in hospitals or long-term care facilities who take broad-spectrum antibiotics</t>
  </si>
  <si>
    <t>Campylobacter</t>
  </si>
  <si>
    <t>Virtually zero</t>
  </si>
  <si>
    <t>food and water</t>
  </si>
  <si>
    <t xml:space="preserve">Chickenpox </t>
  </si>
  <si>
    <t>(inc. shingles)</t>
  </si>
  <si>
    <t>virus</t>
  </si>
  <si>
    <t>10-21</t>
  </si>
  <si>
    <t>Chikungunya</t>
  </si>
  <si>
    <t>Very low</t>
  </si>
  <si>
    <t>bites</t>
  </si>
  <si>
    <t>Documented in around 40 countries, mainly Asia and Africa. Outbreak in Italy.</t>
  </si>
  <si>
    <t>No antivirals available. Some drugs have been shown to reduce CHIKV virus in the lab. (interferon-α2b, glycyrrhizin, 6-azauridine and ribavirin)</t>
  </si>
  <si>
    <t>Cholera</t>
  </si>
  <si>
    <t>Oral rehydration therapy. Preventable with sanitation and water treatment.</t>
  </si>
  <si>
    <t>Common cold</t>
  </si>
  <si>
    <t>Dengue fever</t>
  </si>
  <si>
    <t>3-15</t>
  </si>
  <si>
    <t>(severe, untreated)</t>
  </si>
  <si>
    <t>Diphtheria</t>
  </si>
  <si>
    <t>body fluids</t>
  </si>
  <si>
    <t>US only, 1921</t>
  </si>
  <si>
    <t>Children</t>
  </si>
  <si>
    <t>E. coli</t>
  </si>
  <si>
    <t>Ebola</t>
  </si>
  <si>
    <t>2015</t>
  </si>
  <si>
    <t>Echinococcosis</t>
  </si>
  <si>
    <t>(cystic)</t>
  </si>
  <si>
    <t>parasite</t>
  </si>
  <si>
    <t>365-7300</t>
  </si>
  <si>
    <t>Drugs: benzimidazole compounds such as albendazole</t>
  </si>
  <si>
    <t>In most patients, cysts can be completely eliminated using these drugs</t>
  </si>
  <si>
    <t>(alveolar)</t>
  </si>
  <si>
    <t>China (&gt;90% of cases)</t>
  </si>
  <si>
    <t>Drugs: mebendazole, albendazole, praziquantel</t>
  </si>
  <si>
    <t>Guinea worm disease</t>
  </si>
  <si>
    <t>360-540</t>
  </si>
  <si>
    <t>1986</t>
  </si>
  <si>
    <t>Those who use open stagnant water sources such as ponds</t>
  </si>
  <si>
    <t>Africa</t>
  </si>
  <si>
    <t>None - prevention only</t>
  </si>
  <si>
    <t>Easy to prevent by filtering or treating drinking water to remove fleas</t>
  </si>
  <si>
    <t xml:space="preserve">Hand, foot &amp; mouth </t>
  </si>
  <si>
    <t>China, 2008-13 outbreak, average per year</t>
  </si>
  <si>
    <t>Vaccines against HFMD caused by EV71 approved 2015 and 2016</t>
  </si>
  <si>
    <t>Hantavirus</t>
  </si>
  <si>
    <t>9-33 for pulmonary syndrome, 12-21 for haemorrhagic fever</t>
  </si>
  <si>
    <t>North and South America</t>
  </si>
  <si>
    <t>Helminthiasis (soil-transmitted helminths)</t>
  </si>
  <si>
    <t>7-730</t>
  </si>
  <si>
    <t>Hepatitis A</t>
  </si>
  <si>
    <t>(acute)</t>
  </si>
  <si>
    <t>15-50</t>
  </si>
  <si>
    <t>Drug users, travellers, gay men</t>
  </si>
  <si>
    <t>Developing countries: Central and South America, Africa, India, Middle East and Asia</t>
  </si>
  <si>
    <t>Hepatitis B</t>
  </si>
  <si>
    <t>animal</t>
  </si>
  <si>
    <t>60-90</t>
  </si>
  <si>
    <t>HIV</t>
  </si>
  <si>
    <t>(treated)</t>
  </si>
  <si>
    <t>7-42</t>
  </si>
  <si>
    <t>2005</t>
  </si>
  <si>
    <t xml:space="preserve">HIV </t>
  </si>
  <si>
    <t>(untreated)</t>
  </si>
  <si>
    <t>Bird flu</t>
  </si>
  <si>
    <t>2006</t>
  </si>
  <si>
    <t>Those in areas with infected wild rodents or domestic animals</t>
  </si>
  <si>
    <t>Antibiotics: streptomycin, gentamycin, chloramphenicol</t>
  </si>
  <si>
    <t>Effective if treatment begins within 24-36 hours of onset</t>
  </si>
  <si>
    <t>Seasonal flu</t>
  </si>
  <si>
    <t>Pregnant women, children under 59 months, the elderly, individuals with chronic medical conditions</t>
  </si>
  <si>
    <t>Spanish flu</t>
  </si>
  <si>
    <t>1918-19</t>
  </si>
  <si>
    <t>Swine flu</t>
  </si>
  <si>
    <t>2009</t>
  </si>
  <si>
    <t xml:space="preserve">Leishmaniasis </t>
  </si>
  <si>
    <t>(all)</t>
  </si>
  <si>
    <t>14-56</t>
  </si>
  <si>
    <t>Malnourished people, migrants or those living near them, those affected by climate change, children under 15</t>
  </si>
  <si>
    <t>Recent epidemics of cutaneous leishmaniasis in Pakistan (since 2004), Iran (2003), Chad (2007) and Syria.</t>
  </si>
  <si>
    <t>Resistance against sodium antimony gluconate has been documented for all species</t>
  </si>
  <si>
    <t>Leishmaniasis</t>
  </si>
  <si>
    <t>(visceral, untreated)</t>
  </si>
  <si>
    <t>60-180</t>
  </si>
  <si>
    <t>Recent epidemics of visceral leishmaniasis in Ethiopia (2005-06), Kenya (2008) and Southern Sudan (2009-2012).</t>
  </si>
  <si>
    <t>Leprosy</t>
  </si>
  <si>
    <t>1095-1825</t>
  </si>
  <si>
    <t>Multidrug therapy: dapsone, rifampicin, Clofazimine</t>
  </si>
  <si>
    <t>Some resistance to dapsone</t>
  </si>
  <si>
    <t>Lyme disease</t>
  </si>
  <si>
    <t>3-32 after tick bite</t>
  </si>
  <si>
    <t xml:space="preserve">Hikers. </t>
  </si>
  <si>
    <t>B. burgdorferi endemic in USA, one area of Canada; Europe, Soviet Union and independant states, Australia, China and Japan</t>
  </si>
  <si>
    <t>Antibiotics. Doxycycline (adults) and amoxicillin (adults and children &lt; 9 years); erythromycin for those allergic to penicillins or tetracyclines</t>
  </si>
  <si>
    <t>Lymphatic filariasis</t>
  </si>
  <si>
    <t>150-540</t>
  </si>
  <si>
    <t>Drug: Diethylcarbamazine is drug of choice. Also ivermectin, albendazole, and doxycycline. Preventive chemotherapy</t>
  </si>
  <si>
    <t xml:space="preserve">Limited. Diethylcarbamazine has a limited action against adult worms. </t>
  </si>
  <si>
    <t>None reported</t>
  </si>
  <si>
    <t>Malaria</t>
  </si>
  <si>
    <t>(P. falciparum)</t>
  </si>
  <si>
    <t>9-14</t>
  </si>
  <si>
    <t>2004</t>
  </si>
  <si>
    <t>Marburg virus disease</t>
  </si>
  <si>
    <t>Healthcare workers</t>
  </si>
  <si>
    <t>Uganda, Angola, DRC</t>
  </si>
  <si>
    <t>None yet proven</t>
  </si>
  <si>
    <t>Measles</t>
  </si>
  <si>
    <t>8-14</t>
  </si>
  <si>
    <t>before 1963</t>
  </si>
  <si>
    <t>Meningitis</t>
  </si>
  <si>
    <t>(meningococcal, treated)</t>
  </si>
  <si>
    <t>Babies, preschool children, young people</t>
  </si>
  <si>
    <t>The 'meningitis belt' – an area of sub-Saharan Africa stretching from Senegal to Ethiopia</t>
  </si>
  <si>
    <t>Antibiotics including penicillin, ampicillin and ceftriaxone</t>
  </si>
  <si>
    <t>Limited.</t>
  </si>
  <si>
    <t xml:space="preserve">Meningitis </t>
  </si>
  <si>
    <t>(meningococcal, untreated)</t>
  </si>
  <si>
    <t xml:space="preserve">Limited. </t>
  </si>
  <si>
    <t>MERS</t>
  </si>
  <si>
    <t>2-14, median 5</t>
  </si>
  <si>
    <t>2013-14</t>
  </si>
  <si>
    <t>Males above the age of 60 with underlying conditions, such as diabetes, high blood pressure and kidney failure, are at a higher risk of severe disease, including death.</t>
  </si>
  <si>
    <t>Saudi Arabia: Between 2012 and 21 July 2017, 2040 laboratory-confirmed cases of Middle East respiratory syndrome infection were reported to WHO, 82% of whom were reported by the Kingdom of Saudi Arabia .</t>
  </si>
  <si>
    <t>MRSA</t>
  </si>
  <si>
    <t>other</t>
  </si>
  <si>
    <t>2014</t>
  </si>
  <si>
    <t>Mumps</t>
  </si>
  <si>
    <t>12-25</t>
  </si>
  <si>
    <t>Norovirus</t>
  </si>
  <si>
    <t>0.5-2</t>
  </si>
  <si>
    <t>Plague</t>
  </si>
  <si>
    <t>(bubonic, treated)</t>
  </si>
  <si>
    <t>1-7</t>
  </si>
  <si>
    <t>Europe, 1347-1353</t>
  </si>
  <si>
    <t xml:space="preserve">Plague </t>
  </si>
  <si>
    <t>(bubonic, untreated)</t>
  </si>
  <si>
    <t>(pneumonic, untreated)</t>
  </si>
  <si>
    <t>Virtually certain</t>
  </si>
  <si>
    <t>1-4</t>
  </si>
  <si>
    <t xml:space="preserve">Pneumonia </t>
  </si>
  <si>
    <t>(pneumococcal)</t>
  </si>
  <si>
    <t>1-3</t>
  </si>
  <si>
    <t xml:space="preserve">Polio </t>
  </si>
  <si>
    <t>(paralytic)</t>
  </si>
  <si>
    <t>3-6 days for nonparalytic, 7-21 for paralytic; second source says 7-14, doesn't specify type</t>
  </si>
  <si>
    <t>1988</t>
  </si>
  <si>
    <t>As of 2017 the virus remains in circulation in only three countries in the world – Afghanistan, Pakistan and Nigeria</t>
  </si>
  <si>
    <t xml:space="preserve">Rabies </t>
  </si>
  <si>
    <t>30-90</t>
  </si>
  <si>
    <t>Asia and Africa. India has the highest rate of human rabies in the world, primarily because of stray dogs,[83] whose number has greatly increased since a 2001 law forbade the killing of dogs.[84] Effective control and treatment of rabies in India is also hindered by a form of mass hysteria known as puppy pregnancy syndrome (PPS). Dog bite victims with PPS (both male and female) become convinced that puppies are growing inside them, and often seek help from faith healers rather than from conventional medical services.[85] An estimated 20,000 people die every year from rabies in India — more than a third of the global toll.[84]</t>
  </si>
  <si>
    <t>Vaccine, washing the wound</t>
  </si>
  <si>
    <t>Vaccine given before onset of symptoms is 100% effective</t>
  </si>
  <si>
    <t>Rabies</t>
  </si>
  <si>
    <t>Rotavirus</t>
  </si>
  <si>
    <t>0.5-3</t>
  </si>
  <si>
    <t>2000 (not peak fatality year, but a baseline for comparison)</t>
  </si>
  <si>
    <t>Four countries (India, Nigeria, Pakistan, and Democratic Republic of Congo) accounted for approximately half (49%) of all estimated rotavirus deaths in 2013</t>
  </si>
  <si>
    <t>Salmonella</t>
  </si>
  <si>
    <t>0.5-1.5</t>
  </si>
  <si>
    <t>SARS</t>
  </si>
  <si>
    <t>2-7 days, sometimes as long as 10; second source says 3-5</t>
  </si>
  <si>
    <t>2003</t>
  </si>
  <si>
    <t xml:space="preserve">Scarlet fever </t>
  </si>
  <si>
    <t>(severe / untreated)</t>
  </si>
  <si>
    <t>Antibiotics</t>
  </si>
  <si>
    <t>Certain strains of the bacterium have been found to resistant to macrolides, lincomycin, chloramphenicol, tetracyclines and cotrimoxazole</t>
  </si>
  <si>
    <t>Schistosomiasis</t>
  </si>
  <si>
    <t>14-84</t>
  </si>
  <si>
    <t>2000</t>
  </si>
  <si>
    <t>Tropical and subtropical areas of Africa, Asia, South America. 92% of those requiring treatment live in Africa.</t>
  </si>
  <si>
    <t>Shigellosis</t>
  </si>
  <si>
    <t>1-7 days, usually 1-3 days, second source says 2-3 days</t>
  </si>
  <si>
    <t>1967-1997</t>
  </si>
  <si>
    <t xml:space="preserve">Sleeping sickness </t>
  </si>
  <si>
    <t>(Rhodesian, treated)</t>
  </si>
  <si>
    <t>3-21</t>
  </si>
  <si>
    <t>People in rural areas</t>
  </si>
  <si>
    <t>Sub-Saharan Africa; 70% of reported cases in last 10 years in Democratic Republic of Congo</t>
  </si>
  <si>
    <t>Smallpox</t>
  </si>
  <si>
    <t>7-17</t>
  </si>
  <si>
    <t>1950</t>
  </si>
  <si>
    <t>Syphilis</t>
  </si>
  <si>
    <t>14-28</t>
  </si>
  <si>
    <t>Tuberculosis</t>
  </si>
  <si>
    <t>28-84</t>
  </si>
  <si>
    <t xml:space="preserve">Tuberculosis </t>
  </si>
  <si>
    <t xml:space="preserve">Typhoid </t>
  </si>
  <si>
    <t>15-21</t>
  </si>
  <si>
    <t>Antibiotics such as Ciprofloxacin</t>
  </si>
  <si>
    <t>Resistant strains have been discovered</t>
  </si>
  <si>
    <t>vCJD</t>
  </si>
  <si>
    <t>prion</t>
  </si>
  <si>
    <t>Around 10 years</t>
  </si>
  <si>
    <t>West Nile fever</t>
  </si>
  <si>
    <t>Whooping cough</t>
  </si>
  <si>
    <t>6-20</t>
  </si>
  <si>
    <t>Children. Adults occasionally affected</t>
  </si>
  <si>
    <t>More than 50% of deaths in Africa</t>
  </si>
  <si>
    <t>Antibiotics. Susceptible to erythromycin, macrolides such as azithromycin and clarithromycin, trimethoprim-sulfamethoxazole, floroquinoles such as ciprofloxacin, levofloxacin, and gemifloxacin</t>
  </si>
  <si>
    <t>Erythromycin resistant strains have been reported since 1994, but the resistance does not seem to be spreading</t>
  </si>
  <si>
    <t>Yellow fever</t>
  </si>
  <si>
    <t>2013</t>
  </si>
  <si>
    <t>Tropical regions of Africa and South America</t>
  </si>
  <si>
    <t>No anti-viral drug available, but treatment for symptoms of dehydration, liver and kidney failure improves outcomes</t>
  </si>
  <si>
    <t>Zika</t>
  </si>
  <si>
    <t>3-14 days, median 5.8</t>
  </si>
  <si>
    <t>Chlamydia</t>
  </si>
  <si>
    <t>5-15</t>
  </si>
  <si>
    <t>Females at 15-24 years of age, and males at 20-24 years, men who have sex with men</t>
  </si>
  <si>
    <t>Developing countries in Africa, South America, Asia and the Caribbean</t>
  </si>
  <si>
    <t>Antibiotics. Susceptible to tetracyclines, macrolides, rifampicin and recent fluoroquinolones</t>
  </si>
  <si>
    <t xml:space="preserve">Not clearly documented, but multiple drug-resistant strains may be emerging against azithromycin, doxycycline, and ofloxacin </t>
  </si>
  <si>
    <t>Gonorrhea</t>
  </si>
  <si>
    <t>Females 15-19 years of age</t>
  </si>
  <si>
    <t>Developing countries</t>
  </si>
  <si>
    <t>Antibiotics. Susceptible to third generation cephalosporins, and spectinomycin</t>
  </si>
  <si>
    <t>Often resistant to penicillin and tetracycline</t>
  </si>
  <si>
    <t>(visceral)</t>
  </si>
  <si>
    <t>(meningococcal, all)</t>
  </si>
  <si>
    <t>Sleeping sickness</t>
  </si>
  <si>
    <t>(cutaneous, treated)</t>
  </si>
  <si>
    <t>Scarlet fever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</si>
</sst>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
    <numFmt numFmtId="166" formatCode="#,##0.0000"/>
    <numFmt numFmtId="167" formatCode="#,###"/>
    <numFmt numFmtId="168" formatCode="d\-m"/>
    <numFmt numFmtId="169" formatCode="#,##0.0"/>
    <numFmt numFmtId="170" formatCode="0.000%"/>
    <numFmt numFmtId="171" formatCode="#,##0.000"/>
    <numFmt numFmtId="172" formatCode="#,##0.00000"/>
    <numFmt numFmtId="173" formatCode="#,##0.000000"/>
    <numFmt numFmtId="174" formatCode="0.0000%"/>
  </numFmts>
  <fonts count="6" x14ac:knownFonts="1">
    <font>
      <sz val="10"/>
      <color rgb="FF000000"/>
      <name val="Arial"/>
    </font>
    <font>
      <sz val="10"/>
      <color rgb="FF000000"/>
      <name val="Arial"/>
    </font>
    <font>
      <sz val="10"/>
      <name val="Arial"/>
    </font>
    <font>
      <b/>
      <sz val="10"/>
      <name val="Arial"/>
    </font>
    <font>
      <sz val="10"/>
      <color rgb="FFCCCCCC"/>
      <name val="Arial"/>
    </font>
    <font>
      <b/>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6">
    <xf numFmtId="0" fontId="0" fillId="0" borderId="0" xfId="0"/>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top"/>
    </xf>
    <xf numFmtId="0" fontId="5" fillId="2" borderId="0" xfId="0" applyFont="1" applyFill="1" applyAlignment="1">
      <alignment vertical="top"/>
    </xf>
    <xf numFmtId="0" fontId="1" fillId="2" borderId="0" xfId="0" applyFont="1" applyFill="1"/>
    <xf numFmtId="0" fontId="1" fillId="0" borderId="0" xfId="0" applyFont="1" applyAlignment="1">
      <alignment horizontal="left" vertical="top"/>
    </xf>
    <xf numFmtId="3" fontId="1" fillId="0" borderId="0" xfId="0" applyNumberFormat="1" applyFont="1" applyAlignment="1">
      <alignment horizontal="right" vertical="top"/>
    </xf>
    <xf numFmtId="0" fontId="1" fillId="0" borderId="0" xfId="0" applyFont="1" applyAlignment="1">
      <alignment horizontal="right" vertical="top"/>
    </xf>
    <xf numFmtId="164" fontId="1" fillId="0" borderId="0" xfId="0" applyNumberFormat="1" applyFont="1" applyAlignment="1">
      <alignment vertical="top"/>
    </xf>
    <xf numFmtId="165" fontId="1" fillId="0" borderId="0" xfId="0" applyNumberFormat="1" applyFont="1" applyAlignment="1">
      <alignment vertical="top"/>
    </xf>
    <xf numFmtId="0" fontId="1" fillId="0" borderId="0" xfId="0" applyFont="1" applyAlignment="1">
      <alignment vertical="top"/>
    </xf>
    <xf numFmtId="9" fontId="1" fillId="0" borderId="0" xfId="0" applyNumberFormat="1" applyFont="1" applyAlignment="1">
      <alignment horizontal="left" vertical="top"/>
    </xf>
    <xf numFmtId="3" fontId="1" fillId="0" borderId="0" xfId="0" applyNumberFormat="1" applyFont="1" applyAlignment="1">
      <alignment vertical="top"/>
    </xf>
    <xf numFmtId="4" fontId="1" fillId="0" borderId="0" xfId="0" applyNumberFormat="1" applyFont="1" applyAlignment="1">
      <alignment vertical="top"/>
    </xf>
    <xf numFmtId="3" fontId="1" fillId="0" borderId="0" xfId="0" applyNumberFormat="1" applyFont="1" applyAlignment="1">
      <alignment horizontal="left" vertical="top"/>
    </xf>
    <xf numFmtId="166" fontId="1" fillId="0" borderId="0" xfId="0" applyNumberFormat="1" applyFont="1" applyAlignment="1">
      <alignment vertical="top"/>
    </xf>
    <xf numFmtId="167" fontId="1" fillId="0" borderId="0" xfId="0" applyNumberFormat="1" applyFont="1" applyAlignment="1">
      <alignment horizontal="left" vertical="top"/>
    </xf>
    <xf numFmtId="168" fontId="1" fillId="0" borderId="0" xfId="0" applyNumberFormat="1" applyFont="1" applyAlignment="1">
      <alignment horizontal="left" vertical="top"/>
    </xf>
    <xf numFmtId="3" fontId="0" fillId="0" borderId="0" xfId="0" applyNumberFormat="1" applyAlignment="1">
      <alignment horizontal="right" vertical="top"/>
    </xf>
    <xf numFmtId="49" fontId="1" fillId="0" borderId="0" xfId="0" applyNumberFormat="1" applyFont="1" applyAlignment="1">
      <alignment horizontal="right" vertical="top"/>
    </xf>
    <xf numFmtId="3" fontId="2" fillId="0" borderId="0" xfId="0" applyNumberFormat="1" applyFont="1" applyAlignment="1">
      <alignment horizontal="left" vertical="top"/>
    </xf>
    <xf numFmtId="4" fontId="1" fillId="0" borderId="0" xfId="0" applyNumberFormat="1" applyFont="1" applyAlignment="1">
      <alignment horizontal="left" vertical="top"/>
    </xf>
    <xf numFmtId="49" fontId="1" fillId="0" borderId="0" xfId="0" applyNumberFormat="1" applyFont="1" applyAlignment="1">
      <alignment horizontal="left" vertical="top"/>
    </xf>
    <xf numFmtId="9" fontId="2" fillId="0" borderId="0" xfId="0" applyNumberFormat="1" applyFont="1" applyAlignment="1">
      <alignment vertical="top"/>
    </xf>
    <xf numFmtId="165" fontId="1" fillId="0" borderId="0" xfId="0" applyNumberFormat="1" applyFont="1" applyAlignment="1">
      <alignment horizontal="left" vertical="top"/>
    </xf>
    <xf numFmtId="10" fontId="1" fillId="0" borderId="0" xfId="0" applyNumberFormat="1" applyFont="1" applyAlignment="1">
      <alignment vertical="top"/>
    </xf>
    <xf numFmtId="10" fontId="1" fillId="0" borderId="0" xfId="0" applyNumberFormat="1" applyFont="1" applyAlignment="1">
      <alignment horizontal="left" vertical="top"/>
    </xf>
    <xf numFmtId="1" fontId="1" fillId="0" borderId="0" xfId="0" applyNumberFormat="1" applyFont="1" applyAlignment="1">
      <alignment horizontal="left" vertical="top"/>
    </xf>
    <xf numFmtId="169" fontId="1" fillId="0" borderId="0" xfId="0" applyNumberFormat="1" applyFont="1" applyAlignment="1">
      <alignment horizontal="right" vertical="top"/>
    </xf>
    <xf numFmtId="3" fontId="2" fillId="0" borderId="0" xfId="0" applyNumberFormat="1" applyFont="1" applyAlignment="1">
      <alignment vertical="top"/>
    </xf>
    <xf numFmtId="164" fontId="1" fillId="0" borderId="0" xfId="0" applyNumberFormat="1" applyFont="1" applyAlignment="1">
      <alignment horizontal="right" vertical="top"/>
    </xf>
    <xf numFmtId="170" fontId="1" fillId="0" borderId="0" xfId="0" applyNumberFormat="1" applyFont="1" applyAlignment="1">
      <alignment vertical="top"/>
    </xf>
    <xf numFmtId="170" fontId="1" fillId="0" borderId="0" xfId="0" applyNumberFormat="1" applyFont="1" applyAlignment="1">
      <alignment horizontal="left" vertical="top"/>
    </xf>
    <xf numFmtId="169" fontId="0" fillId="0" borderId="0" xfId="0" applyNumberFormat="1" applyAlignment="1">
      <alignment horizontal="right"/>
    </xf>
    <xf numFmtId="3" fontId="0" fillId="0" borderId="0" xfId="0" applyNumberFormat="1" applyAlignment="1">
      <alignment horizontal="right"/>
    </xf>
    <xf numFmtId="10" fontId="2" fillId="0" borderId="0" xfId="0" applyNumberFormat="1" applyFont="1" applyAlignment="1">
      <alignment vertical="top"/>
    </xf>
    <xf numFmtId="169" fontId="1" fillId="0" borderId="0" xfId="0" applyNumberFormat="1" applyFont="1" applyAlignment="1">
      <alignment vertical="top"/>
    </xf>
    <xf numFmtId="3" fontId="1" fillId="0" borderId="0" xfId="0" applyNumberFormat="1" applyFont="1" applyAlignment="1">
      <alignment horizontal="right"/>
    </xf>
    <xf numFmtId="0" fontId="5" fillId="0" borderId="0" xfId="0" applyFont="1" applyAlignment="1">
      <alignment vertical="top"/>
    </xf>
    <xf numFmtId="167" fontId="2" fillId="0" borderId="0" xfId="0" applyNumberFormat="1" applyFont="1" applyAlignment="1">
      <alignment vertical="top"/>
    </xf>
    <xf numFmtId="9" fontId="1" fillId="2" borderId="0" xfId="0" applyNumberFormat="1" applyFont="1" applyFill="1"/>
    <xf numFmtId="1" fontId="1" fillId="0" borderId="0" xfId="0" applyNumberFormat="1" applyFont="1" applyAlignment="1">
      <alignment horizontal="right" vertical="top"/>
    </xf>
    <xf numFmtId="171" fontId="1" fillId="0" borderId="0" xfId="0" applyNumberFormat="1" applyFont="1" applyAlignment="1">
      <alignment horizontal="right" vertical="top"/>
    </xf>
    <xf numFmtId="166" fontId="0" fillId="0" borderId="0" xfId="0" applyNumberFormat="1" applyAlignment="1">
      <alignment horizontal="right"/>
    </xf>
    <xf numFmtId="4" fontId="1" fillId="0" borderId="0" xfId="0" applyNumberFormat="1" applyFont="1" applyAlignment="1">
      <alignment horizontal="right" vertical="top"/>
    </xf>
    <xf numFmtId="172" fontId="1" fillId="0" borderId="0" xfId="0" applyNumberFormat="1" applyFont="1" applyAlignment="1">
      <alignment horizontal="right" vertical="top"/>
    </xf>
    <xf numFmtId="166" fontId="1" fillId="0" borderId="0" xfId="0" applyNumberFormat="1" applyFont="1" applyAlignment="1">
      <alignment horizontal="right" vertical="top"/>
    </xf>
    <xf numFmtId="171" fontId="1" fillId="0" borderId="0" xfId="0" applyNumberFormat="1" applyFont="1" applyAlignment="1">
      <alignment vertical="top"/>
    </xf>
    <xf numFmtId="173" fontId="1" fillId="0" borderId="0" xfId="0" applyNumberFormat="1" applyFont="1" applyAlignment="1">
      <alignment horizontal="right" vertical="top"/>
    </xf>
    <xf numFmtId="172" fontId="0" fillId="0" borderId="0" xfId="0" applyNumberFormat="1" applyAlignment="1">
      <alignment horizontal="right"/>
    </xf>
    <xf numFmtId="168" fontId="1" fillId="0" borderId="0" xfId="0" applyNumberFormat="1" applyFont="1" applyAlignment="1">
      <alignment horizontal="right" vertical="top"/>
    </xf>
    <xf numFmtId="3" fontId="1" fillId="2" borderId="0" xfId="0" applyNumberFormat="1" applyFont="1" applyFill="1" applyAlignment="1">
      <alignment horizontal="right" vertical="top"/>
    </xf>
    <xf numFmtId="0" fontId="1" fillId="0" borderId="0" xfId="0" applyFont="1"/>
    <xf numFmtId="4" fontId="0" fillId="0" borderId="0" xfId="0" applyNumberFormat="1" applyAlignment="1">
      <alignment horizontal="right"/>
    </xf>
    <xf numFmtId="10" fontId="1" fillId="2" borderId="0" xfId="0" applyNumberFormat="1" applyFont="1" applyFill="1"/>
    <xf numFmtId="174" fontId="1" fillId="0" borderId="0" xfId="0" applyNumberFormat="1" applyFont="1" applyAlignment="1">
      <alignment horizontal="left" vertical="top"/>
    </xf>
    <xf numFmtId="0" fontId="1" fillId="0" borderId="0" xfId="0" quotePrefix="1" applyFont="1" applyAlignment="1">
      <alignment horizontal="left" vertical="top"/>
    </xf>
    <xf numFmtId="167" fontId="1" fillId="2" borderId="0" xfId="0" applyNumberFormat="1" applyFont="1" applyFill="1"/>
    <xf numFmtId="171" fontId="0" fillId="0" borderId="0" xfId="0" applyNumberFormat="1" applyAlignment="1">
      <alignment horizontal="right"/>
    </xf>
    <xf numFmtId="9" fontId="2" fillId="0" borderId="0" xfId="0" applyNumberFormat="1" applyFont="1"/>
    <xf numFmtId="165" fontId="2" fillId="0" borderId="0" xfId="0" applyNumberFormat="1" applyFont="1" applyAlignment="1">
      <alignment horizontal="left"/>
    </xf>
    <xf numFmtId="174" fontId="1" fillId="0" borderId="0" xfId="0" applyNumberFormat="1" applyFont="1" applyAlignment="1">
      <alignment vertical="top"/>
    </xf>
    <xf numFmtId="168" fontId="1" fillId="0" borderId="0" xfId="0" applyNumberFormat="1" applyFont="1" applyAlignment="1">
      <alignment horizontal="lef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A506-0681-4DF4-A044-D9994D613B1E}">
  <sheetPr>
    <outlinePr summaryBelow="0" summaryRight="0"/>
  </sheetPr>
  <dimension ref="A1:AW81"/>
  <sheetViews>
    <sheetView tabSelected="1" workbookViewId="0">
      <pane xSplit="3" ySplit="3" topLeftCell="D21" activePane="bottomRight" state="frozen"/>
      <selection pane="topRight" activeCell="D1" sqref="D1"/>
      <selection pane="bottomLeft" activeCell="A4" sqref="A4"/>
      <selection pane="bottomRight" activeCell="D2" sqref="D2"/>
    </sheetView>
  </sheetViews>
  <sheetFormatPr defaultColWidth="14.44140625" defaultRowHeight="15.75" customHeight="1" x14ac:dyDescent="0.25"/>
  <cols>
    <col min="1" max="1" width="9" customWidth="1"/>
    <col min="2" max="2" width="24.33203125" customWidth="1"/>
    <col min="3" max="3" width="23.6640625" customWidth="1"/>
    <col min="4" max="49" width="18.5546875" customWidth="1"/>
  </cols>
  <sheetData>
    <row r="1" spans="1:49" ht="15.75" customHeight="1" x14ac:dyDescent="0.25">
      <c r="A1" s="1" t="s">
        <v>0</v>
      </c>
      <c r="B1" s="1" t="s">
        <v>0</v>
      </c>
      <c r="C1" s="1" t="s">
        <v>0</v>
      </c>
      <c r="D1" s="1" t="s">
        <v>1</v>
      </c>
      <c r="E1" s="1" t="s">
        <v>1</v>
      </c>
      <c r="F1" s="1" t="s">
        <v>1</v>
      </c>
      <c r="G1" s="1" t="s">
        <v>1</v>
      </c>
      <c r="H1" s="1" t="s">
        <v>2</v>
      </c>
      <c r="I1" s="1" t="s">
        <v>3</v>
      </c>
      <c r="J1" s="1" t="s">
        <v>3</v>
      </c>
      <c r="K1" s="1" t="s">
        <v>3</v>
      </c>
      <c r="L1" s="1" t="s">
        <v>4</v>
      </c>
      <c r="M1" s="1" t="s">
        <v>4</v>
      </c>
      <c r="N1" s="1" t="s">
        <v>4</v>
      </c>
      <c r="O1" s="1" t="s">
        <v>4</v>
      </c>
      <c r="P1" s="1" t="s">
        <v>4</v>
      </c>
      <c r="Q1" s="1" t="s">
        <v>4</v>
      </c>
      <c r="R1" s="1" t="s">
        <v>4</v>
      </c>
      <c r="S1" s="1" t="s">
        <v>4</v>
      </c>
      <c r="T1" s="1" t="s">
        <v>5</v>
      </c>
      <c r="U1" s="1" t="s">
        <v>5</v>
      </c>
      <c r="V1" s="1" t="s">
        <v>5</v>
      </c>
      <c r="W1" s="1" t="s">
        <v>5</v>
      </c>
      <c r="X1" s="1" t="s">
        <v>5</v>
      </c>
      <c r="Y1" s="1" t="s">
        <v>5</v>
      </c>
      <c r="Z1" s="1" t="s">
        <v>6</v>
      </c>
      <c r="AA1" s="1" t="s">
        <v>6</v>
      </c>
      <c r="AB1" s="1" t="s">
        <v>6</v>
      </c>
      <c r="AC1" s="1" t="s">
        <v>6</v>
      </c>
      <c r="AD1" s="1" t="s">
        <v>6</v>
      </c>
      <c r="AE1" s="1" t="s">
        <v>7</v>
      </c>
      <c r="AF1" s="1" t="s">
        <v>7</v>
      </c>
      <c r="AG1" s="1" t="s">
        <v>8</v>
      </c>
      <c r="AH1" s="1" t="s">
        <v>8</v>
      </c>
      <c r="AI1" s="1" t="s">
        <v>8</v>
      </c>
      <c r="AJ1" s="1" t="s">
        <v>8</v>
      </c>
      <c r="AK1" s="1" t="s">
        <v>8</v>
      </c>
      <c r="AL1" s="1" t="s">
        <v>9</v>
      </c>
      <c r="AM1" s="1" t="s">
        <v>9</v>
      </c>
      <c r="AN1" s="1" t="s">
        <v>9</v>
      </c>
      <c r="AO1" s="1" t="s">
        <v>9</v>
      </c>
      <c r="AP1" s="1" t="s">
        <v>9</v>
      </c>
      <c r="AQ1" s="1" t="s">
        <v>9</v>
      </c>
      <c r="AR1" s="1" t="s">
        <v>9</v>
      </c>
      <c r="AS1" s="1" t="s">
        <v>10</v>
      </c>
      <c r="AT1" s="1" t="s">
        <v>10</v>
      </c>
      <c r="AU1" s="1" t="s">
        <v>10</v>
      </c>
      <c r="AV1" s="1" t="s">
        <v>10</v>
      </c>
      <c r="AW1" s="1" t="s">
        <v>10</v>
      </c>
    </row>
    <row r="2" spans="1:49" ht="15.75" customHeight="1" x14ac:dyDescent="0.25">
      <c r="A2" s="2" t="s">
        <v>11</v>
      </c>
      <c r="B2" s="2" t="s">
        <v>12</v>
      </c>
      <c r="C2" s="2" t="s">
        <v>13</v>
      </c>
      <c r="D2" s="2" t="s">
        <v>14</v>
      </c>
      <c r="E2" s="2" t="s">
        <v>15</v>
      </c>
      <c r="F2" s="2" t="s">
        <v>16</v>
      </c>
      <c r="G2" s="2" t="s">
        <v>17</v>
      </c>
      <c r="H2" s="2" t="s">
        <v>18</v>
      </c>
      <c r="I2" s="2" t="s">
        <v>19</v>
      </c>
      <c r="J2" s="2" t="s">
        <v>20</v>
      </c>
      <c r="K2" s="2" t="s">
        <v>21</v>
      </c>
      <c r="L2" s="2" t="s">
        <v>22</v>
      </c>
      <c r="M2" s="2" t="s">
        <v>23</v>
      </c>
      <c r="N2" s="2" t="s">
        <v>24</v>
      </c>
      <c r="O2" s="2" t="s">
        <v>25</v>
      </c>
      <c r="P2" s="2" t="s">
        <v>26</v>
      </c>
      <c r="Q2" s="2" t="s">
        <v>27</v>
      </c>
      <c r="R2" s="2" t="s">
        <v>28</v>
      </c>
      <c r="S2" s="2" t="s">
        <v>29</v>
      </c>
      <c r="T2" s="2" t="s">
        <v>30</v>
      </c>
      <c r="U2" s="2" t="s">
        <v>31</v>
      </c>
      <c r="V2" s="2" t="s">
        <v>32</v>
      </c>
      <c r="W2" s="2" t="s">
        <v>33</v>
      </c>
      <c r="X2" s="2" t="s">
        <v>34</v>
      </c>
      <c r="Y2" s="2" t="s">
        <v>35</v>
      </c>
      <c r="Z2" s="2" t="s">
        <v>36</v>
      </c>
      <c r="AA2" s="2" t="s">
        <v>37</v>
      </c>
      <c r="AB2" s="2" t="s">
        <v>38</v>
      </c>
      <c r="AC2" s="2" t="s">
        <v>39</v>
      </c>
      <c r="AD2" s="2" t="s">
        <v>40</v>
      </c>
      <c r="AE2" s="2" t="s">
        <v>41</v>
      </c>
      <c r="AF2" s="2" t="s">
        <v>42</v>
      </c>
      <c r="AG2" s="2" t="s">
        <v>8</v>
      </c>
      <c r="AH2" s="2" t="s">
        <v>43</v>
      </c>
      <c r="AI2" s="2" t="s">
        <v>44</v>
      </c>
      <c r="AJ2" s="2" t="s">
        <v>45</v>
      </c>
      <c r="AK2" s="2" t="s">
        <v>46</v>
      </c>
      <c r="AL2" s="2" t="s">
        <v>47</v>
      </c>
      <c r="AM2" s="2" t="s">
        <v>48</v>
      </c>
      <c r="AN2" s="2" t="s">
        <v>49</v>
      </c>
      <c r="AO2" s="2" t="s">
        <v>50</v>
      </c>
      <c r="AP2" s="2" t="s">
        <v>51</v>
      </c>
      <c r="AQ2" s="2" t="s">
        <v>52</v>
      </c>
      <c r="AR2" s="2" t="s">
        <v>53</v>
      </c>
      <c r="AS2" s="2" t="s">
        <v>54</v>
      </c>
      <c r="AT2" s="2" t="s">
        <v>55</v>
      </c>
      <c r="AU2" s="2" t="s">
        <v>56</v>
      </c>
      <c r="AV2" s="2" t="s">
        <v>57</v>
      </c>
      <c r="AW2" s="2" t="s">
        <v>58</v>
      </c>
    </row>
    <row r="3" spans="1:49" ht="15.75" customHeight="1" x14ac:dyDescent="0.25">
      <c r="A3" s="3" t="s">
        <v>59</v>
      </c>
      <c r="B3" s="3" t="s">
        <v>60</v>
      </c>
      <c r="C3" s="3" t="s">
        <v>61</v>
      </c>
      <c r="D3" s="3" t="s">
        <v>62</v>
      </c>
      <c r="E3" s="3" t="s">
        <v>63</v>
      </c>
      <c r="F3" s="3" t="s">
        <v>64</v>
      </c>
      <c r="G3" s="3" t="s">
        <v>65</v>
      </c>
      <c r="H3" s="3" t="s">
        <v>66</v>
      </c>
      <c r="I3" s="3" t="s">
        <v>67</v>
      </c>
      <c r="J3" s="3" t="s">
        <v>68</v>
      </c>
      <c r="K3" s="3" t="s">
        <v>69</v>
      </c>
      <c r="L3" s="3" t="s">
        <v>70</v>
      </c>
      <c r="M3" s="3" t="s">
        <v>71</v>
      </c>
      <c r="N3" s="3" t="s">
        <v>72</v>
      </c>
      <c r="O3" s="3" t="s">
        <v>73</v>
      </c>
      <c r="P3" s="3" t="s">
        <v>74</v>
      </c>
      <c r="Q3" s="3" t="s">
        <v>75</v>
      </c>
      <c r="R3" s="3" t="s">
        <v>76</v>
      </c>
      <c r="S3" s="3" t="s">
        <v>77</v>
      </c>
      <c r="T3" s="3" t="s">
        <v>78</v>
      </c>
      <c r="U3" s="3" t="s">
        <v>79</v>
      </c>
      <c r="V3" s="3" t="s">
        <v>80</v>
      </c>
      <c r="W3" s="3" t="s">
        <v>81</v>
      </c>
      <c r="X3" s="3" t="s">
        <v>82</v>
      </c>
      <c r="Y3" s="3" t="s">
        <v>83</v>
      </c>
      <c r="Z3" s="3" t="s">
        <v>84</v>
      </c>
      <c r="AA3" s="3" t="s">
        <v>85</v>
      </c>
      <c r="AB3" s="3" t="s">
        <v>86</v>
      </c>
      <c r="AC3" s="3" t="s">
        <v>87</v>
      </c>
      <c r="AD3" s="3" t="s">
        <v>88</v>
      </c>
      <c r="AE3" s="3" t="s">
        <v>89</v>
      </c>
      <c r="AF3" s="3" t="s">
        <v>90</v>
      </c>
      <c r="AG3" s="3" t="s">
        <v>91</v>
      </c>
      <c r="AH3" s="3" t="s">
        <v>92</v>
      </c>
      <c r="AI3" s="3" t="s">
        <v>93</v>
      </c>
      <c r="AJ3" s="3" t="s">
        <v>94</v>
      </c>
      <c r="AK3" s="3" t="s">
        <v>95</v>
      </c>
      <c r="AL3" s="3" t="s">
        <v>96</v>
      </c>
      <c r="AM3" s="3" t="s">
        <v>97</v>
      </c>
      <c r="AN3" s="3" t="s">
        <v>98</v>
      </c>
      <c r="AO3" s="3" t="s">
        <v>99</v>
      </c>
      <c r="AP3" s="3" t="s">
        <v>100</v>
      </c>
      <c r="AQ3" s="3" t="s">
        <v>101</v>
      </c>
      <c r="AR3" s="3" t="s">
        <v>102</v>
      </c>
      <c r="AS3" s="3" t="s">
        <v>103</v>
      </c>
      <c r="AT3" s="3" t="s">
        <v>104</v>
      </c>
      <c r="AU3" s="3" t="s">
        <v>105</v>
      </c>
      <c r="AV3" s="3" t="s">
        <v>106</v>
      </c>
      <c r="AW3" s="3" t="s">
        <v>107</v>
      </c>
    </row>
    <row r="4" spans="1:49" ht="15.75" customHeight="1" x14ac:dyDescent="0.25">
      <c r="A4" s="4">
        <v>1</v>
      </c>
      <c r="B4" s="5" t="s">
        <v>108</v>
      </c>
      <c r="C4" s="6" t="s">
        <v>109</v>
      </c>
      <c r="D4" s="7" t="s">
        <v>110</v>
      </c>
      <c r="E4" s="8">
        <v>3</v>
      </c>
      <c r="F4" s="9" t="s">
        <v>111</v>
      </c>
      <c r="G4" s="9" t="s">
        <v>111</v>
      </c>
      <c r="H4" s="10">
        <v>0</v>
      </c>
      <c r="I4" s="11">
        <v>0.2</v>
      </c>
      <c r="J4" s="12" t="s">
        <v>112</v>
      </c>
      <c r="K4" s="13">
        <v>0.14000000000000001</v>
      </c>
      <c r="L4" s="14">
        <v>10700000</v>
      </c>
      <c r="M4" s="14">
        <v>25600</v>
      </c>
      <c r="N4" s="15">
        <v>0.23925233644859814</v>
      </c>
      <c r="O4" s="16" t="s">
        <v>111</v>
      </c>
      <c r="P4" s="16" t="s">
        <v>111</v>
      </c>
      <c r="Q4" s="17">
        <v>0</v>
      </c>
      <c r="R4" s="14" t="s">
        <v>111</v>
      </c>
      <c r="S4" s="14">
        <v>53500000</v>
      </c>
      <c r="T4" s="12" t="s">
        <v>113</v>
      </c>
      <c r="U4" s="16">
        <v>10</v>
      </c>
      <c r="V4" s="16">
        <v>10</v>
      </c>
      <c r="W4" s="18" t="s">
        <v>114</v>
      </c>
      <c r="X4" s="16">
        <v>3.5</v>
      </c>
      <c r="Y4" s="19">
        <v>43282</v>
      </c>
      <c r="Z4" s="8" t="s">
        <v>111</v>
      </c>
      <c r="AA4" s="8" t="s">
        <v>111</v>
      </c>
      <c r="AB4" s="8" t="s">
        <v>111</v>
      </c>
      <c r="AC4" s="8" t="s">
        <v>111</v>
      </c>
      <c r="AD4" s="8" t="s">
        <v>111</v>
      </c>
      <c r="AE4" s="20" t="s">
        <v>111</v>
      </c>
      <c r="AF4" s="20" t="s">
        <v>111</v>
      </c>
      <c r="AG4" s="8" t="s">
        <v>111</v>
      </c>
      <c r="AH4" s="8" t="s">
        <v>111</v>
      </c>
      <c r="AI4" s="8" t="s">
        <v>111</v>
      </c>
      <c r="AJ4" s="8" t="s">
        <v>111</v>
      </c>
      <c r="AK4" s="8" t="s">
        <v>111</v>
      </c>
      <c r="AL4" s="8" t="s">
        <v>111</v>
      </c>
      <c r="AM4" s="8" t="s">
        <v>111</v>
      </c>
      <c r="AN4" s="8">
        <v>0</v>
      </c>
      <c r="AO4" s="8" t="s">
        <v>111</v>
      </c>
      <c r="AP4" s="8" t="s">
        <v>111</v>
      </c>
      <c r="AQ4" s="8" t="s">
        <v>111</v>
      </c>
      <c r="AR4" s="21" t="s">
        <v>111</v>
      </c>
      <c r="AS4" s="16" t="s">
        <v>111</v>
      </c>
      <c r="AT4" s="16" t="s">
        <v>111</v>
      </c>
      <c r="AU4" s="22" t="s">
        <v>115</v>
      </c>
      <c r="AV4" s="22" t="s">
        <v>111</v>
      </c>
      <c r="AW4" s="22" t="s">
        <v>111</v>
      </c>
    </row>
    <row r="5" spans="1:49" ht="15.75" customHeight="1" x14ac:dyDescent="0.25">
      <c r="A5" s="4">
        <v>2</v>
      </c>
      <c r="B5" s="5" t="s">
        <v>108</v>
      </c>
      <c r="C5" s="6" t="s">
        <v>116</v>
      </c>
      <c r="D5" s="7" t="s">
        <v>110</v>
      </c>
      <c r="E5" s="8">
        <v>3</v>
      </c>
      <c r="F5" s="9" t="s">
        <v>111</v>
      </c>
      <c r="G5" s="9" t="s">
        <v>111</v>
      </c>
      <c r="H5" s="10">
        <v>0</v>
      </c>
      <c r="I5" s="11">
        <f>AVERAGE(0.25,0.75)</f>
        <v>0.5</v>
      </c>
      <c r="J5" s="12" t="s">
        <v>117</v>
      </c>
      <c r="K5" s="13">
        <v>0.65</v>
      </c>
      <c r="L5" s="14">
        <v>10700000</v>
      </c>
      <c r="M5" s="14">
        <v>25600</v>
      </c>
      <c r="N5" s="15">
        <v>0.23925233644859814</v>
      </c>
      <c r="O5" s="23" t="s">
        <v>111</v>
      </c>
      <c r="P5" s="16" t="s">
        <v>111</v>
      </c>
      <c r="Q5" s="17">
        <v>0</v>
      </c>
      <c r="R5" s="14" t="s">
        <v>111</v>
      </c>
      <c r="S5" s="14">
        <v>21400000</v>
      </c>
      <c r="T5" s="12" t="s">
        <v>113</v>
      </c>
      <c r="U5" s="16" t="s">
        <v>111</v>
      </c>
      <c r="V5" s="16" t="s">
        <v>111</v>
      </c>
      <c r="W5" s="18" t="s">
        <v>111</v>
      </c>
      <c r="X5" s="16">
        <v>3.5</v>
      </c>
      <c r="Y5" s="19">
        <v>43283</v>
      </c>
      <c r="Z5" s="8" t="s">
        <v>111</v>
      </c>
      <c r="AA5" s="8" t="s">
        <v>111</v>
      </c>
      <c r="AB5" s="8" t="s">
        <v>111</v>
      </c>
      <c r="AC5" s="8" t="s">
        <v>111</v>
      </c>
      <c r="AD5" s="8" t="s">
        <v>111</v>
      </c>
      <c r="AE5" s="20" t="s">
        <v>111</v>
      </c>
      <c r="AF5" s="20" t="s">
        <v>111</v>
      </c>
      <c r="AG5" s="8" t="s">
        <v>111</v>
      </c>
      <c r="AH5" s="8" t="s">
        <v>111</v>
      </c>
      <c r="AI5" s="8" t="s">
        <v>111</v>
      </c>
      <c r="AJ5" s="8" t="s">
        <v>111</v>
      </c>
      <c r="AK5" s="8" t="s">
        <v>111</v>
      </c>
      <c r="AL5" s="8" t="s">
        <v>111</v>
      </c>
      <c r="AM5" s="8" t="s">
        <v>111</v>
      </c>
      <c r="AN5" s="8">
        <v>0</v>
      </c>
      <c r="AO5" s="8" t="s">
        <v>111</v>
      </c>
      <c r="AP5" s="8" t="s">
        <v>111</v>
      </c>
      <c r="AQ5" s="8">
        <v>64</v>
      </c>
      <c r="AR5" s="24" t="s">
        <v>118</v>
      </c>
      <c r="AS5" s="16" t="s">
        <v>111</v>
      </c>
      <c r="AT5" s="16" t="s">
        <v>111</v>
      </c>
      <c r="AU5" s="22" t="s">
        <v>111</v>
      </c>
      <c r="AV5" s="22" t="s">
        <v>111</v>
      </c>
      <c r="AW5" s="22" t="s">
        <v>111</v>
      </c>
    </row>
    <row r="6" spans="1:49" ht="15.75" customHeight="1" x14ac:dyDescent="0.25">
      <c r="A6" s="4">
        <v>3</v>
      </c>
      <c r="B6" s="5" t="s">
        <v>108</v>
      </c>
      <c r="C6" s="6" t="s">
        <v>119</v>
      </c>
      <c r="D6" s="7" t="s">
        <v>110</v>
      </c>
      <c r="E6" s="8">
        <v>3</v>
      </c>
      <c r="F6" s="9" t="s">
        <v>111</v>
      </c>
      <c r="G6" s="9" t="s">
        <v>111</v>
      </c>
      <c r="H6" s="10">
        <v>0</v>
      </c>
      <c r="I6" s="11">
        <v>0.8</v>
      </c>
      <c r="J6" s="12" t="s">
        <v>120</v>
      </c>
      <c r="K6" s="13">
        <v>0.6</v>
      </c>
      <c r="L6" s="14">
        <v>10700000</v>
      </c>
      <c r="M6" s="14">
        <v>25600</v>
      </c>
      <c r="N6" s="15">
        <v>0.23925233644859814</v>
      </c>
      <c r="O6" s="16" t="s">
        <v>111</v>
      </c>
      <c r="P6" s="16" t="s">
        <v>111</v>
      </c>
      <c r="Q6" s="17">
        <v>0</v>
      </c>
      <c r="R6" s="14" t="s">
        <v>111</v>
      </c>
      <c r="S6" s="14">
        <v>13375000</v>
      </c>
      <c r="T6" s="12" t="s">
        <v>113</v>
      </c>
      <c r="U6" s="16">
        <v>25000</v>
      </c>
      <c r="V6" s="16">
        <v>10000</v>
      </c>
      <c r="W6" s="18" t="s">
        <v>114</v>
      </c>
      <c r="X6" s="16">
        <v>3.5</v>
      </c>
      <c r="Y6" s="19">
        <v>43284</v>
      </c>
      <c r="Z6" s="8" t="s">
        <v>111</v>
      </c>
      <c r="AA6" s="8" t="s">
        <v>111</v>
      </c>
      <c r="AB6" s="8" t="s">
        <v>111</v>
      </c>
      <c r="AC6" s="8" t="s">
        <v>111</v>
      </c>
      <c r="AD6" s="8" t="s">
        <v>111</v>
      </c>
      <c r="AE6" s="20" t="s">
        <v>111</v>
      </c>
      <c r="AF6" s="20" t="s">
        <v>111</v>
      </c>
      <c r="AG6" s="8" t="s">
        <v>111</v>
      </c>
      <c r="AH6" s="8" t="s">
        <v>111</v>
      </c>
      <c r="AI6" s="8" t="s">
        <v>111</v>
      </c>
      <c r="AJ6" s="8" t="s">
        <v>111</v>
      </c>
      <c r="AK6" s="8" t="s">
        <v>111</v>
      </c>
      <c r="AL6" s="8" t="s">
        <v>111</v>
      </c>
      <c r="AM6" s="8" t="s">
        <v>111</v>
      </c>
      <c r="AN6" s="8">
        <v>0</v>
      </c>
      <c r="AO6" s="8" t="s">
        <v>111</v>
      </c>
      <c r="AP6" s="8" t="s">
        <v>111</v>
      </c>
      <c r="AQ6" s="8" t="s">
        <v>111</v>
      </c>
      <c r="AR6" s="21" t="s">
        <v>111</v>
      </c>
      <c r="AS6" s="16" t="s">
        <v>111</v>
      </c>
      <c r="AT6" s="16" t="s">
        <v>111</v>
      </c>
      <c r="AU6" s="22" t="s">
        <v>111</v>
      </c>
      <c r="AV6" s="22" t="s">
        <v>111</v>
      </c>
      <c r="AW6" s="22" t="s">
        <v>111</v>
      </c>
    </row>
    <row r="7" spans="1:49" ht="15.75" customHeight="1" x14ac:dyDescent="0.25">
      <c r="A7" s="4">
        <v>4</v>
      </c>
      <c r="B7" s="5" t="s">
        <v>121</v>
      </c>
      <c r="C7" s="25"/>
      <c r="D7" s="7" t="s">
        <v>110</v>
      </c>
      <c r="E7" s="8">
        <v>2</v>
      </c>
      <c r="F7" s="9">
        <v>150</v>
      </c>
      <c r="G7" s="9" t="s">
        <v>111</v>
      </c>
      <c r="H7" s="10" t="s">
        <v>111</v>
      </c>
      <c r="I7" s="11">
        <f>AVERAGE(0.057,0.069)</f>
        <v>6.3E-2</v>
      </c>
      <c r="J7" s="12" t="s">
        <v>122</v>
      </c>
      <c r="K7" s="26">
        <v>1.4999999999999999E-2</v>
      </c>
      <c r="L7" s="14">
        <v>1300000</v>
      </c>
      <c r="M7" s="14">
        <v>2760</v>
      </c>
      <c r="N7" s="15">
        <v>0.21230769230769234</v>
      </c>
      <c r="O7" s="16" t="s">
        <v>111</v>
      </c>
      <c r="P7" s="16" t="s">
        <v>111</v>
      </c>
      <c r="Q7" s="17" t="s">
        <v>111</v>
      </c>
      <c r="R7" s="14" t="s">
        <v>111</v>
      </c>
      <c r="S7" s="14">
        <v>20634920.634920634</v>
      </c>
      <c r="T7" s="12" t="s">
        <v>123</v>
      </c>
      <c r="U7" s="7">
        <v>100</v>
      </c>
      <c r="V7" s="7">
        <v>100</v>
      </c>
      <c r="W7" s="18" t="s">
        <v>114</v>
      </c>
      <c r="X7" s="7" t="s">
        <v>111</v>
      </c>
      <c r="Y7" s="7" t="s">
        <v>124</v>
      </c>
      <c r="Z7" s="8" t="s">
        <v>111</v>
      </c>
      <c r="AA7" s="8" t="s">
        <v>111</v>
      </c>
      <c r="AB7" s="8">
        <v>453000</v>
      </c>
      <c r="AC7" s="8">
        <v>124000</v>
      </c>
      <c r="AD7" s="8" t="s">
        <v>111</v>
      </c>
      <c r="AE7" s="20" t="s">
        <v>111</v>
      </c>
      <c r="AF7" s="20" t="s">
        <v>111</v>
      </c>
      <c r="AG7" s="8" t="s">
        <v>111</v>
      </c>
      <c r="AH7" s="8" t="s">
        <v>111</v>
      </c>
      <c r="AI7" s="8" t="s">
        <v>111</v>
      </c>
      <c r="AJ7" s="8" t="s">
        <v>111</v>
      </c>
      <c r="AK7" s="8" t="s">
        <v>111</v>
      </c>
      <c r="AL7" s="8" t="s">
        <v>111</v>
      </c>
      <c r="AM7" s="8" t="s">
        <v>111</v>
      </c>
      <c r="AN7" s="8">
        <v>7300</v>
      </c>
      <c r="AO7" s="8">
        <v>3700</v>
      </c>
      <c r="AP7" s="8" t="s">
        <v>111</v>
      </c>
      <c r="AQ7" s="8">
        <v>15000</v>
      </c>
      <c r="AR7" s="24" t="s">
        <v>125</v>
      </c>
      <c r="AS7" s="14" t="s">
        <v>126</v>
      </c>
      <c r="AT7" s="16" t="s">
        <v>111</v>
      </c>
      <c r="AU7" s="22" t="s">
        <v>111</v>
      </c>
      <c r="AV7" s="22" t="s">
        <v>111</v>
      </c>
      <c r="AW7" s="22" t="s">
        <v>111</v>
      </c>
    </row>
    <row r="8" spans="1:49" ht="15.75" customHeight="1" x14ac:dyDescent="0.25">
      <c r="A8" s="4">
        <v>5</v>
      </c>
      <c r="B8" s="5" t="s">
        <v>127</v>
      </c>
      <c r="C8" s="1"/>
      <c r="D8" s="7" t="s">
        <v>110</v>
      </c>
      <c r="E8" s="8">
        <v>2</v>
      </c>
      <c r="F8" s="9">
        <v>6</v>
      </c>
      <c r="G8" s="9">
        <v>28</v>
      </c>
      <c r="H8" s="10">
        <v>0</v>
      </c>
      <c r="I8" s="27">
        <f>7426/42883268</f>
        <v>1.7316777256807947E-4</v>
      </c>
      <c r="J8" s="12" t="s">
        <v>128</v>
      </c>
      <c r="K8" s="28">
        <f>13861/47988357</f>
        <v>2.8884089530300025E-4</v>
      </c>
      <c r="L8" s="14">
        <v>3440000</v>
      </c>
      <c r="M8" s="14">
        <v>5770</v>
      </c>
      <c r="N8" s="15">
        <v>0.16773255813953489</v>
      </c>
      <c r="O8" s="14">
        <v>0.15510752688172044</v>
      </c>
      <c r="P8" s="14">
        <v>92.483062694913428</v>
      </c>
      <c r="Q8" s="17">
        <v>0</v>
      </c>
      <c r="R8" s="14">
        <v>34.75903614457831</v>
      </c>
      <c r="S8" s="14">
        <v>19865128187.449501</v>
      </c>
      <c r="T8" s="12" t="s">
        <v>129</v>
      </c>
      <c r="U8" s="7">
        <v>500</v>
      </c>
      <c r="V8" s="16">
        <v>1000</v>
      </c>
      <c r="W8" s="18" t="s">
        <v>114</v>
      </c>
      <c r="X8" s="29">
        <v>3</v>
      </c>
      <c r="Y8" s="19">
        <v>43192</v>
      </c>
      <c r="Z8" s="8">
        <v>166</v>
      </c>
      <c r="AA8" s="8">
        <v>166175078</v>
      </c>
      <c r="AB8" s="8">
        <v>845024</v>
      </c>
      <c r="AC8" s="8">
        <v>240379</v>
      </c>
      <c r="AD8" s="8" t="s">
        <v>111</v>
      </c>
      <c r="AE8" s="20" t="s">
        <v>111</v>
      </c>
      <c r="AF8" s="20" t="s">
        <v>111</v>
      </c>
      <c r="AG8" s="30">
        <v>3.7</v>
      </c>
      <c r="AH8" s="8">
        <v>3733822</v>
      </c>
      <c r="AI8" s="8" t="s">
        <v>111</v>
      </c>
      <c r="AJ8" s="8" t="s">
        <v>111</v>
      </c>
      <c r="AK8" s="8" t="s">
        <v>111</v>
      </c>
      <c r="AL8" s="8">
        <v>37200</v>
      </c>
      <c r="AM8" s="8">
        <v>37196</v>
      </c>
      <c r="AN8" s="8">
        <f>76</f>
        <v>76</v>
      </c>
      <c r="AO8" s="8" t="s">
        <v>111</v>
      </c>
      <c r="AP8" s="8" t="s">
        <v>111</v>
      </c>
      <c r="AQ8" s="8" t="s">
        <v>111</v>
      </c>
      <c r="AR8" s="21" t="s">
        <v>111</v>
      </c>
      <c r="AS8" s="16" t="s">
        <v>111</v>
      </c>
      <c r="AT8" s="16" t="s">
        <v>111</v>
      </c>
      <c r="AU8" s="22" t="s">
        <v>111</v>
      </c>
      <c r="AV8" s="22" t="s">
        <v>111</v>
      </c>
      <c r="AW8" s="31" t="s">
        <v>111</v>
      </c>
    </row>
    <row r="9" spans="1:49" ht="15.75" customHeight="1" x14ac:dyDescent="0.25">
      <c r="A9" s="4">
        <v>6</v>
      </c>
      <c r="B9" s="5" t="s">
        <v>130</v>
      </c>
      <c r="C9" s="6" t="s">
        <v>131</v>
      </c>
      <c r="D9" s="18" t="s">
        <v>132</v>
      </c>
      <c r="E9" s="8">
        <v>2</v>
      </c>
      <c r="F9" s="32">
        <f>4/24</f>
        <v>0.16666666666666666</v>
      </c>
      <c r="G9" s="9">
        <v>2</v>
      </c>
      <c r="H9" s="10">
        <v>8.5</v>
      </c>
      <c r="I9" s="33">
        <v>1.2E-4</v>
      </c>
      <c r="J9" s="12" t="s">
        <v>128</v>
      </c>
      <c r="K9" s="34">
        <v>6.0000000000000002E-5</v>
      </c>
      <c r="L9" s="14">
        <v>4180000</v>
      </c>
      <c r="M9" s="14">
        <v>5710</v>
      </c>
      <c r="N9" s="15">
        <v>0.13660287081339711</v>
      </c>
      <c r="O9" s="14">
        <v>0.45679999999999998</v>
      </c>
      <c r="P9" s="14">
        <v>335.14104107507211</v>
      </c>
      <c r="Q9" s="17">
        <v>1.4799</v>
      </c>
      <c r="R9" s="14">
        <v>38.581081081081081</v>
      </c>
      <c r="S9" s="14" t="s">
        <v>111</v>
      </c>
      <c r="T9" s="12" t="s">
        <v>113</v>
      </c>
      <c r="U9" s="18" t="s">
        <v>111</v>
      </c>
      <c r="V9" s="18" t="s">
        <v>111</v>
      </c>
      <c r="W9" s="7" t="s">
        <v>111</v>
      </c>
      <c r="X9" s="18">
        <v>15</v>
      </c>
      <c r="Y9" s="18" t="s">
        <v>133</v>
      </c>
      <c r="Z9" s="8">
        <v>148</v>
      </c>
      <c r="AA9" s="8">
        <v>148162465.92399999</v>
      </c>
      <c r="AB9" s="8">
        <v>5301792.3687800001</v>
      </c>
      <c r="AC9" s="8">
        <v>11326037.370250002</v>
      </c>
      <c r="AD9" s="8">
        <v>31844891.281309001</v>
      </c>
      <c r="AE9" s="35">
        <v>7.6017936229999998</v>
      </c>
      <c r="AF9" s="36">
        <v>7601793.6229999997</v>
      </c>
      <c r="AG9" s="30">
        <v>0.9</v>
      </c>
      <c r="AH9" s="8">
        <v>923529.55879000004</v>
      </c>
      <c r="AI9" s="8">
        <v>18473.2712498</v>
      </c>
      <c r="AJ9" s="8">
        <v>39852.062340730001</v>
      </c>
      <c r="AK9" s="8">
        <v>285514.92637019395</v>
      </c>
      <c r="AL9" s="8">
        <v>12500</v>
      </c>
      <c r="AM9" s="8">
        <v>12472.360850200001</v>
      </c>
      <c r="AN9" s="8">
        <v>294.93538132800001</v>
      </c>
      <c r="AO9" s="8">
        <v>652.51353207730006</v>
      </c>
      <c r="AP9" s="8">
        <v>3948.1669895264999</v>
      </c>
      <c r="AQ9" s="8" t="s">
        <v>111</v>
      </c>
      <c r="AR9" s="21" t="s">
        <v>111</v>
      </c>
      <c r="AS9" s="16" t="s">
        <v>111</v>
      </c>
      <c r="AT9" s="16" t="s">
        <v>111</v>
      </c>
      <c r="AU9" s="22" t="s">
        <v>111</v>
      </c>
      <c r="AV9" s="22" t="s">
        <v>111</v>
      </c>
      <c r="AW9" s="22" t="s">
        <v>111</v>
      </c>
    </row>
    <row r="10" spans="1:49" ht="15.75" customHeight="1" x14ac:dyDescent="0.25">
      <c r="A10" s="4">
        <v>7</v>
      </c>
      <c r="B10" s="5" t="s">
        <v>134</v>
      </c>
      <c r="C10" s="25"/>
      <c r="D10" s="7" t="s">
        <v>132</v>
      </c>
      <c r="E10" s="8">
        <v>3</v>
      </c>
      <c r="F10" s="9" t="s">
        <v>111</v>
      </c>
      <c r="G10" s="9" t="s">
        <v>111</v>
      </c>
      <c r="H10" s="10">
        <v>1.7</v>
      </c>
      <c r="I10" s="11">
        <v>1E-3</v>
      </c>
      <c r="J10" s="12" t="s">
        <v>135</v>
      </c>
      <c r="K10" s="26">
        <v>2.8000000000000001E-2</v>
      </c>
      <c r="L10" s="14">
        <v>7480000</v>
      </c>
      <c r="M10" s="14">
        <v>39400</v>
      </c>
      <c r="N10" s="15">
        <v>0.5267379679144385</v>
      </c>
      <c r="O10" s="14">
        <v>39.4</v>
      </c>
      <c r="P10" s="14">
        <v>7480</v>
      </c>
      <c r="Q10" s="17">
        <v>4.19E-2</v>
      </c>
      <c r="R10" s="14">
        <v>56285.71428571429</v>
      </c>
      <c r="S10" s="14">
        <v>7480000000</v>
      </c>
      <c r="T10" s="12" t="s">
        <v>136</v>
      </c>
      <c r="U10" s="7" t="s">
        <v>111</v>
      </c>
      <c r="V10" s="7" t="s">
        <v>111</v>
      </c>
      <c r="W10" s="7" t="s">
        <v>111</v>
      </c>
      <c r="X10" s="16">
        <v>3</v>
      </c>
      <c r="Y10" s="19">
        <v>43374</v>
      </c>
      <c r="Z10" s="30">
        <v>0.7</v>
      </c>
      <c r="AA10" s="8">
        <v>693000</v>
      </c>
      <c r="AB10" s="8" t="s">
        <v>111</v>
      </c>
      <c r="AC10" s="8" t="s">
        <v>111</v>
      </c>
      <c r="AD10" s="8" t="s">
        <v>111</v>
      </c>
      <c r="AE10" s="20" t="s">
        <v>111</v>
      </c>
      <c r="AF10" s="20" t="s">
        <v>111</v>
      </c>
      <c r="AG10" s="8" t="s">
        <v>111</v>
      </c>
      <c r="AH10" s="8" t="s">
        <v>111</v>
      </c>
      <c r="AI10" s="8" t="s">
        <v>111</v>
      </c>
      <c r="AJ10" s="8" t="s">
        <v>111</v>
      </c>
      <c r="AK10" s="8" t="s">
        <v>111</v>
      </c>
      <c r="AL10" s="8">
        <v>1000</v>
      </c>
      <c r="AM10" s="8">
        <v>1000</v>
      </c>
      <c r="AN10" s="8" t="s">
        <v>111</v>
      </c>
      <c r="AO10" s="8" t="s">
        <v>111</v>
      </c>
      <c r="AP10" s="8" t="s">
        <v>111</v>
      </c>
      <c r="AQ10" s="8" t="s">
        <v>111</v>
      </c>
      <c r="AR10" s="21" t="s">
        <v>111</v>
      </c>
      <c r="AS10" s="16" t="s">
        <v>111</v>
      </c>
      <c r="AT10" s="16" t="s">
        <v>137</v>
      </c>
      <c r="AU10" s="22" t="s">
        <v>138</v>
      </c>
      <c r="AV10" s="22" t="s">
        <v>111</v>
      </c>
      <c r="AW10" s="31" t="s">
        <v>111</v>
      </c>
    </row>
    <row r="11" spans="1:49" ht="15.75" customHeight="1" x14ac:dyDescent="0.25">
      <c r="A11" s="4">
        <v>8</v>
      </c>
      <c r="B11" s="5" t="s">
        <v>139</v>
      </c>
      <c r="C11" s="37"/>
      <c r="D11" s="7" t="s">
        <v>110</v>
      </c>
      <c r="E11" s="8">
        <v>2</v>
      </c>
      <c r="F11" s="9">
        <v>7</v>
      </c>
      <c r="G11" s="9" t="s">
        <v>111</v>
      </c>
      <c r="H11" s="10">
        <v>9.5</v>
      </c>
      <c r="I11" s="11">
        <f>20952/648933</f>
        <v>3.2286846253773503E-2</v>
      </c>
      <c r="J11" s="12" t="s">
        <v>122</v>
      </c>
      <c r="K11" s="26">
        <f>3697/114518</f>
        <v>3.2283134529069668E-2</v>
      </c>
      <c r="L11" s="14">
        <v>21300000</v>
      </c>
      <c r="M11" s="14">
        <v>53500</v>
      </c>
      <c r="N11" s="15">
        <v>0.25117370892018781</v>
      </c>
      <c r="O11" s="38">
        <v>0.50952380952380949</v>
      </c>
      <c r="P11" s="14">
        <v>202.52923837596273</v>
      </c>
      <c r="Q11" s="17">
        <v>0.17760000000000001</v>
      </c>
      <c r="R11" s="14">
        <v>17258.06451612903</v>
      </c>
      <c r="S11" s="14">
        <v>659711383.16151202</v>
      </c>
      <c r="T11" s="12" t="s">
        <v>129</v>
      </c>
      <c r="U11" s="16">
        <v>1000</v>
      </c>
      <c r="V11" s="16">
        <v>1000</v>
      </c>
      <c r="W11" s="18" t="s">
        <v>114</v>
      </c>
      <c r="X11" s="16">
        <v>2.5</v>
      </c>
      <c r="Y11" s="19">
        <v>43161</v>
      </c>
      <c r="Z11" s="30">
        <v>3.1</v>
      </c>
      <c r="AA11" s="8">
        <v>3183394</v>
      </c>
      <c r="AB11" s="8" t="s">
        <v>111</v>
      </c>
      <c r="AC11" s="8" t="s">
        <v>111</v>
      </c>
      <c r="AD11" s="8" t="s">
        <v>111</v>
      </c>
      <c r="AE11" s="20" t="s">
        <v>111</v>
      </c>
      <c r="AF11" s="39" t="s">
        <v>111</v>
      </c>
      <c r="AG11" s="30">
        <v>7.3</v>
      </c>
      <c r="AH11" s="8">
        <v>7347635</v>
      </c>
      <c r="AI11" s="8" t="s">
        <v>111</v>
      </c>
      <c r="AJ11" s="8" t="s">
        <v>111</v>
      </c>
      <c r="AK11" s="8" t="s">
        <v>111</v>
      </c>
      <c r="AL11" s="8">
        <v>105000</v>
      </c>
      <c r="AM11" s="8">
        <v>105170</v>
      </c>
      <c r="AN11" s="8">
        <v>0</v>
      </c>
      <c r="AO11" s="8" t="s">
        <v>111</v>
      </c>
      <c r="AP11" s="8">
        <v>55000</v>
      </c>
      <c r="AQ11" s="8" t="s">
        <v>111</v>
      </c>
      <c r="AR11" s="21" t="s">
        <v>111</v>
      </c>
      <c r="AS11" s="16" t="s">
        <v>111</v>
      </c>
      <c r="AT11" s="16" t="s">
        <v>111</v>
      </c>
      <c r="AU11" s="22" t="s">
        <v>140</v>
      </c>
      <c r="AV11" s="22" t="s">
        <v>111</v>
      </c>
      <c r="AW11" s="22" t="s">
        <v>111</v>
      </c>
    </row>
    <row r="12" spans="1:49" ht="15.75" customHeight="1" x14ac:dyDescent="0.25">
      <c r="A12" s="4">
        <v>9</v>
      </c>
      <c r="B12" s="40" t="s">
        <v>141</v>
      </c>
      <c r="C12" s="41"/>
      <c r="D12" s="7" t="s">
        <v>132</v>
      </c>
      <c r="E12" s="8">
        <v>2</v>
      </c>
      <c r="F12" s="32">
        <f>3/24</f>
        <v>0.125</v>
      </c>
      <c r="G12" s="9">
        <v>1</v>
      </c>
      <c r="H12" s="10">
        <v>2</v>
      </c>
      <c r="I12" s="27">
        <v>0</v>
      </c>
      <c r="J12" s="12" t="s">
        <v>128</v>
      </c>
      <c r="K12" s="28">
        <v>0</v>
      </c>
      <c r="L12" s="14">
        <v>6820000</v>
      </c>
      <c r="M12" s="14">
        <v>10100</v>
      </c>
      <c r="N12" s="15">
        <v>0.14809384164222875</v>
      </c>
      <c r="O12" s="16" t="s">
        <v>111</v>
      </c>
      <c r="P12" s="16" t="s">
        <v>111</v>
      </c>
      <c r="Q12" s="17">
        <v>0.19800000000000001</v>
      </c>
      <c r="R12" s="14" t="s">
        <v>111</v>
      </c>
      <c r="S12" s="14" t="s">
        <v>111</v>
      </c>
      <c r="T12" s="12" t="s">
        <v>113</v>
      </c>
      <c r="U12" s="7">
        <v>1</v>
      </c>
      <c r="V12" s="7">
        <v>1</v>
      </c>
      <c r="W12" s="18" t="s">
        <v>114</v>
      </c>
      <c r="X12" s="7">
        <v>2</v>
      </c>
      <c r="Y12" s="19">
        <v>43160</v>
      </c>
      <c r="Z12" s="8" t="s">
        <v>111</v>
      </c>
      <c r="AA12" s="8" t="s">
        <v>111</v>
      </c>
      <c r="AB12" s="8" t="s">
        <v>111</v>
      </c>
      <c r="AC12" s="8" t="s">
        <v>111</v>
      </c>
      <c r="AD12" s="8" t="s">
        <v>111</v>
      </c>
      <c r="AE12" s="20" t="s">
        <v>111</v>
      </c>
      <c r="AF12" s="20" t="s">
        <v>111</v>
      </c>
      <c r="AG12" s="8" t="s">
        <v>111</v>
      </c>
      <c r="AH12" s="8" t="s">
        <v>111</v>
      </c>
      <c r="AI12" s="8" t="s">
        <v>111</v>
      </c>
      <c r="AJ12" s="8" t="s">
        <v>111</v>
      </c>
      <c r="AK12" s="8" t="s">
        <v>111</v>
      </c>
      <c r="AL12" s="8" t="s">
        <v>111</v>
      </c>
      <c r="AM12" s="8" t="s">
        <v>111</v>
      </c>
      <c r="AN12" s="8" t="s">
        <v>111</v>
      </c>
      <c r="AO12" s="8" t="s">
        <v>111</v>
      </c>
      <c r="AP12" s="8" t="s">
        <v>111</v>
      </c>
      <c r="AQ12" s="8" t="s">
        <v>111</v>
      </c>
      <c r="AR12" s="21" t="s">
        <v>111</v>
      </c>
      <c r="AS12" s="16" t="s">
        <v>111</v>
      </c>
      <c r="AT12" s="16" t="s">
        <v>111</v>
      </c>
      <c r="AU12" s="22" t="s">
        <v>111</v>
      </c>
      <c r="AV12" s="22" t="s">
        <v>111</v>
      </c>
      <c r="AW12" s="22" t="s">
        <v>111</v>
      </c>
    </row>
    <row r="13" spans="1:49" ht="15.75" customHeight="1" x14ac:dyDescent="0.25">
      <c r="A13" s="4">
        <v>10</v>
      </c>
      <c r="B13" s="5" t="s">
        <v>142</v>
      </c>
      <c r="C13" s="25"/>
      <c r="D13" s="7" t="s">
        <v>132</v>
      </c>
      <c r="E13" s="8">
        <v>2</v>
      </c>
      <c r="F13" s="9" t="s">
        <v>111</v>
      </c>
      <c r="G13" s="9">
        <f t="shared" ref="G13:G14" si="0">9*7</f>
        <v>63</v>
      </c>
      <c r="H13" s="10">
        <v>11</v>
      </c>
      <c r="I13" s="27">
        <v>3.7300000000000001E-4</v>
      </c>
      <c r="J13" s="12" t="s">
        <v>128</v>
      </c>
      <c r="K13" s="28">
        <v>3.7599999999999998E-4</v>
      </c>
      <c r="L13" s="14">
        <v>4730000</v>
      </c>
      <c r="M13" s="14">
        <v>7000</v>
      </c>
      <c r="N13" s="15">
        <v>0.14799154334038056</v>
      </c>
      <c r="O13" s="38">
        <v>0.18518518518518517</v>
      </c>
      <c r="P13" s="14">
        <v>125.19735675212073</v>
      </c>
      <c r="Q13" s="17">
        <v>1.5713999999999999</v>
      </c>
      <c r="R13" s="14">
        <v>69.306930693069305</v>
      </c>
      <c r="S13" s="14">
        <v>12680965147.453083</v>
      </c>
      <c r="T13" s="12" t="s">
        <v>136</v>
      </c>
      <c r="U13" s="7">
        <v>10</v>
      </c>
      <c r="V13" s="16">
        <v>10</v>
      </c>
      <c r="W13" s="18" t="s">
        <v>114</v>
      </c>
      <c r="X13" s="29">
        <f t="shared" ref="X13:X14" si="1">AVERAGE(4,7)</f>
        <v>5.5</v>
      </c>
      <c r="Y13" s="7" t="s">
        <v>143</v>
      </c>
      <c r="Z13" s="8">
        <v>101</v>
      </c>
      <c r="AA13" s="8">
        <v>101064192.529</v>
      </c>
      <c r="AB13" s="8">
        <v>23447.602335299998</v>
      </c>
      <c r="AC13" s="8">
        <v>0</v>
      </c>
      <c r="AD13" s="8">
        <v>8109718.990425</v>
      </c>
      <c r="AE13" s="35">
        <v>6.0459636149999998</v>
      </c>
      <c r="AF13" s="36">
        <v>6045963.6150000002</v>
      </c>
      <c r="AG13" s="30">
        <v>3</v>
      </c>
      <c r="AH13" s="8">
        <v>2956862.62421</v>
      </c>
      <c r="AI13" s="8">
        <v>286.33452022699998</v>
      </c>
      <c r="AJ13" s="8">
        <v>8.1071039638400002</v>
      </c>
      <c r="AK13" s="8">
        <v>99917.375895899997</v>
      </c>
      <c r="AL13" s="8">
        <v>37800</v>
      </c>
      <c r="AM13" s="8">
        <v>37780.350342099999</v>
      </c>
      <c r="AN13" s="8">
        <v>0.89579602802500002</v>
      </c>
      <c r="AO13" s="8">
        <v>0.35279243751799999</v>
      </c>
      <c r="AP13" s="8">
        <v>286.56224239973403</v>
      </c>
      <c r="AQ13" s="8" t="s">
        <v>111</v>
      </c>
      <c r="AR13" s="21" t="s">
        <v>111</v>
      </c>
      <c r="AS13" s="16" t="s">
        <v>111</v>
      </c>
      <c r="AT13" s="16" t="s">
        <v>111</v>
      </c>
      <c r="AU13" s="22" t="s">
        <v>111</v>
      </c>
      <c r="AV13" s="22" t="s">
        <v>111</v>
      </c>
      <c r="AW13" s="31" t="s">
        <v>111</v>
      </c>
    </row>
    <row r="14" spans="1:49" ht="15.75" customHeight="1" x14ac:dyDescent="0.25">
      <c r="A14" s="4">
        <v>11</v>
      </c>
      <c r="B14" s="5" t="s">
        <v>142</v>
      </c>
      <c r="C14" s="42" t="s">
        <v>144</v>
      </c>
      <c r="D14" s="7" t="s">
        <v>132</v>
      </c>
      <c r="E14" s="8">
        <v>2</v>
      </c>
      <c r="F14" s="9" t="s">
        <v>111</v>
      </c>
      <c r="G14" s="9">
        <f t="shared" si="0"/>
        <v>63</v>
      </c>
      <c r="H14" s="10">
        <v>11</v>
      </c>
      <c r="I14" s="11">
        <v>0.2</v>
      </c>
      <c r="J14" s="12" t="s">
        <v>112</v>
      </c>
      <c r="K14" s="7" t="s">
        <v>111</v>
      </c>
      <c r="L14" s="14">
        <v>4730000</v>
      </c>
      <c r="M14" s="14">
        <v>7000</v>
      </c>
      <c r="N14" s="15">
        <v>0.14799154334038056</v>
      </c>
      <c r="O14" s="38">
        <v>0.18518518518518517</v>
      </c>
      <c r="P14" s="14">
        <v>125.19735675212073</v>
      </c>
      <c r="Q14" s="17">
        <v>1.5713999999999999</v>
      </c>
      <c r="R14" s="14">
        <v>69.306930693069305</v>
      </c>
      <c r="S14" s="14">
        <v>23650000</v>
      </c>
      <c r="T14" s="12" t="s">
        <v>136</v>
      </c>
      <c r="U14" s="7">
        <v>10</v>
      </c>
      <c r="V14" s="16">
        <v>10</v>
      </c>
      <c r="W14" s="18" t="s">
        <v>114</v>
      </c>
      <c r="X14" s="29">
        <f t="shared" si="1"/>
        <v>5.5</v>
      </c>
      <c r="Y14" s="7" t="s">
        <v>143</v>
      </c>
      <c r="Z14" s="8">
        <v>101</v>
      </c>
      <c r="AA14" s="8">
        <v>101064192.529</v>
      </c>
      <c r="AB14" s="8">
        <v>23447.602335299998</v>
      </c>
      <c r="AC14" s="8">
        <v>0</v>
      </c>
      <c r="AD14" s="8">
        <v>8109718.990425</v>
      </c>
      <c r="AE14" s="35">
        <v>6.0459636149999998</v>
      </c>
      <c r="AF14" s="36">
        <v>6045963.6150000002</v>
      </c>
      <c r="AG14" s="30">
        <v>3</v>
      </c>
      <c r="AH14" s="8">
        <v>2956862.62421</v>
      </c>
      <c r="AI14" s="8">
        <v>286.33452022699998</v>
      </c>
      <c r="AJ14" s="8">
        <v>8.1071039638400002</v>
      </c>
      <c r="AK14" s="8">
        <v>99917.375895899997</v>
      </c>
      <c r="AL14" s="8">
        <v>37800</v>
      </c>
      <c r="AM14" s="8">
        <v>37780.350342099999</v>
      </c>
      <c r="AN14" s="8">
        <v>0.89579602802500002</v>
      </c>
      <c r="AO14" s="8">
        <v>0.35279243751799999</v>
      </c>
      <c r="AP14" s="8">
        <v>286.56224239973403</v>
      </c>
      <c r="AQ14" s="8" t="s">
        <v>111</v>
      </c>
      <c r="AR14" s="21" t="s">
        <v>111</v>
      </c>
      <c r="AS14" s="16" t="s">
        <v>111</v>
      </c>
      <c r="AT14" s="16" t="s">
        <v>111</v>
      </c>
      <c r="AU14" s="22" t="s">
        <v>111</v>
      </c>
      <c r="AV14" s="22" t="s">
        <v>111</v>
      </c>
      <c r="AW14" s="22" t="s">
        <v>111</v>
      </c>
    </row>
    <row r="15" spans="1:49" ht="15.75" customHeight="1" x14ac:dyDescent="0.25">
      <c r="A15" s="4">
        <v>12</v>
      </c>
      <c r="B15" s="5" t="s">
        <v>145</v>
      </c>
      <c r="C15" s="37"/>
      <c r="D15" s="7" t="s">
        <v>110</v>
      </c>
      <c r="E15" s="8">
        <v>2</v>
      </c>
      <c r="F15" s="43">
        <v>180</v>
      </c>
      <c r="G15" s="9" t="s">
        <v>111</v>
      </c>
      <c r="H15" s="10">
        <v>2.5</v>
      </c>
      <c r="I15" s="11">
        <v>0.113443</v>
      </c>
      <c r="J15" s="12" t="s">
        <v>112</v>
      </c>
      <c r="K15" s="13">
        <v>0.34588400000000002</v>
      </c>
      <c r="L15" s="14">
        <v>554000</v>
      </c>
      <c r="M15" s="14">
        <v>582</v>
      </c>
      <c r="N15" s="15">
        <v>0.10505415162454874</v>
      </c>
      <c r="O15" s="38">
        <v>0.52909090909090906</v>
      </c>
      <c r="P15" s="14">
        <v>498.00158593994962</v>
      </c>
      <c r="Q15" s="17">
        <v>4.2954999999999997</v>
      </c>
      <c r="R15" s="14">
        <v>82006.481611948708</v>
      </c>
      <c r="S15" s="14">
        <v>4883509.7802420594</v>
      </c>
      <c r="T15" s="12" t="s">
        <v>146</v>
      </c>
      <c r="U15" s="7" t="s">
        <v>111</v>
      </c>
      <c r="V15" s="7" t="s">
        <v>111</v>
      </c>
      <c r="W15" s="7" t="s">
        <v>111</v>
      </c>
      <c r="X15" s="7">
        <v>3</v>
      </c>
      <c r="Y15" s="19">
        <v>43192</v>
      </c>
      <c r="Z15" s="44">
        <v>7.097E-3</v>
      </c>
      <c r="AA15" s="8">
        <v>7097</v>
      </c>
      <c r="AB15" s="8" t="s">
        <v>111</v>
      </c>
      <c r="AC15" s="8" t="s">
        <v>111</v>
      </c>
      <c r="AD15" s="8" t="s">
        <v>111</v>
      </c>
      <c r="AE15" s="45">
        <v>3.214272003E-4</v>
      </c>
      <c r="AF15" s="36">
        <v>321.42720029999998</v>
      </c>
      <c r="AG15" s="46">
        <v>0.09</v>
      </c>
      <c r="AH15" s="8">
        <v>86927.946881299998</v>
      </c>
      <c r="AI15" s="8">
        <v>158.281840977</v>
      </c>
      <c r="AJ15" s="8">
        <v>638.4598686713</v>
      </c>
      <c r="AK15" s="8">
        <v>70924.183409643359</v>
      </c>
      <c r="AL15" s="8">
        <v>1100</v>
      </c>
      <c r="AM15" s="8">
        <v>1112.4462564800001</v>
      </c>
      <c r="AN15" s="8">
        <v>3.0286480152399999</v>
      </c>
      <c r="AO15" s="8">
        <v>13.106040545761001</v>
      </c>
      <c r="AP15" s="8">
        <v>875.02128771964601</v>
      </c>
      <c r="AQ15" s="8">
        <v>15520</v>
      </c>
      <c r="AR15" s="24" t="s">
        <v>147</v>
      </c>
      <c r="AS15" s="16" t="s">
        <v>148</v>
      </c>
      <c r="AT15" s="16" t="s">
        <v>111</v>
      </c>
      <c r="AU15" s="22" t="s">
        <v>111</v>
      </c>
      <c r="AV15" s="22" t="s">
        <v>111</v>
      </c>
      <c r="AW15" s="31" t="s">
        <v>111</v>
      </c>
    </row>
    <row r="16" spans="1:49" ht="15.75" customHeight="1" x14ac:dyDescent="0.25">
      <c r="A16" s="4">
        <v>13</v>
      </c>
      <c r="B16" s="5" t="s">
        <v>149</v>
      </c>
      <c r="C16" s="25"/>
      <c r="D16" s="7" t="s">
        <v>110</v>
      </c>
      <c r="E16" s="8">
        <v>2</v>
      </c>
      <c r="F16" s="9">
        <v>490</v>
      </c>
      <c r="G16" s="9" t="s">
        <v>111</v>
      </c>
      <c r="H16" s="10" t="s">
        <v>111</v>
      </c>
      <c r="I16" s="11">
        <v>5.0000000000000001E-3</v>
      </c>
      <c r="J16" s="12" t="s">
        <v>135</v>
      </c>
      <c r="K16" s="7" t="s">
        <v>111</v>
      </c>
      <c r="L16" s="14">
        <v>20500000</v>
      </c>
      <c r="M16" s="14">
        <v>32400</v>
      </c>
      <c r="N16" s="15">
        <v>0.15804878048780488</v>
      </c>
      <c r="O16" s="8" t="s">
        <v>111</v>
      </c>
      <c r="P16" s="14">
        <v>104.12116656339201</v>
      </c>
      <c r="Q16" s="17" t="s">
        <v>111</v>
      </c>
      <c r="R16" s="14">
        <v>100</v>
      </c>
      <c r="S16" s="14">
        <v>4100000000</v>
      </c>
      <c r="T16" s="12" t="s">
        <v>123</v>
      </c>
      <c r="U16" s="18">
        <v>10</v>
      </c>
      <c r="V16" s="18">
        <v>10</v>
      </c>
      <c r="W16" s="18" t="s">
        <v>114</v>
      </c>
      <c r="X16" s="18">
        <v>2</v>
      </c>
      <c r="Y16" s="19">
        <v>43160</v>
      </c>
      <c r="Z16" s="8">
        <v>324</v>
      </c>
      <c r="AA16" s="8">
        <f>81082327+240886759+2481511</f>
        <v>324450597</v>
      </c>
      <c r="AB16" s="8" t="s">
        <v>111</v>
      </c>
      <c r="AC16" s="8" t="s">
        <v>111</v>
      </c>
      <c r="AD16" s="8" t="s">
        <v>111</v>
      </c>
      <c r="AE16" s="20" t="s">
        <v>111</v>
      </c>
      <c r="AF16" s="20" t="s">
        <v>111</v>
      </c>
      <c r="AG16" s="8">
        <v>16</v>
      </c>
      <c r="AH16" s="8">
        <f>9717390+5887541+26827</f>
        <v>15631758</v>
      </c>
      <c r="AI16" s="8" t="s">
        <v>111</v>
      </c>
      <c r="AJ16" s="8" t="s">
        <v>111</v>
      </c>
      <c r="AK16" s="8" t="s">
        <v>111</v>
      </c>
      <c r="AL16" s="8">
        <v>197000</v>
      </c>
      <c r="AM16" s="8">
        <f>122760+73857+269</f>
        <v>196886</v>
      </c>
      <c r="AN16" s="8">
        <v>100</v>
      </c>
      <c r="AO16" s="8" t="s">
        <v>111</v>
      </c>
      <c r="AP16" s="8">
        <v>103000</v>
      </c>
      <c r="AQ16" s="8" t="s">
        <v>111</v>
      </c>
      <c r="AR16" s="21" t="s">
        <v>111</v>
      </c>
      <c r="AS16" s="16" t="s">
        <v>111</v>
      </c>
      <c r="AT16" s="16" t="s">
        <v>111</v>
      </c>
      <c r="AU16" s="22" t="s">
        <v>111</v>
      </c>
      <c r="AV16" s="22" t="s">
        <v>111</v>
      </c>
      <c r="AW16" s="22" t="s">
        <v>111</v>
      </c>
    </row>
    <row r="17" spans="1:49" ht="15.75" customHeight="1" x14ac:dyDescent="0.25">
      <c r="A17" s="4">
        <v>14</v>
      </c>
      <c r="B17" s="5" t="s">
        <v>150</v>
      </c>
      <c r="C17" s="1"/>
      <c r="D17" s="16" t="s">
        <v>132</v>
      </c>
      <c r="E17" s="8">
        <v>4</v>
      </c>
      <c r="F17" s="9">
        <v>0.5</v>
      </c>
      <c r="G17" s="9">
        <v>14</v>
      </c>
      <c r="H17" s="10">
        <v>1.9</v>
      </c>
      <c r="I17" s="11">
        <v>0.5</v>
      </c>
      <c r="J17" s="12" t="s">
        <v>117</v>
      </c>
      <c r="K17" s="7" t="s">
        <v>111</v>
      </c>
      <c r="L17" s="14">
        <v>10300000</v>
      </c>
      <c r="M17" s="14">
        <v>45400</v>
      </c>
      <c r="N17" s="15">
        <v>0.4407766990291262</v>
      </c>
      <c r="O17" s="14">
        <v>11350</v>
      </c>
      <c r="P17" s="14">
        <v>2575000</v>
      </c>
      <c r="Q17" s="17">
        <v>4.07E-2</v>
      </c>
      <c r="R17" s="14">
        <v>1135000000</v>
      </c>
      <c r="S17" s="14">
        <v>20600000</v>
      </c>
      <c r="T17" s="12" t="s">
        <v>146</v>
      </c>
      <c r="U17" s="16">
        <v>5</v>
      </c>
      <c r="V17" s="7">
        <v>10</v>
      </c>
      <c r="W17" s="18" t="s">
        <v>114</v>
      </c>
      <c r="X17" s="16">
        <v>8.5</v>
      </c>
      <c r="Y17" s="19">
        <v>43439</v>
      </c>
      <c r="Z17" s="47">
        <v>4.0000000000000003E-5</v>
      </c>
      <c r="AA17" s="8">
        <v>41.082186945499998</v>
      </c>
      <c r="AB17" s="8">
        <v>0</v>
      </c>
      <c r="AC17" s="8">
        <v>0</v>
      </c>
      <c r="AD17" s="8">
        <v>41.082186945499998</v>
      </c>
      <c r="AE17" s="45">
        <v>6.2591055340000001E-4</v>
      </c>
      <c r="AF17" s="36">
        <v>625.91055340000003</v>
      </c>
      <c r="AG17" s="48">
        <v>2.9999999999999997E-4</v>
      </c>
      <c r="AH17" s="8">
        <v>330.51274044899998</v>
      </c>
      <c r="AI17" s="8">
        <v>0</v>
      </c>
      <c r="AJ17" s="8">
        <v>1.5663448657399999E-2</v>
      </c>
      <c r="AK17" s="8">
        <v>330.49707700099998</v>
      </c>
      <c r="AL17" s="8">
        <v>4</v>
      </c>
      <c r="AM17" s="8">
        <v>4</v>
      </c>
      <c r="AN17" s="8">
        <v>0</v>
      </c>
      <c r="AO17" s="8">
        <v>0</v>
      </c>
      <c r="AP17" s="8">
        <v>4</v>
      </c>
      <c r="AQ17" s="8">
        <v>37700</v>
      </c>
      <c r="AR17" s="21" t="s">
        <v>151</v>
      </c>
      <c r="AS17" s="16" t="s">
        <v>111</v>
      </c>
      <c r="AT17" s="16" t="s">
        <v>111</v>
      </c>
      <c r="AU17" s="22" t="s">
        <v>111</v>
      </c>
      <c r="AV17" s="22" t="s">
        <v>111</v>
      </c>
      <c r="AW17" s="31" t="s">
        <v>111</v>
      </c>
    </row>
    <row r="18" spans="1:49" ht="15.75" customHeight="1" x14ac:dyDescent="0.25">
      <c r="A18" s="4">
        <v>15</v>
      </c>
      <c r="B18" s="5" t="s">
        <v>152</v>
      </c>
      <c r="C18" s="6" t="s">
        <v>153</v>
      </c>
      <c r="D18" s="7" t="s">
        <v>154</v>
      </c>
      <c r="E18" s="8">
        <v>2</v>
      </c>
      <c r="F18" s="9" t="s">
        <v>111</v>
      </c>
      <c r="G18" s="9" t="s">
        <v>111</v>
      </c>
      <c r="H18" s="10">
        <v>0.8</v>
      </c>
      <c r="I18" s="11">
        <v>4.718E-3</v>
      </c>
      <c r="J18" s="12" t="s">
        <v>135</v>
      </c>
      <c r="K18" s="26">
        <v>5.8960000000000002E-3</v>
      </c>
      <c r="L18" s="14">
        <v>444000</v>
      </c>
      <c r="M18" s="14">
        <v>39</v>
      </c>
      <c r="N18" s="49">
        <v>8.7837837837837843E-3</v>
      </c>
      <c r="O18" s="38">
        <v>3.9E-2</v>
      </c>
      <c r="P18" s="14">
        <v>438.68513208921109</v>
      </c>
      <c r="Q18" s="17">
        <v>21.410299999999999</v>
      </c>
      <c r="R18" s="14">
        <v>195</v>
      </c>
      <c r="S18" s="14">
        <v>94107672.742687583</v>
      </c>
      <c r="T18" s="12" t="s">
        <v>123</v>
      </c>
      <c r="U18" s="7" t="s">
        <v>111</v>
      </c>
      <c r="V18" s="18" t="s">
        <v>111</v>
      </c>
      <c r="W18" s="7" t="s">
        <v>111</v>
      </c>
      <c r="X18" s="7">
        <v>3833</v>
      </c>
      <c r="Y18" s="7" t="s">
        <v>155</v>
      </c>
      <c r="Z18" s="30">
        <v>0.2</v>
      </c>
      <c r="AA18" s="8">
        <v>204202.07682300001</v>
      </c>
      <c r="AB18" s="8">
        <v>281.23224490400003</v>
      </c>
      <c r="AC18" s="8">
        <v>8654.8721097500002</v>
      </c>
      <c r="AD18" s="8">
        <v>116336.724623738</v>
      </c>
      <c r="AE18" s="35">
        <v>0.9736623217</v>
      </c>
      <c r="AF18" s="36">
        <v>973662.32169999997</v>
      </c>
      <c r="AG18" s="30">
        <v>0.1</v>
      </c>
      <c r="AH18" s="8">
        <v>136528.29408699999</v>
      </c>
      <c r="AI18" s="8">
        <v>227.25721265600001</v>
      </c>
      <c r="AJ18" s="8">
        <v>6348.3848685369994</v>
      </c>
      <c r="AK18" s="8">
        <v>83495.861727331008</v>
      </c>
      <c r="AL18" s="8">
        <v>1000</v>
      </c>
      <c r="AM18" s="8">
        <v>1012.11545029</v>
      </c>
      <c r="AN18" s="8">
        <v>3.2678921330100001</v>
      </c>
      <c r="AO18" s="8">
        <v>94.751889350100001</v>
      </c>
      <c r="AP18" s="8">
        <v>603.88017468500004</v>
      </c>
      <c r="AQ18" s="8" t="s">
        <v>111</v>
      </c>
      <c r="AR18" s="21" t="s">
        <v>111</v>
      </c>
      <c r="AS18" s="16" t="s">
        <v>111</v>
      </c>
      <c r="AT18" s="16" t="s">
        <v>111</v>
      </c>
      <c r="AU18" s="22" t="s">
        <v>156</v>
      </c>
      <c r="AV18" s="22" t="s">
        <v>157</v>
      </c>
      <c r="AW18" s="22" t="s">
        <v>111</v>
      </c>
    </row>
    <row r="19" spans="1:49" ht="15.75" customHeight="1" x14ac:dyDescent="0.25">
      <c r="A19" s="4">
        <v>16</v>
      </c>
      <c r="B19" s="5" t="s">
        <v>152</v>
      </c>
      <c r="C19" s="6" t="s">
        <v>158</v>
      </c>
      <c r="D19" s="7" t="s">
        <v>154</v>
      </c>
      <c r="E19" s="8">
        <v>2</v>
      </c>
      <c r="F19" s="9" t="s">
        <v>111</v>
      </c>
      <c r="G19" s="9" t="s">
        <v>111</v>
      </c>
      <c r="H19" s="10">
        <v>0.8</v>
      </c>
      <c r="I19" s="11">
        <f>AVERAGE(0.5,0.75)</f>
        <v>0.625</v>
      </c>
      <c r="J19" s="12" t="s">
        <v>117</v>
      </c>
      <c r="K19" s="7" t="s">
        <v>111</v>
      </c>
      <c r="L19" s="14">
        <v>444000</v>
      </c>
      <c r="M19" s="14">
        <v>39</v>
      </c>
      <c r="N19" s="49">
        <v>8.7837837837837843E-3</v>
      </c>
      <c r="O19" s="8" t="s">
        <v>111</v>
      </c>
      <c r="P19" s="14">
        <v>38.648856855602126</v>
      </c>
      <c r="Q19" s="17">
        <v>21.410299999999999</v>
      </c>
      <c r="R19" s="14">
        <v>2138.7441732931175</v>
      </c>
      <c r="S19" s="14">
        <v>710400</v>
      </c>
      <c r="T19" s="12" t="s">
        <v>123</v>
      </c>
      <c r="U19" s="18" t="s">
        <v>111</v>
      </c>
      <c r="V19" s="7" t="s">
        <v>111</v>
      </c>
      <c r="W19" s="7" t="s">
        <v>111</v>
      </c>
      <c r="X19" s="7">
        <v>3833</v>
      </c>
      <c r="Y19" s="7" t="s">
        <v>155</v>
      </c>
      <c r="Z19" s="46">
        <v>1.8235000000000001E-2</v>
      </c>
      <c r="AA19" s="8">
        <v>18235</v>
      </c>
      <c r="AB19" s="8" t="s">
        <v>111</v>
      </c>
      <c r="AC19" s="8" t="s">
        <v>111</v>
      </c>
      <c r="AD19" s="8" t="s">
        <v>111</v>
      </c>
      <c r="AE19" s="35">
        <v>1</v>
      </c>
      <c r="AF19" s="20">
        <v>1000000</v>
      </c>
      <c r="AG19" s="30">
        <f>AH19/1000000</f>
        <v>0.66643399999999997</v>
      </c>
      <c r="AH19" s="8">
        <v>666434</v>
      </c>
      <c r="AI19" s="8" t="s">
        <v>111</v>
      </c>
      <c r="AJ19" s="8" t="s">
        <v>111</v>
      </c>
      <c r="AK19" s="8" t="s">
        <v>111</v>
      </c>
      <c r="AL19" s="8">
        <v>11450</v>
      </c>
      <c r="AM19" s="8">
        <f>0.63*AA19</f>
        <v>11488.05</v>
      </c>
      <c r="AN19" s="8" t="s">
        <v>111</v>
      </c>
      <c r="AO19" s="8" t="s">
        <v>111</v>
      </c>
      <c r="AP19" s="8" t="s">
        <v>111</v>
      </c>
      <c r="AQ19" s="8" t="s">
        <v>111</v>
      </c>
      <c r="AR19" s="21" t="s">
        <v>111</v>
      </c>
      <c r="AS19" s="16" t="s">
        <v>111</v>
      </c>
      <c r="AT19" s="16" t="s">
        <v>159</v>
      </c>
      <c r="AU19" s="22" t="s">
        <v>160</v>
      </c>
      <c r="AV19" s="22" t="s">
        <v>111</v>
      </c>
      <c r="AW19" s="22" t="s">
        <v>111</v>
      </c>
    </row>
    <row r="20" spans="1:49" ht="15.75" customHeight="1" x14ac:dyDescent="0.25">
      <c r="A20" s="4">
        <v>17</v>
      </c>
      <c r="B20" s="40" t="s">
        <v>161</v>
      </c>
      <c r="C20" s="1"/>
      <c r="D20" s="7" t="s">
        <v>154</v>
      </c>
      <c r="E20" s="8" t="s">
        <v>111</v>
      </c>
      <c r="F20" s="9" t="s">
        <v>111</v>
      </c>
      <c r="G20" s="9" t="s">
        <v>111</v>
      </c>
      <c r="H20" s="10">
        <v>10.199999999999999</v>
      </c>
      <c r="I20" s="27">
        <v>5.0000000000000001E-4</v>
      </c>
      <c r="J20" s="12" t="s">
        <v>128</v>
      </c>
      <c r="K20" s="7" t="s">
        <v>111</v>
      </c>
      <c r="L20" s="14">
        <v>777000</v>
      </c>
      <c r="M20" s="14">
        <v>4090</v>
      </c>
      <c r="N20" s="15">
        <v>0.52638352638352637</v>
      </c>
      <c r="O20" s="8" t="s">
        <v>111</v>
      </c>
      <c r="P20" s="14">
        <v>222</v>
      </c>
      <c r="Q20" s="17">
        <v>2.4817</v>
      </c>
      <c r="R20" s="14">
        <v>151481481.48148149</v>
      </c>
      <c r="S20" s="14">
        <v>1554000000</v>
      </c>
      <c r="T20" s="12" t="s">
        <v>129</v>
      </c>
      <c r="U20" s="7">
        <v>1</v>
      </c>
      <c r="V20" s="7">
        <v>1</v>
      </c>
      <c r="W20" s="18" t="s">
        <v>114</v>
      </c>
      <c r="X20" s="7">
        <v>450</v>
      </c>
      <c r="Y20" s="7" t="s">
        <v>162</v>
      </c>
      <c r="Z20" s="50">
        <v>2.6999999999999999E-5</v>
      </c>
      <c r="AA20" s="8">
        <v>26.697604544699999</v>
      </c>
      <c r="AB20" s="8">
        <v>0</v>
      </c>
      <c r="AC20" s="8">
        <v>0</v>
      </c>
      <c r="AD20" s="8">
        <v>26.697604544699999</v>
      </c>
      <c r="AE20" s="51">
        <v>1.4915061740000001E-5</v>
      </c>
      <c r="AF20" s="36">
        <v>14.915061740000001</v>
      </c>
      <c r="AG20" s="50">
        <v>9.9999999999999995E-7</v>
      </c>
      <c r="AH20" s="8">
        <v>0.86996690623700001</v>
      </c>
      <c r="AI20" s="8">
        <v>0</v>
      </c>
      <c r="AJ20" s="8">
        <v>0</v>
      </c>
      <c r="AK20" s="8">
        <v>0.86996690623700001</v>
      </c>
      <c r="AL20" s="8" t="s">
        <v>111</v>
      </c>
      <c r="AM20" s="8" t="s">
        <v>111</v>
      </c>
      <c r="AN20" s="8" t="s">
        <v>111</v>
      </c>
      <c r="AO20" s="8" t="s">
        <v>111</v>
      </c>
      <c r="AP20" s="8" t="s">
        <v>111</v>
      </c>
      <c r="AQ20" s="8">
        <v>3500</v>
      </c>
      <c r="AR20" s="21" t="s">
        <v>163</v>
      </c>
      <c r="AS20" s="16" t="s">
        <v>164</v>
      </c>
      <c r="AT20" s="16" t="s">
        <v>165</v>
      </c>
      <c r="AU20" s="22" t="s">
        <v>166</v>
      </c>
      <c r="AV20" s="22" t="s">
        <v>167</v>
      </c>
      <c r="AW20" s="22" t="s">
        <v>111</v>
      </c>
    </row>
    <row r="21" spans="1:49" ht="15.75" customHeight="1" x14ac:dyDescent="0.25">
      <c r="A21" s="4">
        <v>18</v>
      </c>
      <c r="B21" s="5" t="s">
        <v>168</v>
      </c>
      <c r="C21" s="1"/>
      <c r="D21" s="18" t="s">
        <v>132</v>
      </c>
      <c r="E21" s="8">
        <v>2</v>
      </c>
      <c r="F21" s="43">
        <v>14</v>
      </c>
      <c r="G21" s="9">
        <v>150</v>
      </c>
      <c r="H21" s="10">
        <v>4</v>
      </c>
      <c r="I21" s="27">
        <v>5.9999999999999995E-4</v>
      </c>
      <c r="J21" s="12" t="s">
        <v>128</v>
      </c>
      <c r="K21" s="28">
        <f>10/100000</f>
        <v>1E-4</v>
      </c>
      <c r="L21" s="14">
        <v>1120000</v>
      </c>
      <c r="M21" s="14">
        <v>2790</v>
      </c>
      <c r="N21" s="15">
        <v>0.24910714285714283</v>
      </c>
      <c r="O21" s="16" t="s">
        <v>111</v>
      </c>
      <c r="P21" s="16" t="s">
        <v>111</v>
      </c>
      <c r="Q21" s="17">
        <v>1.4300999999999999</v>
      </c>
      <c r="R21" s="14" t="s">
        <v>111</v>
      </c>
      <c r="S21" s="14">
        <v>1866666666.6666667</v>
      </c>
      <c r="T21" s="10" t="s">
        <v>146</v>
      </c>
      <c r="U21" s="7">
        <v>18</v>
      </c>
      <c r="V21" s="16">
        <v>10</v>
      </c>
      <c r="W21" s="18" t="s">
        <v>114</v>
      </c>
      <c r="X21" s="7">
        <f>AVERAGE(3,6)</f>
        <v>4.5</v>
      </c>
      <c r="Y21" s="19">
        <v>43254</v>
      </c>
      <c r="Z21" s="8" t="s">
        <v>111</v>
      </c>
      <c r="AA21" s="8" t="s">
        <v>111</v>
      </c>
      <c r="AB21" s="8" t="s">
        <v>111</v>
      </c>
      <c r="AC21" s="8" t="s">
        <v>111</v>
      </c>
      <c r="AD21" s="8" t="s">
        <v>111</v>
      </c>
      <c r="AE21" s="20" t="s">
        <v>111</v>
      </c>
      <c r="AF21" s="20" t="s">
        <v>111</v>
      </c>
      <c r="AG21" s="8" t="s">
        <v>111</v>
      </c>
      <c r="AH21" s="8" t="s">
        <v>111</v>
      </c>
      <c r="AI21" s="8" t="s">
        <v>111</v>
      </c>
      <c r="AJ21" s="8" t="s">
        <v>111</v>
      </c>
      <c r="AK21" s="8" t="s">
        <v>111</v>
      </c>
      <c r="AL21" s="8" t="s">
        <v>111</v>
      </c>
      <c r="AM21" s="8" t="s">
        <v>111</v>
      </c>
      <c r="AN21" s="8" t="s">
        <v>111</v>
      </c>
      <c r="AO21" s="8" t="s">
        <v>111</v>
      </c>
      <c r="AP21" s="8" t="s">
        <v>111</v>
      </c>
      <c r="AQ21" s="8">
        <f>2700/(2013-2008)</f>
        <v>540</v>
      </c>
      <c r="AR21" s="24" t="s">
        <v>169</v>
      </c>
      <c r="AS21" s="16" t="s">
        <v>148</v>
      </c>
      <c r="AT21" s="16" t="s">
        <v>111</v>
      </c>
      <c r="AU21" s="22" t="s">
        <v>170</v>
      </c>
      <c r="AV21" s="22" t="s">
        <v>111</v>
      </c>
      <c r="AW21" s="31" t="s">
        <v>111</v>
      </c>
    </row>
    <row r="22" spans="1:49" ht="15.75" customHeight="1" x14ac:dyDescent="0.25">
      <c r="A22" s="4">
        <v>19</v>
      </c>
      <c r="B22" s="5" t="s">
        <v>171</v>
      </c>
      <c r="C22" s="1"/>
      <c r="D22" s="7" t="s">
        <v>132</v>
      </c>
      <c r="E22" s="8">
        <v>3</v>
      </c>
      <c r="F22" s="9">
        <v>8</v>
      </c>
      <c r="G22" s="43">
        <v>13.5</v>
      </c>
      <c r="H22" s="10">
        <v>2.1</v>
      </c>
      <c r="I22" s="11">
        <v>0.36</v>
      </c>
      <c r="J22" s="12" t="s">
        <v>112</v>
      </c>
      <c r="K22" s="7" t="s">
        <v>111</v>
      </c>
      <c r="L22" s="14">
        <v>872000</v>
      </c>
      <c r="M22" s="14">
        <v>4210</v>
      </c>
      <c r="N22" s="15">
        <v>0.4827981651376147</v>
      </c>
      <c r="O22" s="23" t="s">
        <v>111</v>
      </c>
      <c r="P22" s="16" t="s">
        <v>111</v>
      </c>
      <c r="Q22" s="17">
        <v>0.49880000000000002</v>
      </c>
      <c r="R22" s="14">
        <v>21050</v>
      </c>
      <c r="S22" s="14">
        <v>2422222.2222222225</v>
      </c>
      <c r="T22" s="12" t="s">
        <v>113</v>
      </c>
      <c r="U22" s="7" t="s">
        <v>111</v>
      </c>
      <c r="V22" s="7" t="s">
        <v>111</v>
      </c>
      <c r="W22" s="7" t="s">
        <v>111</v>
      </c>
      <c r="X22" s="29">
        <f>AVERAGE(7,28)</f>
        <v>17.5</v>
      </c>
      <c r="Y22" s="7" t="s">
        <v>172</v>
      </c>
      <c r="Z22" s="30">
        <v>0.2</v>
      </c>
      <c r="AA22" s="8">
        <v>175000</v>
      </c>
      <c r="AB22" s="8">
        <v>29</v>
      </c>
      <c r="AC22" s="8">
        <v>3667</v>
      </c>
      <c r="AD22" s="8" t="s">
        <v>111</v>
      </c>
      <c r="AE22" s="20" t="s">
        <v>111</v>
      </c>
      <c r="AF22" s="20" t="s">
        <v>111</v>
      </c>
      <c r="AG22" s="8" t="s">
        <v>111</v>
      </c>
      <c r="AH22" s="8" t="s">
        <v>111</v>
      </c>
      <c r="AI22" s="8" t="s">
        <v>111</v>
      </c>
      <c r="AJ22" s="8" t="s">
        <v>111</v>
      </c>
      <c r="AK22" s="8" t="s">
        <v>111</v>
      </c>
      <c r="AL22" s="8" t="s">
        <v>111</v>
      </c>
      <c r="AM22" s="8" t="s">
        <v>111</v>
      </c>
      <c r="AN22" s="8">
        <v>13</v>
      </c>
      <c r="AO22" s="8" t="s">
        <v>111</v>
      </c>
      <c r="AP22" s="8" t="s">
        <v>111</v>
      </c>
      <c r="AQ22" s="8" t="s">
        <v>111</v>
      </c>
      <c r="AR22" s="21" t="s">
        <v>111</v>
      </c>
      <c r="AS22" s="16" t="s">
        <v>111</v>
      </c>
      <c r="AT22" s="16" t="s">
        <v>173</v>
      </c>
      <c r="AU22" s="22" t="s">
        <v>111</v>
      </c>
      <c r="AV22" s="22" t="s">
        <v>111</v>
      </c>
      <c r="AW22" s="31" t="s">
        <v>111</v>
      </c>
    </row>
    <row r="23" spans="1:49" ht="15.75" customHeight="1" x14ac:dyDescent="0.25">
      <c r="A23" s="4">
        <v>20</v>
      </c>
      <c r="B23" s="5" t="s">
        <v>174</v>
      </c>
      <c r="C23" s="1"/>
      <c r="D23" s="7" t="s">
        <v>154</v>
      </c>
      <c r="E23" s="8" t="s">
        <v>111</v>
      </c>
      <c r="F23" s="9" t="s">
        <v>111</v>
      </c>
      <c r="G23" s="9" t="s">
        <v>111</v>
      </c>
      <c r="H23" s="10">
        <v>1.9</v>
      </c>
      <c r="I23" s="12" t="s">
        <v>111</v>
      </c>
      <c r="J23" s="12" t="s">
        <v>111</v>
      </c>
      <c r="K23" s="7" t="s">
        <v>111</v>
      </c>
      <c r="L23" s="14">
        <v>121000</v>
      </c>
      <c r="M23" s="14">
        <v>26</v>
      </c>
      <c r="N23" s="15">
        <v>2.1487603305785124E-2</v>
      </c>
      <c r="O23" s="38">
        <v>9.285714285714286E-3</v>
      </c>
      <c r="P23" s="14">
        <v>42.847025495750707</v>
      </c>
      <c r="Q23" s="17">
        <v>73.076899999999995</v>
      </c>
      <c r="R23" s="14" t="s">
        <v>111</v>
      </c>
      <c r="S23" s="14" t="s">
        <v>111</v>
      </c>
      <c r="T23" s="12" t="s">
        <v>123</v>
      </c>
      <c r="U23" s="7">
        <v>1</v>
      </c>
      <c r="V23" s="7">
        <v>1</v>
      </c>
      <c r="W23" s="18" t="s">
        <v>114</v>
      </c>
      <c r="X23" s="7">
        <v>368.5</v>
      </c>
      <c r="Y23" s="7" t="s">
        <v>175</v>
      </c>
      <c r="Z23" s="8" t="s">
        <v>111</v>
      </c>
      <c r="AA23" s="8" t="s">
        <v>111</v>
      </c>
      <c r="AB23" s="8" t="s">
        <v>111</v>
      </c>
      <c r="AC23" s="8" t="s">
        <v>111</v>
      </c>
      <c r="AD23" s="8" t="s">
        <v>111</v>
      </c>
      <c r="AE23" s="36">
        <v>1500</v>
      </c>
      <c r="AF23" s="20">
        <v>1500000000</v>
      </c>
      <c r="AG23" s="30">
        <v>5.2</v>
      </c>
      <c r="AH23" s="8">
        <v>5180000</v>
      </c>
      <c r="AI23" s="8" t="s">
        <v>111</v>
      </c>
      <c r="AJ23" s="8" t="s">
        <v>111</v>
      </c>
      <c r="AK23" s="8" t="s">
        <v>111</v>
      </c>
      <c r="AL23" s="8">
        <v>2800</v>
      </c>
      <c r="AM23" s="8">
        <v>2824</v>
      </c>
      <c r="AN23" s="8" t="s">
        <v>111</v>
      </c>
      <c r="AO23" s="8" t="s">
        <v>111</v>
      </c>
      <c r="AP23" s="8" t="s">
        <v>111</v>
      </c>
      <c r="AQ23" s="8" t="s">
        <v>111</v>
      </c>
      <c r="AR23" s="21" t="s">
        <v>111</v>
      </c>
      <c r="AS23" s="16" t="s">
        <v>111</v>
      </c>
      <c r="AT23" s="16" t="s">
        <v>111</v>
      </c>
      <c r="AU23" s="22" t="s">
        <v>111</v>
      </c>
      <c r="AV23" s="22" t="s">
        <v>111</v>
      </c>
      <c r="AW23" s="22" t="s">
        <v>111</v>
      </c>
    </row>
    <row r="24" spans="1:49" ht="15.75" customHeight="1" x14ac:dyDescent="0.25">
      <c r="A24" s="4">
        <v>21</v>
      </c>
      <c r="B24" s="5" t="s">
        <v>176</v>
      </c>
      <c r="C24" s="42" t="s">
        <v>177</v>
      </c>
      <c r="D24" s="7" t="s">
        <v>132</v>
      </c>
      <c r="E24" s="8">
        <v>2</v>
      </c>
      <c r="F24" s="9">
        <v>60</v>
      </c>
      <c r="G24" s="9">
        <v>365</v>
      </c>
      <c r="H24" s="10">
        <v>2</v>
      </c>
      <c r="I24" s="27">
        <v>8.2000000000000001E-5</v>
      </c>
      <c r="J24" s="12" t="s">
        <v>128</v>
      </c>
      <c r="K24" s="34">
        <v>2.6999999999999999E-5</v>
      </c>
      <c r="L24" s="14">
        <v>4820000</v>
      </c>
      <c r="M24" s="14">
        <v>19400</v>
      </c>
      <c r="N24" s="15">
        <v>0.40248962655601661</v>
      </c>
      <c r="O24" s="38">
        <v>3.7307692307692308</v>
      </c>
      <c r="P24" s="14">
        <v>918.21153999142643</v>
      </c>
      <c r="Q24" s="17">
        <v>0.1031</v>
      </c>
      <c r="R24" s="14">
        <v>121.25</v>
      </c>
      <c r="S24" s="14">
        <v>58780487804.878052</v>
      </c>
      <c r="T24" s="12" t="s">
        <v>123</v>
      </c>
      <c r="U24" s="7">
        <v>10</v>
      </c>
      <c r="V24" s="16">
        <v>10</v>
      </c>
      <c r="W24" s="18" t="s">
        <v>114</v>
      </c>
      <c r="X24" s="7">
        <v>30</v>
      </c>
      <c r="Y24" s="7" t="s">
        <v>178</v>
      </c>
      <c r="Z24" s="8">
        <v>160</v>
      </c>
      <c r="AA24" s="8">
        <v>159515772.123</v>
      </c>
      <c r="AB24" s="8">
        <v>629671.68153399997</v>
      </c>
      <c r="AC24" s="8">
        <v>1694948.137347</v>
      </c>
      <c r="AD24" s="8">
        <v>20917488.772637717</v>
      </c>
      <c r="AE24" s="36">
        <v>12.270444019999999</v>
      </c>
      <c r="AF24" s="36">
        <v>12270444.02</v>
      </c>
      <c r="AG24" s="30">
        <v>0.5</v>
      </c>
      <c r="AH24" s="8">
        <v>450658.87981100002</v>
      </c>
      <c r="AI24" s="8">
        <v>3817.7934639199998</v>
      </c>
      <c r="AJ24" s="8">
        <v>6410.8124594250003</v>
      </c>
      <c r="AK24" s="8">
        <v>57957.811067942705</v>
      </c>
      <c r="AL24" s="8">
        <v>5200</v>
      </c>
      <c r="AM24" s="8">
        <v>5249.3350280100003</v>
      </c>
      <c r="AN24" s="8">
        <v>70.037102298600004</v>
      </c>
      <c r="AO24" s="8">
        <v>104.655944031</v>
      </c>
      <c r="AP24" s="8">
        <v>629.37983554266793</v>
      </c>
      <c r="AQ24" s="8" t="s">
        <v>111</v>
      </c>
      <c r="AR24" s="21" t="s">
        <v>111</v>
      </c>
      <c r="AS24" s="16" t="s">
        <v>179</v>
      </c>
      <c r="AT24" s="16" t="s">
        <v>180</v>
      </c>
      <c r="AU24" s="22" t="s">
        <v>166</v>
      </c>
      <c r="AV24" s="22" t="s">
        <v>111</v>
      </c>
      <c r="AW24" s="22" t="s">
        <v>111</v>
      </c>
    </row>
    <row r="25" spans="1:49" ht="15.75" customHeight="1" x14ac:dyDescent="0.25">
      <c r="A25" s="4">
        <v>22</v>
      </c>
      <c r="B25" s="5" t="s">
        <v>181</v>
      </c>
      <c r="C25" s="37"/>
      <c r="D25" s="18" t="s">
        <v>132</v>
      </c>
      <c r="E25" s="8">
        <v>2</v>
      </c>
      <c r="F25" s="43">
        <v>170</v>
      </c>
      <c r="G25" s="9" t="s">
        <v>111</v>
      </c>
      <c r="H25" s="10">
        <v>5</v>
      </c>
      <c r="I25" s="11">
        <v>1.1050000000000001E-3</v>
      </c>
      <c r="J25" s="12" t="s">
        <v>135</v>
      </c>
      <c r="K25" s="28">
        <v>1.11E-4</v>
      </c>
      <c r="L25" s="14">
        <v>13300000</v>
      </c>
      <c r="M25" s="14">
        <v>14000</v>
      </c>
      <c r="N25" s="15">
        <v>0.10526315789473684</v>
      </c>
      <c r="O25" s="38">
        <v>0.14000000000000001</v>
      </c>
      <c r="P25" s="14">
        <v>132.63062977453967</v>
      </c>
      <c r="Q25" s="17">
        <v>0.35709999999999997</v>
      </c>
      <c r="R25" s="14">
        <v>117.64705882352941</v>
      </c>
      <c r="S25" s="14">
        <v>12036199095.022623</v>
      </c>
      <c r="T25" s="10" t="s">
        <v>146</v>
      </c>
      <c r="U25" s="7">
        <v>10</v>
      </c>
      <c r="V25" s="7">
        <v>10</v>
      </c>
      <c r="W25" s="7" t="s">
        <v>182</v>
      </c>
      <c r="X25" s="7">
        <v>75</v>
      </c>
      <c r="Y25" s="7" t="s">
        <v>183</v>
      </c>
      <c r="Z25" s="8">
        <v>119</v>
      </c>
      <c r="AA25" s="8">
        <v>118976405.352</v>
      </c>
      <c r="AB25" s="8">
        <v>492757.682317</v>
      </c>
      <c r="AC25" s="8">
        <v>1415300.5657580001</v>
      </c>
      <c r="AD25" s="8">
        <v>32499524.8270743</v>
      </c>
      <c r="AE25" s="36">
        <v>468.43472330000003</v>
      </c>
      <c r="AF25" s="36">
        <v>468434723.30000001</v>
      </c>
      <c r="AG25" s="30">
        <v>3.8</v>
      </c>
      <c r="AH25" s="8">
        <v>3823833.9291300001</v>
      </c>
      <c r="AI25" s="8">
        <v>25080.1364411</v>
      </c>
      <c r="AJ25" s="8">
        <v>42894.313112019998</v>
      </c>
      <c r="AK25" s="8">
        <v>826573.00323748589</v>
      </c>
      <c r="AL25" s="8">
        <v>100000</v>
      </c>
      <c r="AM25" s="8">
        <v>100278.495417</v>
      </c>
      <c r="AN25" s="8">
        <v>829.64665084299997</v>
      </c>
      <c r="AO25" s="8">
        <v>1530.495777829</v>
      </c>
      <c r="AP25" s="8">
        <v>18471.286880342803</v>
      </c>
      <c r="AQ25" s="8" t="s">
        <v>111</v>
      </c>
      <c r="AR25" s="21" t="s">
        <v>111</v>
      </c>
      <c r="AS25" s="16" t="s">
        <v>111</v>
      </c>
      <c r="AT25" s="16" t="s">
        <v>111</v>
      </c>
      <c r="AU25" s="22" t="s">
        <v>111</v>
      </c>
      <c r="AV25" s="22" t="s">
        <v>111</v>
      </c>
      <c r="AW25" s="22" t="s">
        <v>111</v>
      </c>
    </row>
    <row r="26" spans="1:49" ht="15.75" customHeight="1" x14ac:dyDescent="0.25">
      <c r="A26" s="4">
        <v>23</v>
      </c>
      <c r="B26" s="5" t="s">
        <v>184</v>
      </c>
      <c r="C26" s="6" t="s">
        <v>185</v>
      </c>
      <c r="D26" s="18" t="s">
        <v>132</v>
      </c>
      <c r="E26" s="8">
        <v>3</v>
      </c>
      <c r="F26" s="9">
        <v>170</v>
      </c>
      <c r="G26" s="9" t="s">
        <v>111</v>
      </c>
      <c r="H26" s="10">
        <v>6</v>
      </c>
      <c r="I26" s="11">
        <v>2.1000000000000001E-2</v>
      </c>
      <c r="J26" s="12" t="s">
        <v>122</v>
      </c>
      <c r="K26" s="7" t="s">
        <v>111</v>
      </c>
      <c r="L26" s="14">
        <v>58400000</v>
      </c>
      <c r="M26" s="14">
        <v>7300000</v>
      </c>
      <c r="N26" s="38">
        <v>12.5</v>
      </c>
      <c r="O26" s="38">
        <v>7.0873786407766994</v>
      </c>
      <c r="P26" s="14">
        <v>56.493299623719281</v>
      </c>
      <c r="Q26" s="17">
        <v>8.0000000000000004E-4</v>
      </c>
      <c r="R26" s="14">
        <v>3842105.2631578948</v>
      </c>
      <c r="S26" s="14">
        <v>2780952380.9523807</v>
      </c>
      <c r="T26" s="12" t="s">
        <v>146</v>
      </c>
      <c r="U26" s="18">
        <v>1</v>
      </c>
      <c r="V26" s="18">
        <v>1</v>
      </c>
      <c r="W26" s="18" t="s">
        <v>114</v>
      </c>
      <c r="X26" s="18">
        <v>25.5</v>
      </c>
      <c r="Y26" s="18" t="s">
        <v>186</v>
      </c>
      <c r="Z26" s="30">
        <v>1.9</v>
      </c>
      <c r="AA26" s="8">
        <v>1865245.0540700001</v>
      </c>
      <c r="AB26" s="8">
        <v>45611.140318799997</v>
      </c>
      <c r="AC26" s="8">
        <v>95441.806967500001</v>
      </c>
      <c r="AD26" s="8">
        <v>1326556.604087593</v>
      </c>
      <c r="AE26" s="36">
        <v>36.213030170000003</v>
      </c>
      <c r="AF26" s="36">
        <v>36213030.170000002</v>
      </c>
      <c r="AG26" s="8">
        <v>58</v>
      </c>
      <c r="AH26" s="8">
        <v>57575391.695799999</v>
      </c>
      <c r="AI26" s="8">
        <v>418836.01502499997</v>
      </c>
      <c r="AJ26" s="8">
        <v>1592007.5425648</v>
      </c>
      <c r="AK26" s="8">
        <v>44564390.60668844</v>
      </c>
      <c r="AL26" s="8">
        <v>1030000</v>
      </c>
      <c r="AM26" s="8">
        <v>1033750.91186</v>
      </c>
      <c r="AN26" s="8">
        <v>7116.4979832999998</v>
      </c>
      <c r="AO26" s="8">
        <v>28715.890030229999</v>
      </c>
      <c r="AP26" s="8">
        <v>786095.80707684916</v>
      </c>
      <c r="AQ26" s="8">
        <v>1900000</v>
      </c>
      <c r="AR26" s="21" t="s">
        <v>187</v>
      </c>
      <c r="AS26" s="16" t="s">
        <v>111</v>
      </c>
      <c r="AT26" s="16" t="s">
        <v>111</v>
      </c>
      <c r="AU26" s="22" t="s">
        <v>111</v>
      </c>
      <c r="AV26" s="22" t="s">
        <v>111</v>
      </c>
      <c r="AW26" s="31" t="s">
        <v>111</v>
      </c>
    </row>
    <row r="27" spans="1:49" ht="15.75" customHeight="1" x14ac:dyDescent="0.25">
      <c r="A27" s="4">
        <v>24</v>
      </c>
      <c r="B27" s="5" t="s">
        <v>188</v>
      </c>
      <c r="C27" s="6" t="s">
        <v>189</v>
      </c>
      <c r="D27" s="18" t="s">
        <v>132</v>
      </c>
      <c r="E27" s="8">
        <v>3</v>
      </c>
      <c r="F27" s="9">
        <v>170</v>
      </c>
      <c r="G27" s="9" t="s">
        <v>111</v>
      </c>
      <c r="H27" s="10">
        <v>6</v>
      </c>
      <c r="I27" s="11">
        <v>0.8</v>
      </c>
      <c r="J27" s="12" t="s">
        <v>120</v>
      </c>
      <c r="K27" s="7" t="s">
        <v>111</v>
      </c>
      <c r="L27" s="14">
        <v>58400000</v>
      </c>
      <c r="M27" s="14">
        <v>7300000</v>
      </c>
      <c r="N27" s="38">
        <v>12.5</v>
      </c>
      <c r="O27" s="38">
        <v>7.0873786407766994</v>
      </c>
      <c r="P27" s="14">
        <v>56.493299623719281</v>
      </c>
      <c r="Q27" s="17">
        <v>8.0000000000000004E-4</v>
      </c>
      <c r="R27" s="14">
        <v>3842105.2631578948</v>
      </c>
      <c r="S27" s="14">
        <v>73000000</v>
      </c>
      <c r="T27" s="12" t="s">
        <v>146</v>
      </c>
      <c r="U27" s="18">
        <v>1</v>
      </c>
      <c r="V27" s="18">
        <v>1</v>
      </c>
      <c r="W27" s="18" t="s">
        <v>114</v>
      </c>
      <c r="X27" s="18">
        <v>25.5</v>
      </c>
      <c r="Y27" s="18" t="s">
        <v>186</v>
      </c>
      <c r="Z27" s="30">
        <v>1.9</v>
      </c>
      <c r="AA27" s="8">
        <v>1865245.0540700001</v>
      </c>
      <c r="AB27" s="8">
        <v>45611.140318799997</v>
      </c>
      <c r="AC27" s="8">
        <v>95441.806967500001</v>
      </c>
      <c r="AD27" s="8">
        <v>1326556.604087593</v>
      </c>
      <c r="AE27" s="36">
        <v>36.213030170000003</v>
      </c>
      <c r="AF27" s="36">
        <v>36213030.170000002</v>
      </c>
      <c r="AG27" s="8">
        <v>58</v>
      </c>
      <c r="AH27" s="8">
        <v>57575391.695799999</v>
      </c>
      <c r="AI27" s="8">
        <v>418836.01502499997</v>
      </c>
      <c r="AJ27" s="8">
        <v>1592007.5425648</v>
      </c>
      <c r="AK27" s="8">
        <v>44564390.60668844</v>
      </c>
      <c r="AL27" s="8">
        <v>1030000</v>
      </c>
      <c r="AM27" s="8">
        <v>1033750.91186</v>
      </c>
      <c r="AN27" s="8">
        <v>7116.4979832999998</v>
      </c>
      <c r="AO27" s="8">
        <v>28715.890030229999</v>
      </c>
      <c r="AP27" s="8">
        <v>786095.80707684916</v>
      </c>
      <c r="AQ27" s="8">
        <v>1900000</v>
      </c>
      <c r="AR27" s="21" t="s">
        <v>187</v>
      </c>
      <c r="AS27" s="16" t="s">
        <v>111</v>
      </c>
      <c r="AT27" s="16" t="s">
        <v>111</v>
      </c>
      <c r="AU27" s="22" t="s">
        <v>111</v>
      </c>
      <c r="AV27" s="22" t="s">
        <v>111</v>
      </c>
      <c r="AW27" s="22" t="s">
        <v>111</v>
      </c>
    </row>
    <row r="28" spans="1:49" ht="15.75" customHeight="1" x14ac:dyDescent="0.25">
      <c r="A28" s="4">
        <v>25</v>
      </c>
      <c r="B28" s="5" t="s">
        <v>190</v>
      </c>
      <c r="C28" s="1"/>
      <c r="D28" s="7" t="s">
        <v>132</v>
      </c>
      <c r="E28" s="52">
        <v>43161</v>
      </c>
      <c r="F28" s="9">
        <v>2</v>
      </c>
      <c r="G28" s="9">
        <v>35</v>
      </c>
      <c r="H28" s="10">
        <v>1.2</v>
      </c>
      <c r="I28" s="11">
        <v>0.6</v>
      </c>
      <c r="J28" s="12" t="s">
        <v>117</v>
      </c>
      <c r="K28" s="13">
        <v>0.48699999999999999</v>
      </c>
      <c r="L28" s="14">
        <v>537000</v>
      </c>
      <c r="M28" s="14">
        <v>189000</v>
      </c>
      <c r="N28" s="38">
        <v>35.195530726256983</v>
      </c>
      <c r="O28" s="14">
        <v>10500</v>
      </c>
      <c r="P28" s="14">
        <v>29833.333333333332</v>
      </c>
      <c r="Q28" s="17">
        <v>6.3E-3</v>
      </c>
      <c r="R28" s="14">
        <v>94500000</v>
      </c>
      <c r="S28" s="14">
        <v>895000</v>
      </c>
      <c r="T28" s="12" t="s">
        <v>113</v>
      </c>
      <c r="U28" s="7" t="s">
        <v>111</v>
      </c>
      <c r="V28" s="18" t="s">
        <v>111</v>
      </c>
      <c r="W28" s="7" t="s">
        <v>111</v>
      </c>
      <c r="X28" s="7">
        <v>2.5</v>
      </c>
      <c r="Y28" s="19">
        <v>43161</v>
      </c>
      <c r="Z28" s="44">
        <v>2E-3</v>
      </c>
      <c r="AA28" s="8">
        <v>2000</v>
      </c>
      <c r="AB28" s="8">
        <v>13</v>
      </c>
      <c r="AC28" s="8" t="s">
        <v>111</v>
      </c>
      <c r="AD28" s="8" t="s">
        <v>111</v>
      </c>
      <c r="AE28" s="20" t="s">
        <v>111</v>
      </c>
      <c r="AF28" s="20" t="s">
        <v>111</v>
      </c>
      <c r="AG28" s="8" t="s">
        <v>111</v>
      </c>
      <c r="AH28" s="8" t="s">
        <v>111</v>
      </c>
      <c r="AI28" s="8" t="s">
        <v>111</v>
      </c>
      <c r="AJ28" s="8" t="s">
        <v>111</v>
      </c>
      <c r="AK28" s="8" t="s">
        <v>111</v>
      </c>
      <c r="AL28" s="8">
        <v>18</v>
      </c>
      <c r="AM28" s="8">
        <v>18</v>
      </c>
      <c r="AN28" s="8">
        <v>0</v>
      </c>
      <c r="AO28" s="8" t="s">
        <v>111</v>
      </c>
      <c r="AP28" s="8">
        <v>3</v>
      </c>
      <c r="AQ28" s="8">
        <v>79</v>
      </c>
      <c r="AR28" s="21" t="s">
        <v>191</v>
      </c>
      <c r="AS28" s="16" t="s">
        <v>192</v>
      </c>
      <c r="AT28" s="16" t="s">
        <v>111</v>
      </c>
      <c r="AU28" s="22" t="s">
        <v>193</v>
      </c>
      <c r="AV28" s="22" t="s">
        <v>194</v>
      </c>
      <c r="AW28" s="22" t="s">
        <v>111</v>
      </c>
    </row>
    <row r="29" spans="1:49" ht="15.75" customHeight="1" x14ac:dyDescent="0.25">
      <c r="A29" s="4">
        <v>26</v>
      </c>
      <c r="B29" s="5" t="s">
        <v>195</v>
      </c>
      <c r="C29" s="1"/>
      <c r="D29" s="7" t="s">
        <v>132</v>
      </c>
      <c r="E29" s="8">
        <v>2</v>
      </c>
      <c r="F29" s="9">
        <v>1</v>
      </c>
      <c r="G29" s="9">
        <v>2</v>
      </c>
      <c r="H29" s="10">
        <v>1</v>
      </c>
      <c r="I29" s="11">
        <v>1E-3</v>
      </c>
      <c r="J29" s="12" t="s">
        <v>135</v>
      </c>
      <c r="K29" s="28">
        <f>10/100000</f>
        <v>1E-4</v>
      </c>
      <c r="L29" s="14">
        <v>810000</v>
      </c>
      <c r="M29" s="14">
        <v>9300</v>
      </c>
      <c r="N29" s="38">
        <v>1.1481481481481481</v>
      </c>
      <c r="O29" s="38">
        <v>1.9787234042553191E-2</v>
      </c>
      <c r="P29" s="14">
        <v>1.7234042553191489</v>
      </c>
      <c r="Q29" s="17">
        <v>0.1075</v>
      </c>
      <c r="R29" s="14">
        <v>2325</v>
      </c>
      <c r="S29" s="14">
        <v>810000000</v>
      </c>
      <c r="T29" s="12" t="s">
        <v>113</v>
      </c>
      <c r="U29" s="7">
        <v>790</v>
      </c>
      <c r="V29" s="16">
        <v>1000</v>
      </c>
      <c r="W29" s="18" t="s">
        <v>114</v>
      </c>
      <c r="X29" s="7">
        <v>2</v>
      </c>
      <c r="Y29" s="19">
        <v>43160</v>
      </c>
      <c r="Z29" s="30">
        <v>4</v>
      </c>
      <c r="AA29" s="8">
        <v>4000000</v>
      </c>
      <c r="AB29" s="8" t="s">
        <v>111</v>
      </c>
      <c r="AC29" s="8" t="s">
        <v>111</v>
      </c>
      <c r="AD29" s="8" t="s">
        <v>111</v>
      </c>
      <c r="AE29" s="20" t="s">
        <v>111</v>
      </c>
      <c r="AF29" s="20" t="s">
        <v>111</v>
      </c>
      <c r="AG29" s="8" t="s">
        <v>111</v>
      </c>
      <c r="AH29" s="8" t="s">
        <v>111</v>
      </c>
      <c r="AI29" s="8" t="s">
        <v>111</v>
      </c>
      <c r="AJ29" s="8" t="s">
        <v>111</v>
      </c>
      <c r="AK29" s="8" t="s">
        <v>111</v>
      </c>
      <c r="AL29" s="8">
        <v>470000</v>
      </c>
      <c r="AM29" s="8">
        <f>AVERAGE(290000,650000)</f>
        <v>470000</v>
      </c>
      <c r="AN29" s="8">
        <v>26000</v>
      </c>
      <c r="AO29" s="8" t="s">
        <v>111</v>
      </c>
      <c r="AP29" s="8" t="s">
        <v>111</v>
      </c>
      <c r="AQ29" s="8" t="s">
        <v>111</v>
      </c>
      <c r="AR29" s="21" t="s">
        <v>111</v>
      </c>
      <c r="AS29" s="16" t="s">
        <v>196</v>
      </c>
      <c r="AT29" s="16" t="s">
        <v>111</v>
      </c>
      <c r="AU29" s="22" t="s">
        <v>111</v>
      </c>
      <c r="AV29" s="22" t="s">
        <v>111</v>
      </c>
      <c r="AW29" s="31" t="s">
        <v>111</v>
      </c>
    </row>
    <row r="30" spans="1:49" ht="15.75" customHeight="1" x14ac:dyDescent="0.25">
      <c r="A30" s="4">
        <v>27</v>
      </c>
      <c r="B30" s="5" t="s">
        <v>197</v>
      </c>
      <c r="C30" s="1"/>
      <c r="D30" s="18" t="s">
        <v>132</v>
      </c>
      <c r="E30" s="8">
        <v>3</v>
      </c>
      <c r="F30" s="9" t="s">
        <v>111</v>
      </c>
      <c r="G30" s="9" t="s">
        <v>111</v>
      </c>
      <c r="H30" s="10">
        <v>2.2000000000000002</v>
      </c>
      <c r="I30" s="11">
        <v>2.5000000000000001E-2</v>
      </c>
      <c r="J30" s="12" t="s">
        <v>122</v>
      </c>
      <c r="K30" s="7" t="s">
        <v>111</v>
      </c>
      <c r="L30" s="14">
        <v>597000</v>
      </c>
      <c r="M30" s="14">
        <v>12900</v>
      </c>
      <c r="N30" s="15">
        <v>2.1608040201005023</v>
      </c>
      <c r="O30" s="8" t="s">
        <v>111</v>
      </c>
      <c r="P30" s="15">
        <v>7.9600000000000001E-3</v>
      </c>
      <c r="Q30" s="17">
        <v>0.16669999999999999</v>
      </c>
      <c r="R30" s="14" t="s">
        <v>111</v>
      </c>
      <c r="S30" s="14">
        <v>23880000</v>
      </c>
      <c r="T30" s="12" t="s">
        <v>113</v>
      </c>
      <c r="U30" s="7" t="s">
        <v>111</v>
      </c>
      <c r="V30" s="7" t="s">
        <v>111</v>
      </c>
      <c r="W30" s="7" t="s">
        <v>111</v>
      </c>
      <c r="X30" s="7">
        <v>2</v>
      </c>
      <c r="Y30" s="19">
        <v>43160</v>
      </c>
      <c r="Z30" s="8" t="s">
        <v>111</v>
      </c>
      <c r="AA30" s="8" t="s">
        <v>111</v>
      </c>
      <c r="AB30" s="8" t="s">
        <v>111</v>
      </c>
      <c r="AC30" s="8" t="s">
        <v>111</v>
      </c>
      <c r="AD30" s="8" t="s">
        <v>111</v>
      </c>
      <c r="AE30" s="20" t="s">
        <v>111</v>
      </c>
      <c r="AF30" s="20" t="s">
        <v>111</v>
      </c>
      <c r="AG30" s="8" t="s">
        <v>111</v>
      </c>
      <c r="AH30" s="8" t="s">
        <v>111</v>
      </c>
      <c r="AI30" s="8" t="s">
        <v>111</v>
      </c>
      <c r="AJ30" s="8" t="s">
        <v>111</v>
      </c>
      <c r="AK30" s="8" t="s">
        <v>111</v>
      </c>
      <c r="AL30" s="8" t="s">
        <v>111</v>
      </c>
      <c r="AM30" s="8" t="s">
        <v>111</v>
      </c>
      <c r="AN30" s="8" t="s">
        <v>111</v>
      </c>
      <c r="AO30" s="8" t="s">
        <v>111</v>
      </c>
      <c r="AP30" s="8" t="s">
        <v>111</v>
      </c>
      <c r="AQ30" s="8">
        <v>75000000</v>
      </c>
      <c r="AR30" s="21" t="s">
        <v>198</v>
      </c>
      <c r="AS30" s="16" t="s">
        <v>111</v>
      </c>
      <c r="AT30" s="16" t="s">
        <v>111</v>
      </c>
      <c r="AU30" s="22" t="s">
        <v>111</v>
      </c>
      <c r="AV30" s="22" t="s">
        <v>111</v>
      </c>
      <c r="AW30" s="22" t="s">
        <v>111</v>
      </c>
    </row>
    <row r="31" spans="1:49" ht="15.75" customHeight="1" x14ac:dyDescent="0.25">
      <c r="A31" s="4">
        <v>28</v>
      </c>
      <c r="B31" s="5" t="s">
        <v>199</v>
      </c>
      <c r="C31" s="1"/>
      <c r="D31" s="7" t="s">
        <v>132</v>
      </c>
      <c r="E31" s="8">
        <v>2</v>
      </c>
      <c r="F31" s="9">
        <v>0.4</v>
      </c>
      <c r="G31" s="9">
        <v>2</v>
      </c>
      <c r="H31" s="10">
        <v>1.5</v>
      </c>
      <c r="I31" s="11">
        <v>2E-3</v>
      </c>
      <c r="J31" s="12" t="s">
        <v>135</v>
      </c>
      <c r="K31" s="7" t="s">
        <v>111</v>
      </c>
      <c r="L31" s="14">
        <v>6030000</v>
      </c>
      <c r="M31" s="14">
        <v>139000</v>
      </c>
      <c r="N31" s="38">
        <v>2.3051409618573797</v>
      </c>
      <c r="O31" s="46" t="s">
        <v>111</v>
      </c>
      <c r="P31" s="14">
        <v>16.75</v>
      </c>
      <c r="Q31" s="17">
        <v>1.0800000000000001E-2</v>
      </c>
      <c r="R31" s="14" t="s">
        <v>111</v>
      </c>
      <c r="S31" s="14">
        <v>3015000000</v>
      </c>
      <c r="T31" s="12" t="s">
        <v>113</v>
      </c>
      <c r="U31" s="7">
        <v>500</v>
      </c>
      <c r="V31" s="16">
        <v>1000</v>
      </c>
      <c r="W31" s="18" t="s">
        <v>114</v>
      </c>
      <c r="X31" s="7">
        <v>5</v>
      </c>
      <c r="Y31" s="19">
        <v>43255</v>
      </c>
      <c r="Z31" s="8" t="s">
        <v>111</v>
      </c>
      <c r="AA31" s="53" t="s">
        <v>111</v>
      </c>
      <c r="AB31" s="53" t="s">
        <v>111</v>
      </c>
      <c r="AC31" s="53" t="s">
        <v>111</v>
      </c>
      <c r="AD31" s="53" t="s">
        <v>111</v>
      </c>
      <c r="AE31" s="20" t="s">
        <v>111</v>
      </c>
      <c r="AF31" s="20" t="s">
        <v>111</v>
      </c>
      <c r="AG31" s="8" t="s">
        <v>111</v>
      </c>
      <c r="AH31" s="8" t="s">
        <v>111</v>
      </c>
      <c r="AI31" s="8" t="s">
        <v>111</v>
      </c>
      <c r="AJ31" s="8" t="s">
        <v>111</v>
      </c>
      <c r="AK31" s="8" t="s">
        <v>111</v>
      </c>
      <c r="AL31" s="8" t="s">
        <v>111</v>
      </c>
      <c r="AM31" s="8" t="s">
        <v>111</v>
      </c>
      <c r="AN31" s="8" t="s">
        <v>111</v>
      </c>
      <c r="AO31" s="8" t="s">
        <v>111</v>
      </c>
      <c r="AP31" s="8" t="s">
        <v>111</v>
      </c>
      <c r="AQ31" s="8">
        <v>360000</v>
      </c>
      <c r="AR31" s="21" t="s">
        <v>200</v>
      </c>
      <c r="AS31" s="16" t="s">
        <v>111</v>
      </c>
      <c r="AT31" s="16" t="s">
        <v>111</v>
      </c>
      <c r="AU31" s="22" t="s">
        <v>111</v>
      </c>
      <c r="AV31" s="22" t="s">
        <v>111</v>
      </c>
      <c r="AW31" s="31" t="s">
        <v>111</v>
      </c>
    </row>
    <row r="32" spans="1:49" ht="15.75" customHeight="1" x14ac:dyDescent="0.25">
      <c r="A32" s="4">
        <v>29</v>
      </c>
      <c r="B32" s="5" t="s">
        <v>201</v>
      </c>
      <c r="C32" s="6" t="s">
        <v>202</v>
      </c>
      <c r="D32" s="7" t="s">
        <v>154</v>
      </c>
      <c r="E32" s="8">
        <v>2</v>
      </c>
      <c r="F32" s="9">
        <v>0</v>
      </c>
      <c r="G32" s="9">
        <v>35</v>
      </c>
      <c r="H32" s="10">
        <v>0.7</v>
      </c>
      <c r="I32" s="11">
        <v>1.9109999999999999E-2</v>
      </c>
      <c r="J32" s="12" t="s">
        <v>122</v>
      </c>
      <c r="K32" s="26">
        <v>1.3785E-2</v>
      </c>
      <c r="L32" s="14">
        <v>2620000</v>
      </c>
      <c r="M32" s="14">
        <v>2840</v>
      </c>
      <c r="N32" s="15">
        <v>0.10839694656488549</v>
      </c>
      <c r="O32" s="38">
        <v>0.2072992700729927</v>
      </c>
      <c r="P32" s="14">
        <v>191.67985617031184</v>
      </c>
      <c r="Q32" s="17">
        <v>0.2465</v>
      </c>
      <c r="R32" s="14">
        <v>3550</v>
      </c>
      <c r="S32" s="14">
        <v>137100994.24385139</v>
      </c>
      <c r="T32" s="12" t="s">
        <v>136</v>
      </c>
      <c r="U32" s="18" t="s">
        <v>111</v>
      </c>
      <c r="V32" s="7" t="s">
        <v>111</v>
      </c>
      <c r="W32" s="7" t="s">
        <v>111</v>
      </c>
      <c r="X32" s="7">
        <v>35</v>
      </c>
      <c r="Y32" s="54" t="s">
        <v>203</v>
      </c>
      <c r="Z32" s="30">
        <v>0.8</v>
      </c>
      <c r="AA32" s="8">
        <v>798806.06281699997</v>
      </c>
      <c r="AB32" s="8">
        <v>5.0115394591299998</v>
      </c>
      <c r="AC32" s="8">
        <v>821.48054870199996</v>
      </c>
      <c r="AD32" s="8">
        <v>128404.35363469999</v>
      </c>
      <c r="AE32" s="35">
        <v>4.8365507350000003</v>
      </c>
      <c r="AF32" s="36">
        <v>4836550.7350000003</v>
      </c>
      <c r="AG32" s="30">
        <v>1</v>
      </c>
      <c r="AH32" s="8">
        <v>981054.64659000002</v>
      </c>
      <c r="AI32" s="8">
        <v>0.167894537096</v>
      </c>
      <c r="AJ32" s="8">
        <v>1107.438022129</v>
      </c>
      <c r="AK32" s="8">
        <v>288587.646124397</v>
      </c>
      <c r="AL32" s="8">
        <v>13700</v>
      </c>
      <c r="AM32" s="8">
        <v>13668.6246137</v>
      </c>
      <c r="AN32" s="8">
        <v>0</v>
      </c>
      <c r="AO32" s="8">
        <v>43.1677568729</v>
      </c>
      <c r="AP32" s="8">
        <v>6274.9987151497908</v>
      </c>
      <c r="AQ32" s="8" t="s">
        <v>111</v>
      </c>
      <c r="AR32" s="21" t="s">
        <v>111</v>
      </c>
      <c r="AS32" s="16" t="s">
        <v>204</v>
      </c>
      <c r="AT32" s="16" t="s">
        <v>205</v>
      </c>
      <c r="AU32" s="22" t="s">
        <v>111</v>
      </c>
      <c r="AV32" s="22" t="s">
        <v>111</v>
      </c>
      <c r="AW32" s="22" t="s">
        <v>206</v>
      </c>
    </row>
    <row r="33" spans="1:49" ht="15.75" customHeight="1" x14ac:dyDescent="0.25">
      <c r="A33" s="4">
        <v>30</v>
      </c>
      <c r="B33" s="5" t="s">
        <v>207</v>
      </c>
      <c r="C33" s="6" t="s">
        <v>208</v>
      </c>
      <c r="D33" s="7" t="s">
        <v>154</v>
      </c>
      <c r="E33" s="8">
        <v>2</v>
      </c>
      <c r="F33" s="9">
        <v>0</v>
      </c>
      <c r="G33" s="9">
        <v>35</v>
      </c>
      <c r="H33" s="10">
        <v>0.5</v>
      </c>
      <c r="I33" s="11">
        <v>0.95</v>
      </c>
      <c r="J33" s="12" t="s">
        <v>120</v>
      </c>
      <c r="K33" s="7" t="s">
        <v>111</v>
      </c>
      <c r="L33" s="14">
        <v>2620000</v>
      </c>
      <c r="M33" s="14">
        <v>2840</v>
      </c>
      <c r="N33" s="15">
        <v>0.10839694656488549</v>
      </c>
      <c r="O33" s="38">
        <v>0.2072992700729927</v>
      </c>
      <c r="P33" s="14">
        <v>191.67985617031184</v>
      </c>
      <c r="Q33" s="17">
        <v>0.17610000000000001</v>
      </c>
      <c r="R33" s="14">
        <v>3550</v>
      </c>
      <c r="S33" s="14">
        <v>2757894.7368421052</v>
      </c>
      <c r="T33" s="12" t="s">
        <v>136</v>
      </c>
      <c r="U33" s="7" t="s">
        <v>111</v>
      </c>
      <c r="V33" s="18" t="s">
        <v>111</v>
      </c>
      <c r="W33" s="7" t="s">
        <v>111</v>
      </c>
      <c r="X33" s="7">
        <v>120</v>
      </c>
      <c r="Y33" s="54" t="s">
        <v>209</v>
      </c>
      <c r="Z33" s="30">
        <v>0.8</v>
      </c>
      <c r="AA33" s="8">
        <v>798806.06281699997</v>
      </c>
      <c r="AB33" s="8">
        <v>5.0115394591299998</v>
      </c>
      <c r="AC33" s="8">
        <v>821.48054870199996</v>
      </c>
      <c r="AD33" s="8">
        <v>128404.35363469999</v>
      </c>
      <c r="AE33" s="55">
        <v>3.0066997210000002E-2</v>
      </c>
      <c r="AF33" s="36">
        <v>30066.997210000001</v>
      </c>
      <c r="AG33" s="30">
        <v>1</v>
      </c>
      <c r="AH33" s="8">
        <v>981054.64659000002</v>
      </c>
      <c r="AI33" s="8">
        <v>0.167894537096</v>
      </c>
      <c r="AJ33" s="8">
        <v>1107.438022129</v>
      </c>
      <c r="AK33" s="8">
        <v>288587.646124397</v>
      </c>
      <c r="AL33" s="8">
        <v>13700</v>
      </c>
      <c r="AM33" s="8">
        <v>13668.6246137</v>
      </c>
      <c r="AN33" s="8">
        <v>0</v>
      </c>
      <c r="AO33" s="8">
        <v>43.1677568729</v>
      </c>
      <c r="AP33" s="8">
        <v>6274.9987151497908</v>
      </c>
      <c r="AQ33" s="8" t="s">
        <v>111</v>
      </c>
      <c r="AR33" s="21" t="s">
        <v>111</v>
      </c>
      <c r="AS33" s="16" t="s">
        <v>204</v>
      </c>
      <c r="AT33" s="16" t="s">
        <v>210</v>
      </c>
      <c r="AU33" s="22" t="s">
        <v>111</v>
      </c>
      <c r="AV33" s="22" t="s">
        <v>111</v>
      </c>
      <c r="AW33" s="22" t="s">
        <v>206</v>
      </c>
    </row>
    <row r="34" spans="1:49" ht="13.2" x14ac:dyDescent="0.25">
      <c r="A34" s="4">
        <v>31</v>
      </c>
      <c r="B34" s="5" t="s">
        <v>211</v>
      </c>
      <c r="C34" s="1"/>
      <c r="D34" s="7" t="s">
        <v>110</v>
      </c>
      <c r="E34" s="8">
        <v>2</v>
      </c>
      <c r="F34" s="9" t="s">
        <v>111</v>
      </c>
      <c r="G34" s="9" t="s">
        <v>111</v>
      </c>
      <c r="H34" s="10">
        <v>2.8</v>
      </c>
      <c r="I34" s="12" t="s">
        <v>111</v>
      </c>
      <c r="J34" s="12" t="s">
        <v>111</v>
      </c>
      <c r="K34" s="7" t="s">
        <v>111</v>
      </c>
      <c r="L34" s="14">
        <v>2560000</v>
      </c>
      <c r="M34" s="14">
        <v>7630</v>
      </c>
      <c r="N34" s="15">
        <v>0.29804687499999999</v>
      </c>
      <c r="O34" s="16" t="s">
        <v>111</v>
      </c>
      <c r="P34" s="16" t="s">
        <v>111</v>
      </c>
      <c r="Q34" s="17">
        <v>0.3604</v>
      </c>
      <c r="R34" s="14">
        <v>127166.66666666667</v>
      </c>
      <c r="S34" s="14" t="s">
        <v>111</v>
      </c>
      <c r="T34" s="12" t="s">
        <v>146</v>
      </c>
      <c r="U34" s="7" t="s">
        <v>111</v>
      </c>
      <c r="V34" s="7" t="s">
        <v>111</v>
      </c>
      <c r="W34" s="7" t="s">
        <v>111</v>
      </c>
      <c r="X34" s="7">
        <v>1460</v>
      </c>
      <c r="Y34" s="7" t="s">
        <v>212</v>
      </c>
      <c r="Z34" s="46">
        <v>0.06</v>
      </c>
      <c r="AA34" s="8">
        <v>55317.310551100003</v>
      </c>
      <c r="AB34" s="8">
        <v>34.878926835199998</v>
      </c>
      <c r="AC34" s="8">
        <v>9.9606722872730007</v>
      </c>
      <c r="AD34" s="8">
        <v>8814.1642243276165</v>
      </c>
      <c r="AE34" s="35">
        <v>0.52324464820000005</v>
      </c>
      <c r="AF34" s="36">
        <v>523244.6482</v>
      </c>
      <c r="AG34" s="46">
        <v>0.03</v>
      </c>
      <c r="AH34" s="8">
        <v>31653.742464499999</v>
      </c>
      <c r="AI34" s="8">
        <v>2.7295361312900002</v>
      </c>
      <c r="AJ34" s="8">
        <v>2.360759973899456</v>
      </c>
      <c r="AK34" s="8">
        <v>7391.0080668289093</v>
      </c>
      <c r="AL34" s="8" t="s">
        <v>111</v>
      </c>
      <c r="AM34" s="8" t="s">
        <v>111</v>
      </c>
      <c r="AN34" s="8" t="s">
        <v>111</v>
      </c>
      <c r="AO34" s="8" t="s">
        <v>111</v>
      </c>
      <c r="AP34" s="8" t="s">
        <v>111</v>
      </c>
      <c r="AQ34" s="8" t="s">
        <v>111</v>
      </c>
      <c r="AR34" s="21" t="s">
        <v>111</v>
      </c>
      <c r="AS34" s="16" t="s">
        <v>111</v>
      </c>
      <c r="AT34" s="16" t="s">
        <v>111</v>
      </c>
      <c r="AU34" s="22" t="s">
        <v>213</v>
      </c>
      <c r="AV34" s="22" t="s">
        <v>111</v>
      </c>
      <c r="AW34" s="22" t="s">
        <v>214</v>
      </c>
    </row>
    <row r="35" spans="1:49" ht="13.2" x14ac:dyDescent="0.25">
      <c r="A35" s="4">
        <v>32</v>
      </c>
      <c r="B35" s="5" t="s">
        <v>215</v>
      </c>
      <c r="C35" s="1"/>
      <c r="D35" s="7" t="s">
        <v>110</v>
      </c>
      <c r="E35" s="8">
        <v>2</v>
      </c>
      <c r="F35" s="9" t="s">
        <v>111</v>
      </c>
      <c r="G35" s="9">
        <v>48</v>
      </c>
      <c r="H35" s="10">
        <v>0.5</v>
      </c>
      <c r="I35" s="11">
        <v>2E-3</v>
      </c>
      <c r="J35" s="12" t="s">
        <v>135</v>
      </c>
      <c r="K35" s="7" t="s">
        <v>111</v>
      </c>
      <c r="L35" s="14">
        <v>9050000</v>
      </c>
      <c r="M35" s="14">
        <v>6700</v>
      </c>
      <c r="N35" s="15">
        <v>7.4033149171270726E-2</v>
      </c>
      <c r="O35" s="23" t="s">
        <v>111</v>
      </c>
      <c r="P35" s="16" t="s">
        <v>111</v>
      </c>
      <c r="Q35" s="17">
        <v>7.46E-2</v>
      </c>
      <c r="R35" s="14" t="s">
        <v>111</v>
      </c>
      <c r="S35" s="14">
        <v>4525000000</v>
      </c>
      <c r="T35" s="12" t="s">
        <v>136</v>
      </c>
      <c r="U35" s="18">
        <v>50000</v>
      </c>
      <c r="V35" s="18">
        <v>100000</v>
      </c>
      <c r="W35" s="7" t="s">
        <v>182</v>
      </c>
      <c r="X35" s="18">
        <f>AVERAGE(3,32)</f>
        <v>17.5</v>
      </c>
      <c r="Y35" s="18" t="s">
        <v>216</v>
      </c>
      <c r="Z35" s="46">
        <v>0.53212499999999996</v>
      </c>
      <c r="AA35" s="8">
        <v>532125</v>
      </c>
      <c r="AB35" s="8">
        <v>300000</v>
      </c>
      <c r="AC35" s="8">
        <v>18000</v>
      </c>
      <c r="AD35" s="8" t="s">
        <v>111</v>
      </c>
      <c r="AE35" s="20" t="s">
        <v>111</v>
      </c>
      <c r="AF35" s="20" t="s">
        <v>111</v>
      </c>
      <c r="AG35" s="8" t="s">
        <v>111</v>
      </c>
      <c r="AH35" s="8" t="s">
        <v>111</v>
      </c>
      <c r="AI35" s="8" t="s">
        <v>111</v>
      </c>
      <c r="AJ35" s="8" t="s">
        <v>111</v>
      </c>
      <c r="AK35" s="8" t="s">
        <v>111</v>
      </c>
      <c r="AL35" s="8" t="s">
        <v>111</v>
      </c>
      <c r="AM35" s="8" t="s">
        <v>111</v>
      </c>
      <c r="AN35" s="8">
        <v>10</v>
      </c>
      <c r="AO35" s="8" t="s">
        <v>111</v>
      </c>
      <c r="AP35" s="8" t="s">
        <v>111</v>
      </c>
      <c r="AQ35" s="8" t="s">
        <v>111</v>
      </c>
      <c r="AR35" s="21" t="s">
        <v>111</v>
      </c>
      <c r="AS35" s="16" t="s">
        <v>217</v>
      </c>
      <c r="AT35" s="16" t="s">
        <v>218</v>
      </c>
      <c r="AU35" s="22" t="s">
        <v>219</v>
      </c>
      <c r="AV35" s="22" t="s">
        <v>111</v>
      </c>
      <c r="AW35" s="22" t="s">
        <v>111</v>
      </c>
    </row>
    <row r="36" spans="1:49" ht="13.2" x14ac:dyDescent="0.25">
      <c r="A36" s="4">
        <v>33</v>
      </c>
      <c r="B36" s="5" t="s">
        <v>220</v>
      </c>
      <c r="C36" s="1"/>
      <c r="D36" s="7" t="s">
        <v>154</v>
      </c>
      <c r="E36" s="8">
        <v>2</v>
      </c>
      <c r="F36" s="9" t="s">
        <v>111</v>
      </c>
      <c r="G36" s="9" t="s">
        <v>111</v>
      </c>
      <c r="H36" s="10">
        <v>16.399999999999999</v>
      </c>
      <c r="I36" s="12" t="s">
        <v>111</v>
      </c>
      <c r="J36" s="12" t="s">
        <v>111</v>
      </c>
      <c r="K36" s="7" t="s">
        <v>111</v>
      </c>
      <c r="L36" s="14">
        <v>384000</v>
      </c>
      <c r="M36" s="14">
        <v>1800</v>
      </c>
      <c r="N36" s="15">
        <v>0.46875</v>
      </c>
      <c r="O36" s="16" t="s">
        <v>111</v>
      </c>
      <c r="P36" s="16" t="s">
        <v>111</v>
      </c>
      <c r="Q36" s="17">
        <v>9.0832999999999995</v>
      </c>
      <c r="R36" s="14">
        <v>236.84210526315792</v>
      </c>
      <c r="S36" s="14" t="s">
        <v>111</v>
      </c>
      <c r="T36" s="12" t="s">
        <v>136</v>
      </c>
      <c r="U36" s="7" t="s">
        <v>111</v>
      </c>
      <c r="V36" s="7" t="s">
        <v>111</v>
      </c>
      <c r="W36" s="7" t="s">
        <v>111</v>
      </c>
      <c r="X36" s="7">
        <v>345</v>
      </c>
      <c r="Y36" s="54" t="s">
        <v>221</v>
      </c>
      <c r="Z36" s="30">
        <v>7.6</v>
      </c>
      <c r="AA36" s="8">
        <v>7604356.49156</v>
      </c>
      <c r="AB36" s="8">
        <v>0</v>
      </c>
      <c r="AC36" s="8">
        <v>0</v>
      </c>
      <c r="AD36" s="8">
        <v>4341126.11549816</v>
      </c>
      <c r="AE36" s="36">
        <v>29.382260179999999</v>
      </c>
      <c r="AF36" s="36">
        <v>29382260.18</v>
      </c>
      <c r="AG36" s="30">
        <v>1.2</v>
      </c>
      <c r="AH36" s="8">
        <v>1188968.19126</v>
      </c>
      <c r="AI36" s="8">
        <v>0</v>
      </c>
      <c r="AJ36" s="8">
        <v>0</v>
      </c>
      <c r="AK36" s="8">
        <v>670831.09929119796</v>
      </c>
      <c r="AL36" s="8" t="s">
        <v>111</v>
      </c>
      <c r="AM36" s="8" t="s">
        <v>111</v>
      </c>
      <c r="AN36" s="8" t="s">
        <v>111</v>
      </c>
      <c r="AO36" s="8" t="s">
        <v>111</v>
      </c>
      <c r="AP36" s="8" t="s">
        <v>111</v>
      </c>
      <c r="AQ36" s="8" t="s">
        <v>111</v>
      </c>
      <c r="AR36" s="21" t="s">
        <v>111</v>
      </c>
      <c r="AS36" s="16" t="s">
        <v>111</v>
      </c>
      <c r="AT36" s="16" t="s">
        <v>111</v>
      </c>
      <c r="AU36" s="22" t="s">
        <v>222</v>
      </c>
      <c r="AV36" s="22" t="s">
        <v>223</v>
      </c>
      <c r="AW36" s="22" t="s">
        <v>224</v>
      </c>
    </row>
    <row r="37" spans="1:49" ht="13.2" x14ac:dyDescent="0.25">
      <c r="A37" s="4">
        <v>34</v>
      </c>
      <c r="B37" s="5" t="s">
        <v>225</v>
      </c>
      <c r="C37" s="56" t="s">
        <v>226</v>
      </c>
      <c r="D37" s="7" t="s">
        <v>154</v>
      </c>
      <c r="E37" s="8">
        <v>3</v>
      </c>
      <c r="F37" s="9">
        <v>0</v>
      </c>
      <c r="G37" s="9" t="s">
        <v>111</v>
      </c>
      <c r="H37" s="32">
        <v>17</v>
      </c>
      <c r="I37" s="11">
        <v>1.9919999999999998E-3</v>
      </c>
      <c r="J37" s="12" t="s">
        <v>135</v>
      </c>
      <c r="K37" s="26">
        <v>4.0280000000000003E-3</v>
      </c>
      <c r="L37" s="8">
        <v>13600000</v>
      </c>
      <c r="M37" s="8">
        <v>85900</v>
      </c>
      <c r="N37" s="15">
        <v>0.63161764705882362</v>
      </c>
      <c r="O37" s="38">
        <v>0.11930555555555555</v>
      </c>
      <c r="P37" s="14">
        <v>18.90066335291997</v>
      </c>
      <c r="Q37" s="17">
        <v>0.19789999999999999</v>
      </c>
      <c r="R37" s="14">
        <v>403.28638497652582</v>
      </c>
      <c r="S37" s="14">
        <v>6827309236.9477921</v>
      </c>
      <c r="T37" s="12" t="s">
        <v>136</v>
      </c>
      <c r="U37" s="7">
        <v>1</v>
      </c>
      <c r="V37" s="7">
        <v>1</v>
      </c>
      <c r="W37" s="18" t="s">
        <v>114</v>
      </c>
      <c r="X37" s="7">
        <v>12</v>
      </c>
      <c r="Y37" s="54" t="s">
        <v>227</v>
      </c>
      <c r="Z37" s="8">
        <v>213</v>
      </c>
      <c r="AA37" s="8">
        <v>213098073.15099999</v>
      </c>
      <c r="AB37" s="8">
        <v>0</v>
      </c>
      <c r="AC37" s="8">
        <v>0</v>
      </c>
      <c r="AD37" s="8">
        <v>192357286.19939327</v>
      </c>
      <c r="AE37" s="36">
        <v>128.94747269999999</v>
      </c>
      <c r="AF37" s="36">
        <v>128947472.7</v>
      </c>
      <c r="AG37" s="8">
        <v>56</v>
      </c>
      <c r="AH37" s="8">
        <v>56201232.584899999</v>
      </c>
      <c r="AI37" s="8">
        <v>0</v>
      </c>
      <c r="AJ37" s="8">
        <v>0</v>
      </c>
      <c r="AK37" s="8">
        <v>51394662.275425576</v>
      </c>
      <c r="AL37" s="8">
        <v>720000</v>
      </c>
      <c r="AM37" s="8">
        <v>719551.46473200002</v>
      </c>
      <c r="AN37" s="8">
        <v>0</v>
      </c>
      <c r="AO37" s="8">
        <v>0</v>
      </c>
      <c r="AP37" s="8">
        <v>643642.10139593738</v>
      </c>
      <c r="AQ37" s="8">
        <v>1817000</v>
      </c>
      <c r="AR37" s="21" t="s">
        <v>228</v>
      </c>
      <c r="AS37" s="16" t="s">
        <v>111</v>
      </c>
      <c r="AT37" s="16" t="s">
        <v>111</v>
      </c>
      <c r="AU37" s="22" t="s">
        <v>111</v>
      </c>
      <c r="AV37" s="22" t="s">
        <v>111</v>
      </c>
      <c r="AW37" s="22" t="s">
        <v>111</v>
      </c>
    </row>
    <row r="38" spans="1:49" ht="13.2" x14ac:dyDescent="0.25">
      <c r="A38" s="4">
        <v>35</v>
      </c>
      <c r="B38" s="5" t="s">
        <v>225</v>
      </c>
      <c r="C38" s="56" t="s">
        <v>226</v>
      </c>
      <c r="D38" s="7" t="s">
        <v>154</v>
      </c>
      <c r="E38" s="8">
        <v>3</v>
      </c>
      <c r="F38" s="9">
        <v>0</v>
      </c>
      <c r="G38" s="9" t="s">
        <v>111</v>
      </c>
      <c r="H38" s="32">
        <v>115</v>
      </c>
      <c r="I38" s="11">
        <v>1.9919999999999998E-3</v>
      </c>
      <c r="J38" s="12" t="s">
        <v>135</v>
      </c>
      <c r="K38" s="26">
        <v>4.0280000000000003E-3</v>
      </c>
      <c r="L38" s="8">
        <v>13600000</v>
      </c>
      <c r="M38" s="8">
        <v>85900</v>
      </c>
      <c r="N38" s="15">
        <v>0.63161764705882362</v>
      </c>
      <c r="O38" s="38">
        <v>0.11930555555555555</v>
      </c>
      <c r="P38" s="14">
        <v>18.90066335291997</v>
      </c>
      <c r="Q38" s="17">
        <v>1.3388</v>
      </c>
      <c r="R38" s="14">
        <v>403.28638497652582</v>
      </c>
      <c r="S38" s="14">
        <v>6827309236.9477921</v>
      </c>
      <c r="T38" s="12" t="s">
        <v>136</v>
      </c>
      <c r="U38" s="7">
        <v>1</v>
      </c>
      <c r="V38" s="7">
        <v>1</v>
      </c>
      <c r="W38" s="18" t="s">
        <v>114</v>
      </c>
      <c r="X38" s="7">
        <v>12</v>
      </c>
      <c r="Y38" s="54" t="s">
        <v>227</v>
      </c>
      <c r="Z38" s="8">
        <v>213</v>
      </c>
      <c r="AA38" s="8">
        <v>213098073.15099999</v>
      </c>
      <c r="AB38" s="8">
        <v>0</v>
      </c>
      <c r="AC38" s="8">
        <v>0</v>
      </c>
      <c r="AD38" s="8">
        <v>192357286.19939327</v>
      </c>
      <c r="AE38" s="36">
        <v>128.94747269999999</v>
      </c>
      <c r="AF38" s="36">
        <v>128947472.7</v>
      </c>
      <c r="AG38" s="8">
        <v>56</v>
      </c>
      <c r="AH38" s="8">
        <v>56201232.584899999</v>
      </c>
      <c r="AI38" s="8">
        <v>0</v>
      </c>
      <c r="AJ38" s="8">
        <v>0</v>
      </c>
      <c r="AK38" s="8">
        <v>51394662.275425576</v>
      </c>
      <c r="AL38" s="8">
        <v>720000</v>
      </c>
      <c r="AM38" s="8">
        <v>719551.46473200002</v>
      </c>
      <c r="AN38" s="8">
        <v>0</v>
      </c>
      <c r="AO38" s="8">
        <v>0</v>
      </c>
      <c r="AP38" s="8">
        <v>643642.10139593738</v>
      </c>
      <c r="AQ38" s="8">
        <v>1817000</v>
      </c>
      <c r="AR38" s="21" t="s">
        <v>228</v>
      </c>
      <c r="AS38" s="16" t="s">
        <v>111</v>
      </c>
      <c r="AT38" s="16" t="s">
        <v>111</v>
      </c>
      <c r="AU38" s="22" t="s">
        <v>111</v>
      </c>
      <c r="AV38" s="22" t="s">
        <v>111</v>
      </c>
      <c r="AW38" s="22" t="s">
        <v>111</v>
      </c>
    </row>
    <row r="39" spans="1:49" ht="13.2" x14ac:dyDescent="0.25">
      <c r="A39" s="4">
        <v>36</v>
      </c>
      <c r="B39" s="5" t="s">
        <v>229</v>
      </c>
      <c r="C39" s="1"/>
      <c r="D39" s="7" t="s">
        <v>132</v>
      </c>
      <c r="E39" s="8">
        <v>4</v>
      </c>
      <c r="F39" s="9">
        <v>4</v>
      </c>
      <c r="G39" s="9" t="s">
        <v>111</v>
      </c>
      <c r="H39" s="10">
        <v>1.3</v>
      </c>
      <c r="I39" s="11">
        <v>0.5</v>
      </c>
      <c r="J39" s="12" t="s">
        <v>117</v>
      </c>
      <c r="K39" s="7" t="s">
        <v>111</v>
      </c>
      <c r="L39" s="14">
        <v>7150000</v>
      </c>
      <c r="M39" s="14">
        <v>50700</v>
      </c>
      <c r="N39" s="15">
        <v>0.70909090909090911</v>
      </c>
      <c r="O39" s="14">
        <v>2535</v>
      </c>
      <c r="P39" s="14">
        <v>381899.1097922849</v>
      </c>
      <c r="Q39" s="17">
        <v>2.5600000000000001E-2</v>
      </c>
      <c r="R39" s="14">
        <v>2304.5454545454545</v>
      </c>
      <c r="S39" s="14">
        <v>14300000</v>
      </c>
      <c r="T39" s="12" t="s">
        <v>146</v>
      </c>
      <c r="U39" s="7">
        <v>1</v>
      </c>
      <c r="V39" s="7">
        <v>1</v>
      </c>
      <c r="W39" s="18" t="s">
        <v>114</v>
      </c>
      <c r="X39" s="29">
        <v>6.5</v>
      </c>
      <c r="Y39" s="19">
        <v>43376</v>
      </c>
      <c r="Z39" s="47">
        <v>2.0000000000000002E-5</v>
      </c>
      <c r="AA39" s="8">
        <f>(1+15+1+1+4+374)/18</f>
        <v>22</v>
      </c>
      <c r="AB39" s="8">
        <v>0</v>
      </c>
      <c r="AC39" s="8">
        <v>0</v>
      </c>
      <c r="AD39" s="8">
        <v>22</v>
      </c>
      <c r="AE39" s="20" t="s">
        <v>111</v>
      </c>
      <c r="AF39" s="20" t="s">
        <v>111</v>
      </c>
      <c r="AG39" s="8" t="s">
        <v>111</v>
      </c>
      <c r="AH39" s="8" t="s">
        <v>111</v>
      </c>
      <c r="AI39" s="8" t="s">
        <v>111</v>
      </c>
      <c r="AJ39" s="8" t="s">
        <v>111</v>
      </c>
      <c r="AK39" s="8" t="s">
        <v>111</v>
      </c>
      <c r="AL39" s="8">
        <v>20</v>
      </c>
      <c r="AM39" s="8">
        <f>(1+4+1+2+329)/18</f>
        <v>18.722222222222221</v>
      </c>
      <c r="AN39" s="8">
        <v>0</v>
      </c>
      <c r="AO39" s="8">
        <v>0</v>
      </c>
      <c r="AP39" s="8">
        <v>19</v>
      </c>
      <c r="AQ39" s="8">
        <v>329</v>
      </c>
      <c r="AR39" s="21" t="s">
        <v>187</v>
      </c>
      <c r="AS39" s="16" t="s">
        <v>230</v>
      </c>
      <c r="AT39" s="16" t="s">
        <v>231</v>
      </c>
      <c r="AU39" s="22" t="s">
        <v>232</v>
      </c>
      <c r="AV39" s="22" t="s">
        <v>111</v>
      </c>
      <c r="AW39" s="22" t="s">
        <v>111</v>
      </c>
    </row>
    <row r="40" spans="1:49" ht="13.2" x14ac:dyDescent="0.25">
      <c r="A40" s="4">
        <v>37</v>
      </c>
      <c r="B40" s="5" t="s">
        <v>233</v>
      </c>
      <c r="C40" s="37"/>
      <c r="D40" s="7" t="s">
        <v>132</v>
      </c>
      <c r="E40" s="8">
        <v>2</v>
      </c>
      <c r="F40" s="32">
        <f>2/24</f>
        <v>8.3333333333333329E-2</v>
      </c>
      <c r="G40" s="9" t="s">
        <v>111</v>
      </c>
      <c r="H40" s="10">
        <v>9</v>
      </c>
      <c r="I40" s="11">
        <v>7.2179999999999996E-3</v>
      </c>
      <c r="J40" s="12" t="s">
        <v>135</v>
      </c>
      <c r="K40" s="26">
        <v>7.6150000000000002E-3</v>
      </c>
      <c r="L40" s="14">
        <v>12800000</v>
      </c>
      <c r="M40" s="14">
        <v>26300</v>
      </c>
      <c r="N40" s="15">
        <v>0.20546875000000001</v>
      </c>
      <c r="O40" s="38">
        <v>0.38619676945668135</v>
      </c>
      <c r="P40" s="14">
        <v>187.90518825388634</v>
      </c>
      <c r="Q40" s="17">
        <v>0.3422</v>
      </c>
      <c r="R40" s="14">
        <v>2922.2222222222222</v>
      </c>
      <c r="S40" s="14">
        <v>1773344416.7359381</v>
      </c>
      <c r="T40" s="12" t="s">
        <v>113</v>
      </c>
      <c r="U40" s="18">
        <v>10000</v>
      </c>
      <c r="V40" s="18">
        <v>10000</v>
      </c>
      <c r="W40" s="18" t="s">
        <v>114</v>
      </c>
      <c r="X40" s="18">
        <v>11</v>
      </c>
      <c r="Y40" s="18" t="s">
        <v>234</v>
      </c>
      <c r="Z40" s="30">
        <v>9</v>
      </c>
      <c r="AA40" s="8">
        <v>8955237.6515599992</v>
      </c>
      <c r="AB40" s="8">
        <v>668.36619614799997</v>
      </c>
      <c r="AC40" s="8">
        <v>9404.2495009100003</v>
      </c>
      <c r="AD40" s="8">
        <v>3064119.8933714102</v>
      </c>
      <c r="AE40" s="55">
        <v>0.24534897680000001</v>
      </c>
      <c r="AF40" s="36">
        <v>245348.9768</v>
      </c>
      <c r="AG40" s="30">
        <v>5.7</v>
      </c>
      <c r="AH40" s="8">
        <v>5724751.5877900003</v>
      </c>
      <c r="AI40" s="8">
        <v>145.79108673100001</v>
      </c>
      <c r="AJ40" s="8">
        <v>761.18481436599996</v>
      </c>
      <c r="AK40" s="8">
        <v>3497927.3979094182</v>
      </c>
      <c r="AL40" s="8">
        <v>68100</v>
      </c>
      <c r="AM40" s="8">
        <v>68119.460239199994</v>
      </c>
      <c r="AN40" s="8">
        <v>1.7326971498899999</v>
      </c>
      <c r="AO40" s="8">
        <v>10.066114037950001</v>
      </c>
      <c r="AP40" s="8">
        <v>41609.67266107742</v>
      </c>
      <c r="AQ40" s="8">
        <v>2600000</v>
      </c>
      <c r="AR40" s="21" t="s">
        <v>235</v>
      </c>
      <c r="AS40" s="16" t="s">
        <v>111</v>
      </c>
      <c r="AT40" s="16" t="s">
        <v>111</v>
      </c>
      <c r="AU40" s="22" t="s">
        <v>111</v>
      </c>
      <c r="AV40" s="22" t="s">
        <v>111</v>
      </c>
      <c r="AW40" s="31" t="s">
        <v>111</v>
      </c>
    </row>
    <row r="41" spans="1:49" ht="13.2" x14ac:dyDescent="0.25">
      <c r="A41" s="4">
        <v>38</v>
      </c>
      <c r="B41" s="5" t="s">
        <v>236</v>
      </c>
      <c r="C41" s="6" t="s">
        <v>237</v>
      </c>
      <c r="D41" s="7" t="s">
        <v>110</v>
      </c>
      <c r="E41" s="8">
        <v>2</v>
      </c>
      <c r="F41" s="9" t="s">
        <v>111</v>
      </c>
      <c r="G41" s="9" t="s">
        <v>111</v>
      </c>
      <c r="H41" s="10">
        <v>1.3</v>
      </c>
      <c r="I41" s="11">
        <v>0.115</v>
      </c>
      <c r="J41" s="12" t="s">
        <v>112</v>
      </c>
      <c r="K41" s="7" t="s">
        <v>111</v>
      </c>
      <c r="L41" s="14">
        <v>1060000</v>
      </c>
      <c r="M41" s="14">
        <v>14000</v>
      </c>
      <c r="N41" s="38">
        <v>1.3207547169811322</v>
      </c>
      <c r="O41" s="14">
        <v>0.11023622047244094</v>
      </c>
      <c r="P41" s="14">
        <v>8.3186782056493644</v>
      </c>
      <c r="Q41" s="17">
        <v>9.2899999999999996E-2</v>
      </c>
      <c r="R41" s="14">
        <v>23333.333333333336</v>
      </c>
      <c r="S41" s="14">
        <v>9217391.3043478262</v>
      </c>
      <c r="T41" s="12" t="s">
        <v>113</v>
      </c>
      <c r="U41" s="18" t="s">
        <v>111</v>
      </c>
      <c r="V41" s="18" t="s">
        <v>111</v>
      </c>
      <c r="W41" s="7" t="s">
        <v>111</v>
      </c>
      <c r="X41" s="7">
        <v>4</v>
      </c>
      <c r="Y41" s="19">
        <v>43375</v>
      </c>
      <c r="Z41" s="30">
        <v>0.6</v>
      </c>
      <c r="AA41" s="8">
        <v>561372.00011100003</v>
      </c>
      <c r="AB41" s="8">
        <v>3239.21905251</v>
      </c>
      <c r="AC41" s="8">
        <v>14528.406835640002</v>
      </c>
      <c r="AD41" s="14">
        <v>386715.77695582405</v>
      </c>
      <c r="AE41" s="35">
        <v>1.6605587749999999</v>
      </c>
      <c r="AF41" s="36">
        <v>1660558.7749999999</v>
      </c>
      <c r="AG41" s="30">
        <v>8.3000000000000007</v>
      </c>
      <c r="AH41" s="8">
        <v>8327140</v>
      </c>
      <c r="AI41" s="8">
        <v>17379</v>
      </c>
      <c r="AJ41" s="8">
        <v>84781</v>
      </c>
      <c r="AK41" s="8">
        <v>4652170</v>
      </c>
      <c r="AL41" s="8">
        <v>127000</v>
      </c>
      <c r="AM41" s="8">
        <v>127424.089957</v>
      </c>
      <c r="AN41" s="8">
        <v>369.81880771099998</v>
      </c>
      <c r="AO41" s="8">
        <v>1618.0647280409999</v>
      </c>
      <c r="AP41" s="8">
        <v>66043</v>
      </c>
      <c r="AQ41" s="8" t="s">
        <v>111</v>
      </c>
      <c r="AR41" s="21" t="s">
        <v>111</v>
      </c>
      <c r="AS41" s="16" t="s">
        <v>238</v>
      </c>
      <c r="AT41" s="16" t="s">
        <v>239</v>
      </c>
      <c r="AU41" s="22" t="s">
        <v>240</v>
      </c>
      <c r="AV41" s="22" t="s">
        <v>241</v>
      </c>
      <c r="AW41" s="22" t="s">
        <v>111</v>
      </c>
    </row>
    <row r="42" spans="1:49" ht="13.2" x14ac:dyDescent="0.25">
      <c r="A42" s="4">
        <v>39</v>
      </c>
      <c r="B42" s="5" t="s">
        <v>242</v>
      </c>
      <c r="C42" s="6" t="s">
        <v>243</v>
      </c>
      <c r="D42" s="7" t="s">
        <v>110</v>
      </c>
      <c r="E42" s="8">
        <v>2</v>
      </c>
      <c r="F42" s="9" t="s">
        <v>111</v>
      </c>
      <c r="G42" s="9" t="s">
        <v>111</v>
      </c>
      <c r="H42" s="10">
        <v>1.3</v>
      </c>
      <c r="I42" s="11">
        <v>0.5</v>
      </c>
      <c r="J42" s="12" t="s">
        <v>117</v>
      </c>
      <c r="K42" s="7" t="s">
        <v>111</v>
      </c>
      <c r="L42" s="14">
        <v>1060000</v>
      </c>
      <c r="M42" s="14">
        <v>14000</v>
      </c>
      <c r="N42" s="38">
        <v>1.3207547169811322</v>
      </c>
      <c r="O42" s="14">
        <v>0.11023622047244094</v>
      </c>
      <c r="P42" s="14">
        <v>8.3186782056493644</v>
      </c>
      <c r="Q42" s="17">
        <v>9.2899999999999996E-2</v>
      </c>
      <c r="R42" s="14">
        <v>23333.333333333336</v>
      </c>
      <c r="S42" s="14">
        <v>2120000</v>
      </c>
      <c r="T42" s="12" t="s">
        <v>113</v>
      </c>
      <c r="U42" s="7" t="s">
        <v>111</v>
      </c>
      <c r="V42" s="7" t="s">
        <v>111</v>
      </c>
      <c r="W42" s="7" t="s">
        <v>111</v>
      </c>
      <c r="X42" s="7">
        <v>4</v>
      </c>
      <c r="Y42" s="19">
        <v>43375</v>
      </c>
      <c r="Z42" s="30">
        <v>0.6</v>
      </c>
      <c r="AA42" s="8">
        <v>561372.00011100003</v>
      </c>
      <c r="AB42" s="8">
        <v>3239.21905251</v>
      </c>
      <c r="AC42" s="8">
        <v>14528.406835640002</v>
      </c>
      <c r="AD42" s="14">
        <v>386715.77695582405</v>
      </c>
      <c r="AE42" s="35">
        <v>1.6605587749999999</v>
      </c>
      <c r="AF42" s="36">
        <v>1660558.7749999999</v>
      </c>
      <c r="AG42" s="30">
        <v>8.3000000000000007</v>
      </c>
      <c r="AH42" s="8">
        <v>8327140</v>
      </c>
      <c r="AI42" s="8">
        <v>17379</v>
      </c>
      <c r="AJ42" s="8">
        <v>84781</v>
      </c>
      <c r="AK42" s="8">
        <v>4652170</v>
      </c>
      <c r="AL42" s="8">
        <v>127000</v>
      </c>
      <c r="AM42" s="8">
        <v>127424.089957</v>
      </c>
      <c r="AN42" s="8">
        <v>369.81880771099998</v>
      </c>
      <c r="AO42" s="8">
        <v>1618.0647280409999</v>
      </c>
      <c r="AP42" s="8">
        <v>66043</v>
      </c>
      <c r="AQ42" s="8" t="s">
        <v>111</v>
      </c>
      <c r="AR42" s="21" t="s">
        <v>111</v>
      </c>
      <c r="AS42" s="16" t="s">
        <v>238</v>
      </c>
      <c r="AT42" s="16" t="s">
        <v>239</v>
      </c>
      <c r="AU42" s="22" t="s">
        <v>240</v>
      </c>
      <c r="AV42" s="22" t="s">
        <v>244</v>
      </c>
      <c r="AW42" s="22" t="s">
        <v>111</v>
      </c>
    </row>
    <row r="43" spans="1:49" ht="13.2" x14ac:dyDescent="0.25">
      <c r="A43" s="4">
        <v>40</v>
      </c>
      <c r="B43" s="5" t="s">
        <v>245</v>
      </c>
      <c r="C43" s="31"/>
      <c r="D43" s="7" t="s">
        <v>132</v>
      </c>
      <c r="E43" s="8">
        <v>3</v>
      </c>
      <c r="F43" s="9">
        <v>2</v>
      </c>
      <c r="G43" s="9">
        <v>5</v>
      </c>
      <c r="H43" s="10">
        <v>0.5</v>
      </c>
      <c r="I43" s="11">
        <f>757/2127</f>
        <v>0.35590032910202163</v>
      </c>
      <c r="J43" s="12" t="s">
        <v>112</v>
      </c>
      <c r="K43" s="13">
        <v>0.18</v>
      </c>
      <c r="L43" s="14">
        <v>14500000</v>
      </c>
      <c r="M43" s="14">
        <v>287000</v>
      </c>
      <c r="N43" s="38">
        <v>1.9793103448275864</v>
      </c>
      <c r="O43" s="14">
        <v>2125.9259259259261</v>
      </c>
      <c r="P43" s="14">
        <v>107770.27027027028</v>
      </c>
      <c r="Q43" s="17">
        <v>1.6999999999999999E-3</v>
      </c>
      <c r="R43" s="14">
        <v>743523316.06217611</v>
      </c>
      <c r="S43" s="14">
        <v>40741743.725231178</v>
      </c>
      <c r="T43" s="12" t="s">
        <v>113</v>
      </c>
      <c r="U43" s="16">
        <v>1000</v>
      </c>
      <c r="V43" s="16">
        <v>1000</v>
      </c>
      <c r="W43" s="7" t="s">
        <v>182</v>
      </c>
      <c r="X43" s="7">
        <v>5</v>
      </c>
      <c r="Y43" s="7" t="s">
        <v>246</v>
      </c>
      <c r="Z43" s="48">
        <v>3.86E-4</v>
      </c>
      <c r="AA43" s="8">
        <f>2123/5.5</f>
        <v>386</v>
      </c>
      <c r="AB43" s="8" t="s">
        <v>111</v>
      </c>
      <c r="AC43" s="8" t="s">
        <v>111</v>
      </c>
      <c r="AD43" s="8" t="s">
        <v>111</v>
      </c>
      <c r="AE43" s="20" t="s">
        <v>111</v>
      </c>
      <c r="AF43" s="20" t="s">
        <v>111</v>
      </c>
      <c r="AG43" s="8" t="s">
        <v>111</v>
      </c>
      <c r="AH43" s="8" t="s">
        <v>111</v>
      </c>
      <c r="AI43" s="8" t="s">
        <v>111</v>
      </c>
      <c r="AJ43" s="8" t="s">
        <v>111</v>
      </c>
      <c r="AK43" s="8" t="s">
        <v>111</v>
      </c>
      <c r="AL43" s="8">
        <v>135</v>
      </c>
      <c r="AM43" s="8">
        <f>740/5.5</f>
        <v>134.54545454545453</v>
      </c>
      <c r="AN43" s="8" t="s">
        <v>111</v>
      </c>
      <c r="AO43" s="8" t="s">
        <v>111</v>
      </c>
      <c r="AP43" s="8">
        <v>2</v>
      </c>
      <c r="AQ43" s="8">
        <v>170</v>
      </c>
      <c r="AR43" s="21" t="s">
        <v>247</v>
      </c>
      <c r="AS43" s="16" t="s">
        <v>248</v>
      </c>
      <c r="AT43" s="16" t="s">
        <v>249</v>
      </c>
      <c r="AU43" s="22" t="s">
        <v>111</v>
      </c>
      <c r="AV43" s="22" t="s">
        <v>111</v>
      </c>
      <c r="AW43" s="22" t="s">
        <v>111</v>
      </c>
    </row>
    <row r="44" spans="1:49" ht="13.2" x14ac:dyDescent="0.25">
      <c r="A44" s="4">
        <v>41</v>
      </c>
      <c r="B44" s="5" t="s">
        <v>250</v>
      </c>
      <c r="C44" s="41"/>
      <c r="D44" s="7" t="s">
        <v>110</v>
      </c>
      <c r="E44" s="8">
        <v>2</v>
      </c>
      <c r="F44" s="9">
        <v>213</v>
      </c>
      <c r="G44" s="9">
        <v>365</v>
      </c>
      <c r="H44" s="10">
        <v>0.4</v>
      </c>
      <c r="I44" s="11">
        <v>0.2</v>
      </c>
      <c r="J44" s="12" t="s">
        <v>112</v>
      </c>
      <c r="K44" s="26">
        <f>360/29309</f>
        <v>1.2282916510286943E-2</v>
      </c>
      <c r="L44" s="14">
        <v>9270000</v>
      </c>
      <c r="M44" s="14">
        <v>14500</v>
      </c>
      <c r="N44" s="15">
        <v>0.15641855447680691</v>
      </c>
      <c r="O44" s="46" t="s">
        <v>111</v>
      </c>
      <c r="P44" s="14">
        <v>13.242857142857142</v>
      </c>
      <c r="Q44" s="17">
        <v>2.41E-2</v>
      </c>
      <c r="R44" s="14" t="s">
        <v>111</v>
      </c>
      <c r="S44" s="14">
        <v>46350000</v>
      </c>
      <c r="T44" s="12" t="s">
        <v>251</v>
      </c>
      <c r="U44" s="18">
        <v>100000</v>
      </c>
      <c r="V44" s="18">
        <v>100000</v>
      </c>
      <c r="W44" s="18" t="s">
        <v>114</v>
      </c>
      <c r="X44" s="18">
        <v>1</v>
      </c>
      <c r="Y44" s="19">
        <v>43374</v>
      </c>
      <c r="Z44" s="8" t="s">
        <v>111</v>
      </c>
      <c r="AA44" s="8" t="s">
        <v>111</v>
      </c>
      <c r="AB44" s="8" t="s">
        <v>111</v>
      </c>
      <c r="AC44" s="8" t="s">
        <v>111</v>
      </c>
      <c r="AD44" s="8" t="s">
        <v>111</v>
      </c>
      <c r="AE44" s="20" t="s">
        <v>111</v>
      </c>
      <c r="AF44" s="20" t="s">
        <v>111</v>
      </c>
      <c r="AG44" s="8" t="s">
        <v>111</v>
      </c>
      <c r="AH44" s="8" t="s">
        <v>111</v>
      </c>
      <c r="AI44" s="8" t="s">
        <v>111</v>
      </c>
      <c r="AJ44" s="8" t="s">
        <v>111</v>
      </c>
      <c r="AK44" s="8" t="s">
        <v>111</v>
      </c>
      <c r="AL44" s="8" t="s">
        <v>111</v>
      </c>
      <c r="AM44" s="8" t="s">
        <v>111</v>
      </c>
      <c r="AN44" s="8">
        <v>11000</v>
      </c>
      <c r="AO44" s="8" t="s">
        <v>111</v>
      </c>
      <c r="AP44" s="8" t="s">
        <v>111</v>
      </c>
      <c r="AQ44" s="8">
        <v>700000</v>
      </c>
      <c r="AR44" s="21" t="s">
        <v>252</v>
      </c>
      <c r="AS44" s="16" t="s">
        <v>111</v>
      </c>
      <c r="AT44" s="16" t="s">
        <v>111</v>
      </c>
      <c r="AU44" s="22" t="s">
        <v>111</v>
      </c>
      <c r="AV44" s="22" t="s">
        <v>111</v>
      </c>
      <c r="AW44" s="22" t="s">
        <v>111</v>
      </c>
    </row>
    <row r="45" spans="1:49" ht="13.2" x14ac:dyDescent="0.25">
      <c r="A45" s="4">
        <v>42</v>
      </c>
      <c r="B45" s="5" t="s">
        <v>253</v>
      </c>
      <c r="C45" s="41"/>
      <c r="D45" s="7" t="s">
        <v>132</v>
      </c>
      <c r="E45" s="8">
        <v>2</v>
      </c>
      <c r="F45" s="9">
        <v>6</v>
      </c>
      <c r="G45" s="9" t="s">
        <v>111</v>
      </c>
      <c r="H45" s="10">
        <v>7</v>
      </c>
      <c r="I45" s="27">
        <f>1/10000</f>
        <v>1E-4</v>
      </c>
      <c r="J45" s="12" t="s">
        <v>128</v>
      </c>
      <c r="K45" s="7" t="s">
        <v>111</v>
      </c>
      <c r="L45" s="14">
        <v>5830000</v>
      </c>
      <c r="M45" s="14">
        <v>8860</v>
      </c>
      <c r="N45" s="15">
        <v>0.15197255574614066</v>
      </c>
      <c r="O45" s="16" t="s">
        <v>111</v>
      </c>
      <c r="P45" s="16" t="s">
        <v>111</v>
      </c>
      <c r="Q45" s="17">
        <v>0.79010000000000002</v>
      </c>
      <c r="R45" s="14" t="s">
        <v>111</v>
      </c>
      <c r="S45" s="14">
        <v>58300000000</v>
      </c>
      <c r="T45" s="12" t="s">
        <v>113</v>
      </c>
      <c r="U45" s="7" t="s">
        <v>111</v>
      </c>
      <c r="V45" s="7" t="s">
        <v>111</v>
      </c>
      <c r="W45" s="18" t="s">
        <v>111</v>
      </c>
      <c r="X45" s="7">
        <v>17</v>
      </c>
      <c r="Y45" s="7" t="s">
        <v>254</v>
      </c>
      <c r="Z45" s="8" t="s">
        <v>111</v>
      </c>
      <c r="AA45" s="8" t="s">
        <v>111</v>
      </c>
      <c r="AB45" s="8">
        <v>5629</v>
      </c>
      <c r="AC45" s="8" t="s">
        <v>111</v>
      </c>
      <c r="AD45" s="8" t="s">
        <v>111</v>
      </c>
      <c r="AE45" s="20" t="s">
        <v>111</v>
      </c>
      <c r="AF45" s="20" t="s">
        <v>111</v>
      </c>
      <c r="AG45" s="8" t="s">
        <v>111</v>
      </c>
      <c r="AH45" s="8" t="s">
        <v>111</v>
      </c>
      <c r="AI45" s="8" t="s">
        <v>111</v>
      </c>
      <c r="AJ45" s="8" t="s">
        <v>111</v>
      </c>
      <c r="AK45" s="8" t="s">
        <v>111</v>
      </c>
      <c r="AL45" s="8" t="s">
        <v>111</v>
      </c>
      <c r="AM45" s="8" t="s">
        <v>111</v>
      </c>
      <c r="AN45" s="8">
        <v>1</v>
      </c>
      <c r="AO45" s="8" t="s">
        <v>111</v>
      </c>
      <c r="AP45" s="8" t="s">
        <v>111</v>
      </c>
      <c r="AQ45" s="8" t="s">
        <v>111</v>
      </c>
      <c r="AR45" s="21" t="s">
        <v>111</v>
      </c>
      <c r="AS45" s="16" t="s">
        <v>111</v>
      </c>
      <c r="AT45" s="16" t="s">
        <v>111</v>
      </c>
      <c r="AU45" s="22" t="s">
        <v>111</v>
      </c>
      <c r="AV45" s="22" t="s">
        <v>111</v>
      </c>
      <c r="AW45" s="22" t="s">
        <v>111</v>
      </c>
    </row>
    <row r="46" spans="1:49" ht="13.2" x14ac:dyDescent="0.25">
      <c r="A46" s="4">
        <v>43</v>
      </c>
      <c r="B46" s="5" t="s">
        <v>255</v>
      </c>
      <c r="C46" s="41"/>
      <c r="D46" s="7" t="s">
        <v>132</v>
      </c>
      <c r="E46" s="8">
        <v>2</v>
      </c>
      <c r="F46" s="9">
        <v>12</v>
      </c>
      <c r="G46" s="9">
        <v>28</v>
      </c>
      <c r="H46" s="10">
        <v>7.8</v>
      </c>
      <c r="I46" s="27">
        <v>8.0000000000000004E-4</v>
      </c>
      <c r="J46" s="12" t="s">
        <v>128</v>
      </c>
      <c r="K46" s="57">
        <f>0.01/10000</f>
        <v>9.9999999999999995E-7</v>
      </c>
      <c r="L46" s="14">
        <v>3010000</v>
      </c>
      <c r="M46" s="14">
        <v>27400</v>
      </c>
      <c r="N46" s="15">
        <v>0.9102990033222591</v>
      </c>
      <c r="O46" s="8" t="s">
        <v>111</v>
      </c>
      <c r="P46" s="14">
        <v>14.165439152144346</v>
      </c>
      <c r="Q46" s="17">
        <v>0.28539999999999999</v>
      </c>
      <c r="R46" s="14">
        <v>40</v>
      </c>
      <c r="S46" s="14">
        <v>3762500000</v>
      </c>
      <c r="T46" s="12" t="s">
        <v>123</v>
      </c>
      <c r="U46" s="7">
        <v>10</v>
      </c>
      <c r="V46" s="16">
        <v>10</v>
      </c>
      <c r="W46" s="18" t="s">
        <v>114</v>
      </c>
      <c r="X46" s="29">
        <v>1.375</v>
      </c>
      <c r="Y46" s="58" t="s">
        <v>256</v>
      </c>
      <c r="Z46" s="8">
        <v>685</v>
      </c>
      <c r="AA46" s="8">
        <v>684850131</v>
      </c>
      <c r="AB46" s="8" t="s">
        <v>111</v>
      </c>
      <c r="AC46" s="8" t="s">
        <v>111</v>
      </c>
      <c r="AD46" s="8" t="s">
        <v>111</v>
      </c>
      <c r="AE46" s="20" t="s">
        <v>111</v>
      </c>
      <c r="AF46" s="20" t="s">
        <v>111</v>
      </c>
      <c r="AG46" s="8">
        <v>15</v>
      </c>
      <c r="AH46" s="8">
        <v>15105714</v>
      </c>
      <c r="AI46" s="8" t="s">
        <v>111</v>
      </c>
      <c r="AJ46" s="8" t="s">
        <v>111</v>
      </c>
      <c r="AK46" s="8" t="s">
        <v>111</v>
      </c>
      <c r="AL46" s="8">
        <v>212000</v>
      </c>
      <c r="AM46" s="8">
        <v>212489</v>
      </c>
      <c r="AN46" s="8">
        <v>690</v>
      </c>
      <c r="AO46" s="8" t="s">
        <v>111</v>
      </c>
      <c r="AP46" s="8">
        <v>60000</v>
      </c>
      <c r="AQ46" s="8" t="s">
        <v>111</v>
      </c>
      <c r="AR46" s="21" t="s">
        <v>111</v>
      </c>
      <c r="AS46" s="16" t="s">
        <v>111</v>
      </c>
      <c r="AT46" s="16" t="s">
        <v>111</v>
      </c>
      <c r="AU46" s="22" t="s">
        <v>111</v>
      </c>
      <c r="AV46" s="22" t="s">
        <v>111</v>
      </c>
      <c r="AW46" s="31" t="s">
        <v>111</v>
      </c>
    </row>
    <row r="47" spans="1:49" ht="13.2" x14ac:dyDescent="0.25">
      <c r="A47" s="4">
        <v>44</v>
      </c>
      <c r="B47" s="5" t="s">
        <v>257</v>
      </c>
      <c r="C47" s="59" t="s">
        <v>258</v>
      </c>
      <c r="D47" s="7" t="s">
        <v>110</v>
      </c>
      <c r="E47" s="8">
        <v>3</v>
      </c>
      <c r="F47" s="43">
        <v>3</v>
      </c>
      <c r="G47" s="9">
        <v>100</v>
      </c>
      <c r="H47" s="10">
        <v>3.5</v>
      </c>
      <c r="I47" s="11">
        <v>0.15</v>
      </c>
      <c r="J47" s="12" t="s">
        <v>112</v>
      </c>
      <c r="K47" s="7" t="s">
        <v>111</v>
      </c>
      <c r="L47" s="14">
        <v>2050000</v>
      </c>
      <c r="M47" s="14">
        <v>895</v>
      </c>
      <c r="N47" s="15">
        <v>4.3658536585365851E-2</v>
      </c>
      <c r="O47" s="14">
        <v>7.6495726495726499</v>
      </c>
      <c r="P47" s="14">
        <v>17551.369863013701</v>
      </c>
      <c r="Q47" s="17">
        <v>3.9106000000000001</v>
      </c>
      <c r="R47" s="14">
        <v>1491666.6666666667</v>
      </c>
      <c r="S47" s="14">
        <v>13666666.666666668</v>
      </c>
      <c r="T47" s="12" t="s">
        <v>136</v>
      </c>
      <c r="U47" s="7">
        <v>10</v>
      </c>
      <c r="V47" s="7">
        <v>10</v>
      </c>
      <c r="W47" s="18" t="s">
        <v>114</v>
      </c>
      <c r="X47" s="7">
        <f t="shared" ref="X47:X48" si="2">AVERAGE(1,7)</f>
        <v>4</v>
      </c>
      <c r="Y47" s="58" t="s">
        <v>259</v>
      </c>
      <c r="Z47" s="48">
        <v>5.9999999999999995E-4</v>
      </c>
      <c r="AA47" s="8">
        <f t="shared" ref="AA47:AA49" si="3">3248/5</f>
        <v>649.6</v>
      </c>
      <c r="AB47" s="8">
        <v>4</v>
      </c>
      <c r="AC47" s="8" t="s">
        <v>111</v>
      </c>
      <c r="AD47" s="8" t="s">
        <v>111</v>
      </c>
      <c r="AE47" s="20" t="s">
        <v>111</v>
      </c>
      <c r="AF47" s="20" t="s">
        <v>111</v>
      </c>
      <c r="AG47" s="8" t="s">
        <v>111</v>
      </c>
      <c r="AH47" s="8" t="s">
        <v>111</v>
      </c>
      <c r="AI47" s="8" t="s">
        <v>111</v>
      </c>
      <c r="AJ47" s="8" t="s">
        <v>111</v>
      </c>
      <c r="AK47" s="8" t="s">
        <v>111</v>
      </c>
      <c r="AL47" s="8">
        <v>117</v>
      </c>
      <c r="AM47" s="8">
        <f t="shared" ref="AM47:AM49" si="4">584/5</f>
        <v>116.8</v>
      </c>
      <c r="AN47" s="8">
        <v>0</v>
      </c>
      <c r="AO47" s="8" t="s">
        <v>111</v>
      </c>
      <c r="AP47" s="8" t="s">
        <v>111</v>
      </c>
      <c r="AQ47" s="8">
        <f t="shared" ref="AQ47:AQ49" si="5">30000000/5</f>
        <v>6000000</v>
      </c>
      <c r="AR47" s="24" t="s">
        <v>260</v>
      </c>
      <c r="AS47" s="16" t="s">
        <v>111</v>
      </c>
      <c r="AT47" s="16" t="s">
        <v>111</v>
      </c>
      <c r="AU47" s="22" t="s">
        <v>111</v>
      </c>
      <c r="AV47" s="22" t="s">
        <v>111</v>
      </c>
      <c r="AW47" s="22" t="s">
        <v>111</v>
      </c>
    </row>
    <row r="48" spans="1:49" ht="13.2" x14ac:dyDescent="0.25">
      <c r="A48" s="4">
        <v>45</v>
      </c>
      <c r="B48" s="5" t="s">
        <v>261</v>
      </c>
      <c r="C48" s="6" t="s">
        <v>262</v>
      </c>
      <c r="D48" s="7" t="s">
        <v>110</v>
      </c>
      <c r="E48" s="8">
        <v>3</v>
      </c>
      <c r="F48" s="43">
        <v>3</v>
      </c>
      <c r="G48" s="9">
        <v>100</v>
      </c>
      <c r="H48" s="10">
        <v>3.5</v>
      </c>
      <c r="I48" s="11">
        <v>0.6</v>
      </c>
      <c r="J48" s="12" t="s">
        <v>117</v>
      </c>
      <c r="K48" s="7" t="s">
        <v>111</v>
      </c>
      <c r="L48" s="14">
        <v>2050000</v>
      </c>
      <c r="M48" s="14">
        <v>895</v>
      </c>
      <c r="N48" s="15">
        <v>4.3658536585365851E-2</v>
      </c>
      <c r="O48" s="14">
        <v>7.6495726495726499</v>
      </c>
      <c r="P48" s="14">
        <v>17551.369863013701</v>
      </c>
      <c r="Q48" s="17">
        <v>3.9106000000000001</v>
      </c>
      <c r="R48" s="14">
        <v>1491666.6666666667</v>
      </c>
      <c r="S48" s="14">
        <v>3416666.666666667</v>
      </c>
      <c r="T48" s="12" t="s">
        <v>136</v>
      </c>
      <c r="U48" s="7">
        <v>10</v>
      </c>
      <c r="V48" s="7">
        <v>10</v>
      </c>
      <c r="W48" s="18" t="s">
        <v>114</v>
      </c>
      <c r="X48" s="7">
        <f t="shared" si="2"/>
        <v>4</v>
      </c>
      <c r="Y48" s="58" t="s">
        <v>259</v>
      </c>
      <c r="Z48" s="48">
        <v>5.9999999999999995E-4</v>
      </c>
      <c r="AA48" s="8">
        <f t="shared" si="3"/>
        <v>649.6</v>
      </c>
      <c r="AB48" s="8">
        <v>4</v>
      </c>
      <c r="AC48" s="8" t="s">
        <v>111</v>
      </c>
      <c r="AD48" s="8" t="s">
        <v>111</v>
      </c>
      <c r="AE48" s="20" t="s">
        <v>111</v>
      </c>
      <c r="AF48" s="20" t="s">
        <v>111</v>
      </c>
      <c r="AG48" s="8" t="s">
        <v>111</v>
      </c>
      <c r="AH48" s="8" t="s">
        <v>111</v>
      </c>
      <c r="AI48" s="8" t="s">
        <v>111</v>
      </c>
      <c r="AJ48" s="8" t="s">
        <v>111</v>
      </c>
      <c r="AK48" s="8" t="s">
        <v>111</v>
      </c>
      <c r="AL48" s="8">
        <v>117</v>
      </c>
      <c r="AM48" s="8">
        <f t="shared" si="4"/>
        <v>116.8</v>
      </c>
      <c r="AN48" s="8">
        <v>0</v>
      </c>
      <c r="AO48" s="8" t="s">
        <v>111</v>
      </c>
      <c r="AP48" s="8" t="s">
        <v>111</v>
      </c>
      <c r="AQ48" s="8">
        <f t="shared" si="5"/>
        <v>6000000</v>
      </c>
      <c r="AR48" s="24" t="s">
        <v>260</v>
      </c>
      <c r="AS48" s="16" t="s">
        <v>111</v>
      </c>
      <c r="AT48" s="16" t="s">
        <v>111</v>
      </c>
      <c r="AU48" s="22" t="s">
        <v>193</v>
      </c>
      <c r="AV48" s="22" t="s">
        <v>194</v>
      </c>
      <c r="AW48" s="31" t="s">
        <v>111</v>
      </c>
    </row>
    <row r="49" spans="1:49" ht="13.2" x14ac:dyDescent="0.25">
      <c r="A49" s="4">
        <v>46</v>
      </c>
      <c r="B49" s="5" t="s">
        <v>261</v>
      </c>
      <c r="C49" s="6" t="s">
        <v>263</v>
      </c>
      <c r="D49" s="7" t="s">
        <v>110</v>
      </c>
      <c r="E49" s="8">
        <v>3</v>
      </c>
      <c r="F49" s="9">
        <v>3</v>
      </c>
      <c r="G49" s="9">
        <v>100</v>
      </c>
      <c r="H49" s="10">
        <v>3.5</v>
      </c>
      <c r="I49" s="11">
        <v>1</v>
      </c>
      <c r="J49" s="7" t="s">
        <v>264</v>
      </c>
      <c r="K49" s="7" t="s">
        <v>111</v>
      </c>
      <c r="L49" s="14">
        <v>312000</v>
      </c>
      <c r="M49" s="14">
        <v>410</v>
      </c>
      <c r="N49" s="15">
        <v>0.13141025641025642</v>
      </c>
      <c r="O49" s="14">
        <v>3.5042735042735043</v>
      </c>
      <c r="P49" s="14">
        <v>2671.232876712329</v>
      </c>
      <c r="Q49" s="17">
        <v>8.5366</v>
      </c>
      <c r="R49" s="14">
        <v>683333.33333333337</v>
      </c>
      <c r="S49" s="14">
        <v>312000</v>
      </c>
      <c r="T49" s="12" t="s">
        <v>136</v>
      </c>
      <c r="U49" s="16">
        <v>10000000000</v>
      </c>
      <c r="V49" s="16">
        <v>10000000000</v>
      </c>
      <c r="W49" s="18" t="s">
        <v>114</v>
      </c>
      <c r="X49" s="16">
        <f>AVERAGE(1,4)</f>
        <v>2.5</v>
      </c>
      <c r="Y49" s="58" t="s">
        <v>265</v>
      </c>
      <c r="Z49" s="48">
        <v>5.9999999999999995E-4</v>
      </c>
      <c r="AA49" s="8">
        <f t="shared" si="3"/>
        <v>649.6</v>
      </c>
      <c r="AB49" s="8">
        <v>4</v>
      </c>
      <c r="AC49" s="8" t="s">
        <v>111</v>
      </c>
      <c r="AD49" s="8" t="s">
        <v>111</v>
      </c>
      <c r="AE49" s="20" t="s">
        <v>111</v>
      </c>
      <c r="AF49" s="20" t="s">
        <v>111</v>
      </c>
      <c r="AG49" s="8" t="s">
        <v>111</v>
      </c>
      <c r="AH49" s="8" t="s">
        <v>111</v>
      </c>
      <c r="AI49" s="8" t="s">
        <v>111</v>
      </c>
      <c r="AJ49" s="8" t="s">
        <v>111</v>
      </c>
      <c r="AK49" s="8" t="s">
        <v>111</v>
      </c>
      <c r="AL49" s="8">
        <v>117</v>
      </c>
      <c r="AM49" s="8">
        <f t="shared" si="4"/>
        <v>116.8</v>
      </c>
      <c r="AN49" s="8">
        <v>0</v>
      </c>
      <c r="AO49" s="8" t="s">
        <v>111</v>
      </c>
      <c r="AP49" s="8" t="s">
        <v>111</v>
      </c>
      <c r="AQ49" s="8">
        <f t="shared" si="5"/>
        <v>6000000</v>
      </c>
      <c r="AR49" s="24" t="s">
        <v>260</v>
      </c>
      <c r="AS49" s="16" t="s">
        <v>111</v>
      </c>
      <c r="AT49" s="16" t="s">
        <v>111</v>
      </c>
      <c r="AU49" s="22" t="s">
        <v>111</v>
      </c>
      <c r="AV49" s="22" t="s">
        <v>111</v>
      </c>
      <c r="AW49" s="22" t="s">
        <v>111</v>
      </c>
    </row>
    <row r="50" spans="1:49" ht="13.2" x14ac:dyDescent="0.25">
      <c r="A50" s="4">
        <v>47</v>
      </c>
      <c r="B50" s="40" t="s">
        <v>266</v>
      </c>
      <c r="C50" s="6" t="s">
        <v>267</v>
      </c>
      <c r="D50" s="12" t="s">
        <v>110</v>
      </c>
      <c r="E50" s="8">
        <v>2</v>
      </c>
      <c r="F50" s="9">
        <v>20</v>
      </c>
      <c r="G50" s="9" t="s">
        <v>111</v>
      </c>
      <c r="H50" s="10">
        <v>1.1000000000000001</v>
      </c>
      <c r="I50" s="11">
        <v>0.05</v>
      </c>
      <c r="J50" s="12" t="s">
        <v>122</v>
      </c>
      <c r="K50" s="26">
        <v>0.05</v>
      </c>
      <c r="L50" s="14">
        <v>35400000</v>
      </c>
      <c r="M50" s="14">
        <v>598000</v>
      </c>
      <c r="N50" s="38">
        <v>1.6892655367231637</v>
      </c>
      <c r="O50" s="46" t="s">
        <v>111</v>
      </c>
      <c r="P50" s="14">
        <v>22.125</v>
      </c>
      <c r="Q50" s="17">
        <v>1.8E-3</v>
      </c>
      <c r="R50" s="14" t="s">
        <v>111</v>
      </c>
      <c r="S50" s="14">
        <v>708000000</v>
      </c>
      <c r="T50" s="12" t="s">
        <v>146</v>
      </c>
      <c r="U50" s="16">
        <v>1000</v>
      </c>
      <c r="V50" s="16">
        <v>1000</v>
      </c>
      <c r="W50" s="18" t="s">
        <v>114</v>
      </c>
      <c r="X50" s="7">
        <v>2</v>
      </c>
      <c r="Y50" s="58" t="s">
        <v>268</v>
      </c>
      <c r="Z50" s="8" t="s">
        <v>111</v>
      </c>
      <c r="AA50" s="8" t="s">
        <v>111</v>
      </c>
      <c r="AB50" s="8" t="s">
        <v>111</v>
      </c>
      <c r="AC50" s="8" t="s">
        <v>111</v>
      </c>
      <c r="AD50" s="8" t="s">
        <v>111</v>
      </c>
      <c r="AE50" s="20" t="s">
        <v>111</v>
      </c>
      <c r="AF50" s="20" t="s">
        <v>111</v>
      </c>
      <c r="AG50" s="8" t="s">
        <v>111</v>
      </c>
      <c r="AH50" s="8" t="s">
        <v>111</v>
      </c>
      <c r="AI50" s="8" t="s">
        <v>111</v>
      </c>
      <c r="AJ50" s="8" t="s">
        <v>111</v>
      </c>
      <c r="AK50" s="8" t="s">
        <v>111</v>
      </c>
      <c r="AL50" s="8">
        <v>1600000</v>
      </c>
      <c r="AM50" s="8">
        <v>1600000</v>
      </c>
      <c r="AN50" s="8" t="s">
        <v>111</v>
      </c>
      <c r="AO50" s="8" t="s">
        <v>111</v>
      </c>
      <c r="AP50" s="8" t="s">
        <v>111</v>
      </c>
      <c r="AQ50" s="8" t="s">
        <v>111</v>
      </c>
      <c r="AR50" s="21" t="s">
        <v>111</v>
      </c>
      <c r="AS50" s="16" t="s">
        <v>148</v>
      </c>
      <c r="AT50" s="16" t="s">
        <v>111</v>
      </c>
      <c r="AU50" s="22" t="s">
        <v>111</v>
      </c>
      <c r="AV50" s="22" t="s">
        <v>111</v>
      </c>
      <c r="AW50" s="22" t="s">
        <v>111</v>
      </c>
    </row>
    <row r="51" spans="1:49" ht="13.2" x14ac:dyDescent="0.25">
      <c r="A51" s="4">
        <v>48</v>
      </c>
      <c r="B51" s="5" t="s">
        <v>269</v>
      </c>
      <c r="C51" s="42" t="s">
        <v>270</v>
      </c>
      <c r="D51" s="7" t="s">
        <v>132</v>
      </c>
      <c r="E51" s="8">
        <v>2</v>
      </c>
      <c r="F51" s="9">
        <v>60</v>
      </c>
      <c r="G51" s="9" t="s">
        <v>111</v>
      </c>
      <c r="H51" s="10">
        <v>3.5</v>
      </c>
      <c r="I51" s="11">
        <f>AVERAGE(0.15,0.3)</f>
        <v>0.22499999999999998</v>
      </c>
      <c r="J51" s="12" t="s">
        <v>112</v>
      </c>
      <c r="K51" s="26">
        <f>AVERAGE(0.02,0.05)</f>
        <v>3.5000000000000003E-2</v>
      </c>
      <c r="L51" s="14">
        <v>20300000</v>
      </c>
      <c r="M51" s="14">
        <v>50000</v>
      </c>
      <c r="N51" s="15">
        <v>0.24630541871921183</v>
      </c>
      <c r="O51" s="46" t="s">
        <v>111</v>
      </c>
      <c r="P51" s="14">
        <v>773.33333333333337</v>
      </c>
      <c r="Q51" s="17">
        <v>7.0000000000000007E-2</v>
      </c>
      <c r="R51" s="14">
        <v>2380952380.9523811</v>
      </c>
      <c r="S51" s="14">
        <v>90222222.222222224</v>
      </c>
      <c r="T51" s="12" t="s">
        <v>123</v>
      </c>
      <c r="U51" s="7">
        <v>3</v>
      </c>
      <c r="V51" s="7">
        <v>10</v>
      </c>
      <c r="W51" s="18" t="s">
        <v>114</v>
      </c>
      <c r="X51" s="7">
        <f>AVERAGE(7, 21)</f>
        <v>14</v>
      </c>
      <c r="Y51" s="7" t="s">
        <v>271</v>
      </c>
      <c r="Z51" s="47">
        <v>2.0999999999999999E-5</v>
      </c>
      <c r="AA51" s="8">
        <v>21</v>
      </c>
      <c r="AB51" s="8" t="s">
        <v>111</v>
      </c>
      <c r="AC51" s="8" t="s">
        <v>111</v>
      </c>
      <c r="AD51" s="8" t="s">
        <v>111</v>
      </c>
      <c r="AE51" s="20" t="s">
        <v>111</v>
      </c>
      <c r="AF51" s="20" t="s">
        <v>111</v>
      </c>
      <c r="AG51" s="8" t="s">
        <v>111</v>
      </c>
      <c r="AH51" s="8" t="s">
        <v>111</v>
      </c>
      <c r="AI51" s="8" t="s">
        <v>111</v>
      </c>
      <c r="AJ51" s="8" t="s">
        <v>111</v>
      </c>
      <c r="AK51" s="8" t="s">
        <v>111</v>
      </c>
      <c r="AL51" s="8" t="s">
        <v>111</v>
      </c>
      <c r="AM51" s="8" t="s">
        <v>111</v>
      </c>
      <c r="AN51" s="8" t="s">
        <v>111</v>
      </c>
      <c r="AO51" s="8" t="s">
        <v>111</v>
      </c>
      <c r="AP51" s="8" t="s">
        <v>111</v>
      </c>
      <c r="AQ51" s="8">
        <v>26250</v>
      </c>
      <c r="AR51" s="21" t="s">
        <v>272</v>
      </c>
      <c r="AS51" s="16" t="s">
        <v>148</v>
      </c>
      <c r="AT51" s="16" t="s">
        <v>273</v>
      </c>
      <c r="AU51" s="22" t="s">
        <v>111</v>
      </c>
      <c r="AV51" s="22" t="s">
        <v>111</v>
      </c>
      <c r="AW51" s="22" t="s">
        <v>111</v>
      </c>
    </row>
    <row r="52" spans="1:49" ht="13.2" x14ac:dyDescent="0.25">
      <c r="A52" s="4">
        <v>49</v>
      </c>
      <c r="B52" s="5" t="s">
        <v>274</v>
      </c>
      <c r="C52" s="42" t="s">
        <v>185</v>
      </c>
      <c r="D52" s="7" t="s">
        <v>132</v>
      </c>
      <c r="E52" s="8">
        <v>3</v>
      </c>
      <c r="F52" s="9">
        <v>0</v>
      </c>
      <c r="G52" s="9" t="s">
        <v>111</v>
      </c>
      <c r="H52" s="10">
        <v>1</v>
      </c>
      <c r="I52" s="11">
        <v>0.01</v>
      </c>
      <c r="J52" s="12" t="s">
        <v>122</v>
      </c>
      <c r="K52" s="7" t="s">
        <v>111</v>
      </c>
      <c r="L52" s="14">
        <v>13600000</v>
      </c>
      <c r="M52" s="14">
        <v>34200</v>
      </c>
      <c r="N52" s="15">
        <v>0.25147058823529411</v>
      </c>
      <c r="O52" s="14">
        <v>2.5714285714285716</v>
      </c>
      <c r="P52" s="14">
        <v>1023.4337070149355</v>
      </c>
      <c r="Q52" s="17">
        <v>2.92E-2</v>
      </c>
      <c r="R52" s="14">
        <v>3420000</v>
      </c>
      <c r="S52" s="14">
        <v>1360000000</v>
      </c>
      <c r="T52" s="12" t="s">
        <v>136</v>
      </c>
      <c r="U52" s="7" t="s">
        <v>111</v>
      </c>
      <c r="V52" s="7" t="s">
        <v>111</v>
      </c>
      <c r="W52" s="7" t="s">
        <v>111</v>
      </c>
      <c r="X52" s="7">
        <v>60</v>
      </c>
      <c r="Y52" s="7" t="s">
        <v>275</v>
      </c>
      <c r="Z52" s="46">
        <v>0.01</v>
      </c>
      <c r="AA52" s="8">
        <v>13340.2262381</v>
      </c>
      <c r="AB52" s="8">
        <v>4.6865071620899998</v>
      </c>
      <c r="AC52" s="8">
        <v>4.9093102216990001</v>
      </c>
      <c r="AD52" s="8">
        <v>5717.9705050450957</v>
      </c>
      <c r="AE52" s="45">
        <v>5.1308562450000004E-4</v>
      </c>
      <c r="AF52" s="36">
        <v>513.08562449999999</v>
      </c>
      <c r="AG52" s="30">
        <v>0.7</v>
      </c>
      <c r="AH52" s="8">
        <v>744246.06522999995</v>
      </c>
      <c r="AI52" s="8">
        <v>228.04421054599999</v>
      </c>
      <c r="AJ52" s="8">
        <v>200.36991879775999</v>
      </c>
      <c r="AK52" s="8">
        <v>377223.98761611222</v>
      </c>
      <c r="AL52" s="8">
        <v>13300</v>
      </c>
      <c r="AM52" s="8">
        <v>13288.598867500001</v>
      </c>
      <c r="AN52" s="8">
        <v>4.6205071289799999</v>
      </c>
      <c r="AO52" s="8">
        <v>4.8525608149519996</v>
      </c>
      <c r="AP52" s="8">
        <v>5677.0783916507498</v>
      </c>
      <c r="AQ52" s="8" t="s">
        <v>111</v>
      </c>
      <c r="AR52" s="21" t="s">
        <v>111</v>
      </c>
      <c r="AS52" s="16" t="s">
        <v>111</v>
      </c>
      <c r="AT52" s="16" t="s">
        <v>276</v>
      </c>
      <c r="AU52" s="22" t="s">
        <v>277</v>
      </c>
      <c r="AV52" s="22" t="s">
        <v>278</v>
      </c>
      <c r="AW52" s="31" t="s">
        <v>111</v>
      </c>
    </row>
    <row r="53" spans="1:49" ht="13.2" x14ac:dyDescent="0.25">
      <c r="A53" s="4">
        <v>50</v>
      </c>
      <c r="B53" s="5" t="s">
        <v>279</v>
      </c>
      <c r="C53" s="42" t="s">
        <v>189</v>
      </c>
      <c r="D53" s="7" t="s">
        <v>132</v>
      </c>
      <c r="E53" s="8">
        <v>3</v>
      </c>
      <c r="F53" s="9">
        <v>0</v>
      </c>
      <c r="G53" s="9" t="s">
        <v>111</v>
      </c>
      <c r="H53" s="10">
        <v>10</v>
      </c>
      <c r="I53" s="11">
        <v>1</v>
      </c>
      <c r="J53" s="7" t="s">
        <v>264</v>
      </c>
      <c r="K53" s="26">
        <v>1</v>
      </c>
      <c r="L53" s="14">
        <v>13600000</v>
      </c>
      <c r="M53" s="14">
        <v>34200</v>
      </c>
      <c r="N53" s="15">
        <v>0.25147058823529411</v>
      </c>
      <c r="O53" s="14">
        <v>2.5714285714285716</v>
      </c>
      <c r="P53" s="14">
        <v>1023.4337070149355</v>
      </c>
      <c r="Q53" s="17">
        <v>2.92E-2</v>
      </c>
      <c r="R53" s="14">
        <v>3420000</v>
      </c>
      <c r="S53" s="14">
        <v>13600000</v>
      </c>
      <c r="T53" s="12" t="s">
        <v>136</v>
      </c>
      <c r="U53" s="7" t="s">
        <v>111</v>
      </c>
      <c r="V53" s="18" t="s">
        <v>111</v>
      </c>
      <c r="W53" s="7" t="s">
        <v>111</v>
      </c>
      <c r="X53" s="7">
        <v>60</v>
      </c>
      <c r="Y53" s="7" t="s">
        <v>275</v>
      </c>
      <c r="Z53" s="46">
        <v>0.01</v>
      </c>
      <c r="AA53" s="8">
        <v>13340.2262381</v>
      </c>
      <c r="AB53" s="8">
        <v>4.6865071620899998</v>
      </c>
      <c r="AC53" s="8">
        <v>4.9093102216990001</v>
      </c>
      <c r="AD53" s="8">
        <v>5717.9705050450957</v>
      </c>
      <c r="AE53" s="45">
        <v>5.1308562450000004E-4</v>
      </c>
      <c r="AF53" s="36">
        <v>513.08562449999999</v>
      </c>
      <c r="AG53" s="30">
        <v>0.7</v>
      </c>
      <c r="AH53" s="8">
        <v>744246.06522999995</v>
      </c>
      <c r="AI53" s="8">
        <v>228.04421054599999</v>
      </c>
      <c r="AJ53" s="8">
        <v>200.36991879775999</v>
      </c>
      <c r="AK53" s="8">
        <v>377223.98761611222</v>
      </c>
      <c r="AL53" s="8">
        <v>13300</v>
      </c>
      <c r="AM53" s="8">
        <v>13288.598867500001</v>
      </c>
      <c r="AN53" s="8">
        <v>4.6205071289799999</v>
      </c>
      <c r="AO53" s="8">
        <v>4.8525608149519996</v>
      </c>
      <c r="AP53" s="8">
        <v>5677.0783916507498</v>
      </c>
      <c r="AQ53" s="8" t="s">
        <v>111</v>
      </c>
      <c r="AR53" s="21" t="s">
        <v>111</v>
      </c>
      <c r="AS53" s="16" t="s">
        <v>111</v>
      </c>
      <c r="AT53" s="16" t="s">
        <v>276</v>
      </c>
      <c r="AU53" s="22" t="s">
        <v>277</v>
      </c>
      <c r="AV53" s="22" t="s">
        <v>278</v>
      </c>
      <c r="AW53" s="22" t="s">
        <v>111</v>
      </c>
    </row>
    <row r="54" spans="1:49" ht="13.2" x14ac:dyDescent="0.25">
      <c r="A54" s="4">
        <v>51</v>
      </c>
      <c r="B54" s="5" t="s">
        <v>280</v>
      </c>
      <c r="C54" s="1"/>
      <c r="D54" s="7" t="s">
        <v>132</v>
      </c>
      <c r="E54" s="8">
        <v>2</v>
      </c>
      <c r="F54" s="9">
        <v>60</v>
      </c>
      <c r="G54" s="9" t="s">
        <v>111</v>
      </c>
      <c r="H54" s="10">
        <v>0.9</v>
      </c>
      <c r="I54" s="11">
        <v>6.4999999999999997E-3</v>
      </c>
      <c r="J54" s="12" t="s">
        <v>135</v>
      </c>
      <c r="K54" s="28">
        <f>33/100000</f>
        <v>3.3E-4</v>
      </c>
      <c r="L54" s="14">
        <v>3500000</v>
      </c>
      <c r="M54" s="14">
        <v>7330</v>
      </c>
      <c r="N54" s="15">
        <v>0.20942857142857144</v>
      </c>
      <c r="O54" s="14">
        <v>34093.023255813954</v>
      </c>
      <c r="P54" s="14">
        <v>16.279069767441861</v>
      </c>
      <c r="Q54" s="17">
        <v>0.1255</v>
      </c>
      <c r="R54" s="14" t="s">
        <v>111</v>
      </c>
      <c r="S54" s="14" t="s">
        <v>111</v>
      </c>
      <c r="T54" s="12" t="s">
        <v>123</v>
      </c>
      <c r="U54" s="7">
        <v>10</v>
      </c>
      <c r="V54" s="16">
        <v>10</v>
      </c>
      <c r="W54" s="18" t="s">
        <v>114</v>
      </c>
      <c r="X54" s="29">
        <v>1.8</v>
      </c>
      <c r="Y54" s="7" t="s">
        <v>281</v>
      </c>
      <c r="Z54" s="8" t="s">
        <v>111</v>
      </c>
      <c r="AA54" s="8" t="s">
        <v>111</v>
      </c>
      <c r="AB54" s="8" t="s">
        <v>111</v>
      </c>
      <c r="AC54" s="8" t="s">
        <v>111</v>
      </c>
      <c r="AD54" s="8" t="s">
        <v>111</v>
      </c>
      <c r="AE54" s="20" t="s">
        <v>111</v>
      </c>
      <c r="AF54" s="20" t="s">
        <v>111</v>
      </c>
      <c r="AG54" s="8" t="s">
        <v>111</v>
      </c>
      <c r="AH54" s="8" t="s">
        <v>111</v>
      </c>
      <c r="AI54" s="8" t="s">
        <v>111</v>
      </c>
      <c r="AJ54" s="8" t="s">
        <v>111</v>
      </c>
      <c r="AK54" s="8" t="s">
        <v>111</v>
      </c>
      <c r="AL54" s="30">
        <v>0.215</v>
      </c>
      <c r="AM54" s="8">
        <v>215000</v>
      </c>
      <c r="AN54" s="8" t="s">
        <v>111</v>
      </c>
      <c r="AO54" s="8" t="s">
        <v>111</v>
      </c>
      <c r="AP54" s="8" t="s">
        <v>111</v>
      </c>
      <c r="AQ54" s="8">
        <v>528000</v>
      </c>
      <c r="AR54" s="24" t="s">
        <v>282</v>
      </c>
      <c r="AS54" s="16" t="s">
        <v>148</v>
      </c>
      <c r="AT54" s="16" t="s">
        <v>283</v>
      </c>
      <c r="AU54" s="22" t="s">
        <v>111</v>
      </c>
      <c r="AV54" s="22" t="s">
        <v>111</v>
      </c>
      <c r="AW54" s="22" t="s">
        <v>111</v>
      </c>
    </row>
    <row r="55" spans="1:49" ht="13.2" x14ac:dyDescent="0.25">
      <c r="A55" s="4">
        <v>52</v>
      </c>
      <c r="B55" s="5" t="s">
        <v>284</v>
      </c>
      <c r="C55" s="25"/>
      <c r="D55" s="7" t="s">
        <v>110</v>
      </c>
      <c r="E55" s="8">
        <v>2</v>
      </c>
      <c r="F55" s="9">
        <v>1</v>
      </c>
      <c r="G55" s="9">
        <v>90</v>
      </c>
      <c r="H55" s="10" t="s">
        <v>111</v>
      </c>
      <c r="I55" s="11">
        <v>6.0000000000000001E-3</v>
      </c>
      <c r="J55" s="12" t="s">
        <v>135</v>
      </c>
      <c r="K55" s="7" t="s">
        <v>111</v>
      </c>
      <c r="L55" s="14">
        <v>17400000</v>
      </c>
      <c r="M55" s="14">
        <v>25100</v>
      </c>
      <c r="N55" s="15">
        <v>0.14425287356321839</v>
      </c>
      <c r="O55" s="14">
        <v>0.20916666666666667</v>
      </c>
      <c r="P55" s="14">
        <v>144.66125156924201</v>
      </c>
      <c r="Q55" s="17" t="s">
        <v>111</v>
      </c>
      <c r="R55" s="14">
        <v>162.98701298701297</v>
      </c>
      <c r="S55" s="14">
        <v>2900000000</v>
      </c>
      <c r="T55" s="12" t="s">
        <v>129</v>
      </c>
      <c r="U55" s="7">
        <v>10</v>
      </c>
      <c r="V55" s="16">
        <v>10</v>
      </c>
      <c r="W55" s="18" t="s">
        <v>114</v>
      </c>
      <c r="X55" s="7">
        <v>1</v>
      </c>
      <c r="Y55" s="7" t="s">
        <v>285</v>
      </c>
      <c r="Z55" s="8">
        <v>154</v>
      </c>
      <c r="AA55" s="8">
        <f>153097991+596824</f>
        <v>153694815</v>
      </c>
      <c r="AB55" s="8" t="s">
        <v>111</v>
      </c>
      <c r="AC55" s="8" t="s">
        <v>111</v>
      </c>
      <c r="AD55" s="8" t="s">
        <v>111</v>
      </c>
      <c r="AE55" s="20" t="s">
        <v>111</v>
      </c>
      <c r="AF55" s="20" t="s">
        <v>111</v>
      </c>
      <c r="AG55" s="30">
        <v>8.3000000000000007</v>
      </c>
      <c r="AH55" s="8">
        <f>4377930+3895547</f>
        <v>8273477</v>
      </c>
      <c r="AI55" s="8" t="s">
        <v>111</v>
      </c>
      <c r="AJ55" s="8" t="s">
        <v>111</v>
      </c>
      <c r="AK55" s="8" t="s">
        <v>111</v>
      </c>
      <c r="AL55" s="8">
        <v>120000</v>
      </c>
      <c r="AM55" s="8">
        <f>63312+56969</f>
        <v>120281</v>
      </c>
      <c r="AN55" s="8">
        <v>28</v>
      </c>
      <c r="AO55" s="8" t="s">
        <v>111</v>
      </c>
      <c r="AP55" s="8">
        <v>4100</v>
      </c>
      <c r="AQ55" s="8" t="s">
        <v>111</v>
      </c>
      <c r="AR55" s="21" t="s">
        <v>111</v>
      </c>
      <c r="AS55" s="16" t="s">
        <v>111</v>
      </c>
      <c r="AT55" s="16" t="s">
        <v>111</v>
      </c>
      <c r="AU55" s="22" t="s">
        <v>111</v>
      </c>
      <c r="AV55" s="22" t="s">
        <v>111</v>
      </c>
      <c r="AW55" s="31" t="s">
        <v>111</v>
      </c>
    </row>
    <row r="56" spans="1:49" ht="13.2" x14ac:dyDescent="0.25">
      <c r="A56" s="4">
        <v>53</v>
      </c>
      <c r="B56" s="5" t="s">
        <v>286</v>
      </c>
      <c r="C56" s="37"/>
      <c r="D56" s="7" t="s">
        <v>132</v>
      </c>
      <c r="E56" s="8">
        <v>3</v>
      </c>
      <c r="F56" s="9">
        <v>1</v>
      </c>
      <c r="G56" s="9">
        <v>7</v>
      </c>
      <c r="H56" s="10">
        <v>2.8</v>
      </c>
      <c r="I56" s="11">
        <v>9.6000000000000002E-2</v>
      </c>
      <c r="J56" s="12" t="s">
        <v>122</v>
      </c>
      <c r="K56" s="26">
        <v>0.01</v>
      </c>
      <c r="L56" s="14">
        <v>5670000</v>
      </c>
      <c r="M56" s="14">
        <v>34300</v>
      </c>
      <c r="N56" s="15">
        <v>0.60493827160493829</v>
      </c>
      <c r="O56" s="8" t="s">
        <v>111</v>
      </c>
      <c r="P56" s="14">
        <v>7325.5813953488368</v>
      </c>
      <c r="Q56" s="17">
        <v>8.1600000000000006E-2</v>
      </c>
      <c r="R56" s="14" t="s">
        <v>111</v>
      </c>
      <c r="S56" s="14">
        <v>59062500</v>
      </c>
      <c r="T56" s="12" t="s">
        <v>113</v>
      </c>
      <c r="U56" s="7">
        <v>20</v>
      </c>
      <c r="V56" s="16">
        <v>10</v>
      </c>
      <c r="W56" s="18" t="s">
        <v>114</v>
      </c>
      <c r="X56" s="29">
        <f>AVERAGE(2,7)</f>
        <v>4.5</v>
      </c>
      <c r="Y56" s="7" t="s">
        <v>287</v>
      </c>
      <c r="Z56" s="8">
        <v>0</v>
      </c>
      <c r="AA56" s="8">
        <v>0</v>
      </c>
      <c r="AB56" s="8">
        <v>0</v>
      </c>
      <c r="AC56" s="8">
        <v>0</v>
      </c>
      <c r="AD56" s="8">
        <v>0</v>
      </c>
      <c r="AE56" s="20" t="s">
        <v>111</v>
      </c>
      <c r="AF56" s="20" t="s">
        <v>111</v>
      </c>
      <c r="AG56" s="8">
        <v>0</v>
      </c>
      <c r="AH56" s="8">
        <v>0</v>
      </c>
      <c r="AI56" s="8">
        <v>0</v>
      </c>
      <c r="AJ56" s="8">
        <v>0</v>
      </c>
      <c r="AK56" s="8">
        <v>0</v>
      </c>
      <c r="AL56" s="8">
        <v>0</v>
      </c>
      <c r="AM56" s="8">
        <v>0</v>
      </c>
      <c r="AN56" s="8">
        <v>0</v>
      </c>
      <c r="AO56" s="8">
        <v>0</v>
      </c>
      <c r="AP56" s="8">
        <v>0</v>
      </c>
      <c r="AQ56" s="8">
        <v>774</v>
      </c>
      <c r="AR56" s="21" t="s">
        <v>288</v>
      </c>
      <c r="AS56" s="16" t="s">
        <v>111</v>
      </c>
      <c r="AT56" s="16" t="s">
        <v>111</v>
      </c>
      <c r="AU56" s="22" t="s">
        <v>111</v>
      </c>
      <c r="AV56" s="22" t="s">
        <v>111</v>
      </c>
      <c r="AW56" s="22" t="s">
        <v>111</v>
      </c>
    </row>
    <row r="57" spans="1:49" ht="13.2" x14ac:dyDescent="0.25">
      <c r="A57" s="4">
        <v>54</v>
      </c>
      <c r="B57" s="5" t="s">
        <v>289</v>
      </c>
      <c r="C57" s="56" t="s">
        <v>290</v>
      </c>
      <c r="D57" s="7" t="s">
        <v>110</v>
      </c>
      <c r="E57" s="8">
        <v>2</v>
      </c>
      <c r="F57" s="9">
        <v>200</v>
      </c>
      <c r="G57" s="9">
        <v>200</v>
      </c>
      <c r="H57" s="10">
        <v>4</v>
      </c>
      <c r="I57" s="11">
        <v>0.2</v>
      </c>
      <c r="J57" s="12" t="s">
        <v>112</v>
      </c>
      <c r="K57" s="7" t="s">
        <v>111</v>
      </c>
      <c r="L57" s="14">
        <v>2290000</v>
      </c>
      <c r="M57" s="14">
        <v>5210</v>
      </c>
      <c r="N57" s="15">
        <v>0.22751091703056767</v>
      </c>
      <c r="O57" s="23" t="s">
        <v>111</v>
      </c>
      <c r="P57" s="16" t="s">
        <v>111</v>
      </c>
      <c r="Q57" s="17">
        <v>0.76780000000000004</v>
      </c>
      <c r="R57" s="14">
        <v>10420</v>
      </c>
      <c r="S57" s="14">
        <v>11450000</v>
      </c>
      <c r="T57" s="12" t="s">
        <v>146</v>
      </c>
      <c r="U57" s="7">
        <v>100</v>
      </c>
      <c r="V57" s="7">
        <v>100</v>
      </c>
      <c r="W57" s="18" t="s">
        <v>114</v>
      </c>
      <c r="X57" s="7">
        <v>2</v>
      </c>
      <c r="Y57" s="19">
        <v>43160</v>
      </c>
      <c r="Z57" s="30">
        <v>0.5</v>
      </c>
      <c r="AA57" s="8">
        <v>500000</v>
      </c>
      <c r="AB57" s="8" t="s">
        <v>111</v>
      </c>
      <c r="AC57" s="8" t="s">
        <v>111</v>
      </c>
      <c r="AD57" s="8" t="s">
        <v>111</v>
      </c>
      <c r="AE57" s="20" t="s">
        <v>111</v>
      </c>
      <c r="AF57" s="20" t="s">
        <v>111</v>
      </c>
      <c r="AG57" s="8" t="s">
        <v>111</v>
      </c>
      <c r="AH57" s="8" t="s">
        <v>111</v>
      </c>
      <c r="AI57" s="8" t="s">
        <v>111</v>
      </c>
      <c r="AJ57" s="8" t="s">
        <v>111</v>
      </c>
      <c r="AK57" s="8" t="s">
        <v>111</v>
      </c>
      <c r="AL57" s="8" t="s">
        <v>111</v>
      </c>
      <c r="AM57" s="8" t="s">
        <v>111</v>
      </c>
      <c r="AN57" s="8">
        <v>3</v>
      </c>
      <c r="AO57" s="8" t="s">
        <v>111</v>
      </c>
      <c r="AP57" s="8" t="s">
        <v>111</v>
      </c>
      <c r="AQ57" s="8" t="s">
        <v>111</v>
      </c>
      <c r="AR57" s="21" t="s">
        <v>111</v>
      </c>
      <c r="AS57" s="16" t="s">
        <v>111</v>
      </c>
      <c r="AT57" s="16" t="s">
        <v>111</v>
      </c>
      <c r="AU57" s="22" t="s">
        <v>291</v>
      </c>
      <c r="AV57" s="22" t="s">
        <v>111</v>
      </c>
      <c r="AW57" s="22" t="s">
        <v>292</v>
      </c>
    </row>
    <row r="58" spans="1:49" ht="13.2" x14ac:dyDescent="0.25">
      <c r="A58" s="4">
        <v>55</v>
      </c>
      <c r="B58" s="5" t="s">
        <v>293</v>
      </c>
      <c r="C58" s="1"/>
      <c r="D58" s="7" t="s">
        <v>154</v>
      </c>
      <c r="E58" s="8">
        <v>2</v>
      </c>
      <c r="F58" s="9" t="s">
        <v>111</v>
      </c>
      <c r="G58" s="9">
        <v>2</v>
      </c>
      <c r="H58" s="10">
        <v>3.1</v>
      </c>
      <c r="I58" s="27">
        <v>1.9000000000000001E-4</v>
      </c>
      <c r="J58" s="12" t="s">
        <v>128</v>
      </c>
      <c r="K58" s="34">
        <v>3.3000000000000003E-5</v>
      </c>
      <c r="L58" s="14">
        <v>1640000</v>
      </c>
      <c r="M58" s="14">
        <v>1370</v>
      </c>
      <c r="N58" s="15">
        <v>8.3536585365853663E-2</v>
      </c>
      <c r="O58" s="15">
        <v>0.13564356435643565</v>
      </c>
      <c r="P58" s="14">
        <v>162.46036250123279</v>
      </c>
      <c r="Q58" s="17">
        <v>2.2408999999999999</v>
      </c>
      <c r="R58" s="14">
        <v>19.295774647887324</v>
      </c>
      <c r="S58" s="14">
        <v>8631578947.3684196</v>
      </c>
      <c r="T58" s="12" t="s">
        <v>129</v>
      </c>
      <c r="U58" s="7">
        <v>1</v>
      </c>
      <c r="V58" s="7">
        <v>1</v>
      </c>
      <c r="W58" s="18" t="s">
        <v>114</v>
      </c>
      <c r="X58" s="7">
        <v>50</v>
      </c>
      <c r="Y58" s="7" t="s">
        <v>294</v>
      </c>
      <c r="Z58" s="8">
        <v>71</v>
      </c>
      <c r="AA58" s="8">
        <v>71385409.534999996</v>
      </c>
      <c r="AB58" s="8">
        <v>0</v>
      </c>
      <c r="AC58" s="8">
        <v>0</v>
      </c>
      <c r="AD58" s="8">
        <v>64713881.852278203</v>
      </c>
      <c r="AE58" s="36">
        <v>189.7735586</v>
      </c>
      <c r="AF58" s="36">
        <v>189773558.59999999</v>
      </c>
      <c r="AG58" s="30">
        <v>1.9</v>
      </c>
      <c r="AH58" s="8">
        <v>1863610.29263</v>
      </c>
      <c r="AI58" s="8">
        <v>0</v>
      </c>
      <c r="AJ58" s="8">
        <v>0</v>
      </c>
      <c r="AK58" s="8">
        <v>1656671.581621638</v>
      </c>
      <c r="AL58" s="8">
        <v>10100</v>
      </c>
      <c r="AM58" s="8">
        <v>10094.7700396</v>
      </c>
      <c r="AN58" s="8">
        <v>0</v>
      </c>
      <c r="AO58" s="8">
        <v>0</v>
      </c>
      <c r="AP58" s="8">
        <v>8708.8688077025963</v>
      </c>
      <c r="AQ58" s="8">
        <v>200000</v>
      </c>
      <c r="AR58" s="21" t="s">
        <v>295</v>
      </c>
      <c r="AS58" s="16" t="s">
        <v>111</v>
      </c>
      <c r="AT58" s="16" t="s">
        <v>296</v>
      </c>
      <c r="AU58" s="22" t="s">
        <v>111</v>
      </c>
      <c r="AV58" s="22" t="s">
        <v>111</v>
      </c>
      <c r="AW58" s="22" t="s">
        <v>111</v>
      </c>
    </row>
    <row r="59" spans="1:49" ht="13.2" x14ac:dyDescent="0.25">
      <c r="A59" s="4">
        <v>56</v>
      </c>
      <c r="B59" s="5" t="s">
        <v>297</v>
      </c>
      <c r="C59" s="25"/>
      <c r="D59" s="7" t="s">
        <v>110</v>
      </c>
      <c r="E59" s="52">
        <v>43161</v>
      </c>
      <c r="F59" s="9">
        <v>150</v>
      </c>
      <c r="G59" s="9" t="s">
        <v>111</v>
      </c>
      <c r="H59" s="10">
        <v>1.5</v>
      </c>
      <c r="I59" s="11">
        <v>0.01</v>
      </c>
      <c r="J59" s="12" t="s">
        <v>122</v>
      </c>
      <c r="K59" s="7" t="s">
        <v>111</v>
      </c>
      <c r="L59" s="14">
        <v>653000</v>
      </c>
      <c r="M59" s="14">
        <v>4510</v>
      </c>
      <c r="N59" s="15">
        <v>0.69065849923430322</v>
      </c>
      <c r="O59" s="14">
        <v>6.8541033434650456E-2</v>
      </c>
      <c r="P59" s="14">
        <v>9.9246154781445686</v>
      </c>
      <c r="Q59" s="17">
        <v>0.33260000000000001</v>
      </c>
      <c r="R59" s="14">
        <v>23.612565445026178</v>
      </c>
      <c r="S59" s="14">
        <v>65300000</v>
      </c>
      <c r="T59" s="12" t="s">
        <v>123</v>
      </c>
      <c r="U59" s="7">
        <v>100</v>
      </c>
      <c r="V59" s="7">
        <v>100</v>
      </c>
      <c r="W59" s="18" t="s">
        <v>114</v>
      </c>
      <c r="X59" s="7">
        <v>2</v>
      </c>
      <c r="Y59" s="7" t="s">
        <v>298</v>
      </c>
      <c r="Z59" s="8">
        <v>191</v>
      </c>
      <c r="AA59" s="8">
        <v>190849501</v>
      </c>
      <c r="AB59" s="8" t="s">
        <v>111</v>
      </c>
      <c r="AC59" s="8" t="s">
        <v>111</v>
      </c>
      <c r="AD59" s="8" t="s">
        <v>111</v>
      </c>
      <c r="AE59" s="20" t="s">
        <v>111</v>
      </c>
      <c r="AF59" s="20" t="s">
        <v>111</v>
      </c>
      <c r="AG59" s="30">
        <v>5.4</v>
      </c>
      <c r="AH59" s="8">
        <v>5407736</v>
      </c>
      <c r="AI59" s="8" t="s">
        <v>111</v>
      </c>
      <c r="AJ59" s="8" t="s">
        <v>111</v>
      </c>
      <c r="AK59" s="8" t="s">
        <v>111</v>
      </c>
      <c r="AL59" s="8">
        <v>65800</v>
      </c>
      <c r="AM59" s="8">
        <v>65796</v>
      </c>
      <c r="AN59" s="8" t="s">
        <v>111</v>
      </c>
      <c r="AO59" s="8" t="s">
        <v>111</v>
      </c>
      <c r="AP59" s="8" t="s">
        <v>111</v>
      </c>
      <c r="AQ59" s="8">
        <v>1200000</v>
      </c>
      <c r="AR59" s="21" t="s">
        <v>299</v>
      </c>
      <c r="AS59" s="16" t="s">
        <v>111</v>
      </c>
      <c r="AT59" s="16" t="s">
        <v>111</v>
      </c>
      <c r="AU59" s="22" t="s">
        <v>111</v>
      </c>
      <c r="AV59" s="22" t="s">
        <v>111</v>
      </c>
      <c r="AW59" s="22" t="s">
        <v>111</v>
      </c>
    </row>
    <row r="60" spans="1:49" ht="13.2" x14ac:dyDescent="0.25">
      <c r="A60" s="4">
        <v>57</v>
      </c>
      <c r="B60" s="5" t="s">
        <v>300</v>
      </c>
      <c r="C60" s="6" t="s">
        <v>301</v>
      </c>
      <c r="D60" s="7" t="s">
        <v>154</v>
      </c>
      <c r="E60" s="8">
        <v>3</v>
      </c>
      <c r="F60" s="9" t="s">
        <v>111</v>
      </c>
      <c r="G60" s="9" t="s">
        <v>111</v>
      </c>
      <c r="H60" s="10">
        <v>1.3</v>
      </c>
      <c r="I60" s="11">
        <v>0.06</v>
      </c>
      <c r="J60" s="12" t="s">
        <v>122</v>
      </c>
      <c r="K60" s="7" t="s">
        <v>111</v>
      </c>
      <c r="L60" s="14">
        <v>3600000</v>
      </c>
      <c r="M60" s="14">
        <v>41500</v>
      </c>
      <c r="N60" s="38">
        <v>1.1527777777777777</v>
      </c>
      <c r="O60" s="14">
        <v>18.043478260869566</v>
      </c>
      <c r="P60" s="14">
        <v>1574.9917226762825</v>
      </c>
      <c r="Q60" s="17">
        <v>3.1300000000000001E-2</v>
      </c>
      <c r="R60" s="14">
        <v>8300000</v>
      </c>
      <c r="S60" s="14">
        <v>60000000</v>
      </c>
      <c r="T60" s="12" t="s">
        <v>136</v>
      </c>
      <c r="U60" s="7">
        <v>400</v>
      </c>
      <c r="V60" s="16">
        <v>1000</v>
      </c>
      <c r="W60" s="18" t="s">
        <v>114</v>
      </c>
      <c r="X60" s="7">
        <v>12</v>
      </c>
      <c r="Y60" s="7" t="s">
        <v>302</v>
      </c>
      <c r="Z60" s="44">
        <v>5.0000000000000001E-3</v>
      </c>
      <c r="AA60" s="8">
        <v>4966.2365508900002</v>
      </c>
      <c r="AB60" s="8">
        <v>0</v>
      </c>
      <c r="AC60" s="8">
        <v>0</v>
      </c>
      <c r="AD60" s="8">
        <v>4966.2365508900002</v>
      </c>
      <c r="AE60" s="60">
        <v>7.0660310609999997E-3</v>
      </c>
      <c r="AF60" s="36">
        <v>7066.0310609999997</v>
      </c>
      <c r="AG60" s="30">
        <v>0.1</v>
      </c>
      <c r="AH60" s="8">
        <v>128442.15835699999</v>
      </c>
      <c r="AI60" s="8">
        <v>0</v>
      </c>
      <c r="AJ60" s="8">
        <v>0</v>
      </c>
      <c r="AK60" s="8">
        <v>128442.15835699999</v>
      </c>
      <c r="AL60" s="8">
        <v>2300</v>
      </c>
      <c r="AM60" s="8">
        <v>2285.72629822</v>
      </c>
      <c r="AN60" s="8">
        <v>0</v>
      </c>
      <c r="AO60" s="8">
        <v>0</v>
      </c>
      <c r="AP60" s="8">
        <v>2285.72629822</v>
      </c>
      <c r="AQ60" s="8" t="s">
        <v>111</v>
      </c>
      <c r="AR60" s="21" t="s">
        <v>111</v>
      </c>
      <c r="AS60" s="16" t="s">
        <v>303</v>
      </c>
      <c r="AT60" s="16" t="s">
        <v>304</v>
      </c>
      <c r="AU60" s="22" t="s">
        <v>111</v>
      </c>
      <c r="AV60" s="22" t="s">
        <v>111</v>
      </c>
      <c r="AW60" s="22" t="s">
        <v>111</v>
      </c>
    </row>
    <row r="61" spans="1:49" ht="13.2" x14ac:dyDescent="0.25">
      <c r="A61" s="4">
        <v>58</v>
      </c>
      <c r="B61" s="5" t="s">
        <v>300</v>
      </c>
      <c r="C61" s="6" t="s">
        <v>189</v>
      </c>
      <c r="D61" s="7" t="s">
        <v>154</v>
      </c>
      <c r="E61" s="8">
        <v>2</v>
      </c>
      <c r="F61" s="9" t="s">
        <v>111</v>
      </c>
      <c r="G61" s="9" t="s">
        <v>111</v>
      </c>
      <c r="H61" s="10">
        <v>1.4</v>
      </c>
      <c r="I61" s="11">
        <v>1</v>
      </c>
      <c r="J61" s="7" t="s">
        <v>264</v>
      </c>
      <c r="K61" s="7" t="s">
        <v>111</v>
      </c>
      <c r="L61" s="14">
        <v>3600000</v>
      </c>
      <c r="M61" s="14">
        <v>41500</v>
      </c>
      <c r="N61" s="38">
        <v>1.1527777777777777</v>
      </c>
      <c r="O61" s="14">
        <v>18.043478260869566</v>
      </c>
      <c r="P61" s="14">
        <v>1574.9917226762825</v>
      </c>
      <c r="Q61" s="17">
        <v>3.2500000000000001E-2</v>
      </c>
      <c r="R61" s="14">
        <v>8300000</v>
      </c>
      <c r="S61" s="14">
        <v>3600000</v>
      </c>
      <c r="T61" s="12" t="s">
        <v>136</v>
      </c>
      <c r="U61" s="7">
        <v>400</v>
      </c>
      <c r="V61" s="16">
        <v>1000</v>
      </c>
      <c r="W61" s="18" t="s">
        <v>114</v>
      </c>
      <c r="X61" s="7">
        <v>12</v>
      </c>
      <c r="Y61" s="7" t="s">
        <v>302</v>
      </c>
      <c r="Z61" s="44">
        <v>5.0000000000000001E-3</v>
      </c>
      <c r="AA61" s="8">
        <v>4966.2365508900002</v>
      </c>
      <c r="AB61" s="8">
        <v>0</v>
      </c>
      <c r="AC61" s="8">
        <v>0</v>
      </c>
      <c r="AD61" s="8">
        <v>4966.2365508900002</v>
      </c>
      <c r="AE61" s="60">
        <v>7.0660310609999997E-3</v>
      </c>
      <c r="AF61" s="36">
        <v>7066.0310609999997</v>
      </c>
      <c r="AG61" s="30">
        <v>0.1</v>
      </c>
      <c r="AH61" s="8">
        <v>128442.15835699999</v>
      </c>
      <c r="AI61" s="8">
        <v>0</v>
      </c>
      <c r="AJ61" s="8">
        <v>0</v>
      </c>
      <c r="AK61" s="8">
        <v>128442.15835699999</v>
      </c>
      <c r="AL61" s="8">
        <v>2300</v>
      </c>
      <c r="AM61" s="8">
        <v>2285.72629822</v>
      </c>
      <c r="AN61" s="8">
        <v>0</v>
      </c>
      <c r="AO61" s="8">
        <v>0</v>
      </c>
      <c r="AP61" s="8">
        <v>2285.72629822</v>
      </c>
      <c r="AQ61" s="8" t="s">
        <v>111</v>
      </c>
      <c r="AR61" s="21" t="s">
        <v>111</v>
      </c>
      <c r="AS61" s="16" t="s">
        <v>303</v>
      </c>
      <c r="AT61" s="16" t="s">
        <v>304</v>
      </c>
      <c r="AU61" s="22" t="s">
        <v>111</v>
      </c>
      <c r="AV61" s="22" t="s">
        <v>111</v>
      </c>
      <c r="AW61" s="31" t="s">
        <v>111</v>
      </c>
    </row>
    <row r="62" spans="1:49" ht="13.2" x14ac:dyDescent="0.25">
      <c r="A62" s="4">
        <v>59</v>
      </c>
      <c r="B62" s="5" t="s">
        <v>305</v>
      </c>
      <c r="C62" s="1"/>
      <c r="D62" s="7" t="s">
        <v>132</v>
      </c>
      <c r="E62" s="8">
        <v>4</v>
      </c>
      <c r="F62" s="9" t="s">
        <v>111</v>
      </c>
      <c r="G62" s="9" t="s">
        <v>111</v>
      </c>
      <c r="H62" s="10">
        <v>5</v>
      </c>
      <c r="I62" s="11">
        <v>0.3</v>
      </c>
      <c r="J62" s="12" t="s">
        <v>112</v>
      </c>
      <c r="K62" s="13">
        <v>0.45</v>
      </c>
      <c r="L62" s="14">
        <v>2370000</v>
      </c>
      <c r="M62" s="14">
        <v>753</v>
      </c>
      <c r="N62" s="15">
        <v>3.1772151898734183E-2</v>
      </c>
      <c r="O62" s="8" t="s">
        <v>111</v>
      </c>
      <c r="P62" s="15">
        <v>4.7399999999999998E-2</v>
      </c>
      <c r="Q62" s="17">
        <v>6.6401000000000003</v>
      </c>
      <c r="R62" s="14" t="s">
        <v>111</v>
      </c>
      <c r="S62" s="14">
        <v>7900000</v>
      </c>
      <c r="T62" s="12" t="s">
        <v>113</v>
      </c>
      <c r="U62" s="7">
        <v>1</v>
      </c>
      <c r="V62" s="7">
        <v>1</v>
      </c>
      <c r="W62" s="18" t="s">
        <v>114</v>
      </c>
      <c r="X62" s="7">
        <v>12</v>
      </c>
      <c r="Y62" s="7" t="s">
        <v>306</v>
      </c>
      <c r="Z62" s="8">
        <v>0</v>
      </c>
      <c r="AA62" s="8">
        <v>0</v>
      </c>
      <c r="AB62" s="8">
        <v>0</v>
      </c>
      <c r="AC62" s="8">
        <v>0</v>
      </c>
      <c r="AD62" s="8">
        <v>0</v>
      </c>
      <c r="AE62" s="20" t="s">
        <v>111</v>
      </c>
      <c r="AF62" s="20" t="s">
        <v>111</v>
      </c>
      <c r="AG62" s="8">
        <v>0</v>
      </c>
      <c r="AH62" s="8">
        <v>0</v>
      </c>
      <c r="AI62" s="8">
        <v>0</v>
      </c>
      <c r="AJ62" s="8">
        <v>0</v>
      </c>
      <c r="AK62" s="8">
        <v>0</v>
      </c>
      <c r="AL62" s="16">
        <v>0</v>
      </c>
      <c r="AM62" s="8">
        <v>0</v>
      </c>
      <c r="AN62" s="8">
        <v>0</v>
      </c>
      <c r="AO62" s="8">
        <v>0</v>
      </c>
      <c r="AP62" s="8">
        <v>0</v>
      </c>
      <c r="AQ62" s="8">
        <v>50000000</v>
      </c>
      <c r="AR62" s="21" t="s">
        <v>307</v>
      </c>
      <c r="AS62" s="16" t="s">
        <v>111</v>
      </c>
      <c r="AT62" s="16" t="s">
        <v>111</v>
      </c>
      <c r="AU62" s="22" t="s">
        <v>111</v>
      </c>
      <c r="AV62" s="22" t="s">
        <v>111</v>
      </c>
      <c r="AW62" s="31" t="s">
        <v>111</v>
      </c>
    </row>
    <row r="63" spans="1:49" ht="13.2" x14ac:dyDescent="0.25">
      <c r="A63" s="4">
        <v>60</v>
      </c>
      <c r="B63" s="5" t="s">
        <v>308</v>
      </c>
      <c r="C63" s="42" t="s">
        <v>189</v>
      </c>
      <c r="D63" s="7" t="s">
        <v>110</v>
      </c>
      <c r="E63" s="8">
        <v>2</v>
      </c>
      <c r="F63" s="9">
        <v>11</v>
      </c>
      <c r="G63" s="9" t="s">
        <v>111</v>
      </c>
      <c r="H63" s="10" t="s">
        <v>111</v>
      </c>
      <c r="I63" s="11">
        <v>0.33</v>
      </c>
      <c r="J63" s="12" t="s">
        <v>112</v>
      </c>
      <c r="K63" s="7" t="s">
        <v>111</v>
      </c>
      <c r="L63" s="14">
        <v>10300000</v>
      </c>
      <c r="M63" s="14">
        <v>363</v>
      </c>
      <c r="N63" s="49">
        <v>3.524271844660194E-3</v>
      </c>
      <c r="O63" s="15">
        <v>3.3E-3</v>
      </c>
      <c r="P63" s="14">
        <v>94.00443273704316</v>
      </c>
      <c r="Q63" s="17" t="s">
        <v>111</v>
      </c>
      <c r="R63" s="14">
        <v>9.3076923076923084</v>
      </c>
      <c r="S63" s="14">
        <v>31212121.212121211</v>
      </c>
      <c r="T63" s="12" t="s">
        <v>146</v>
      </c>
      <c r="U63" s="7">
        <v>57</v>
      </c>
      <c r="V63" s="16">
        <v>10</v>
      </c>
      <c r="W63" s="18" t="s">
        <v>114</v>
      </c>
      <c r="X63" s="7">
        <v>21</v>
      </c>
      <c r="Y63" s="7" t="s">
        <v>309</v>
      </c>
      <c r="Z63" s="8">
        <v>39</v>
      </c>
      <c r="AA63" s="8">
        <v>38838004.987899996</v>
      </c>
      <c r="AB63" s="8">
        <v>309042.39639299997</v>
      </c>
      <c r="AC63" s="8">
        <v>1658910.7111923001</v>
      </c>
      <c r="AD63" s="8">
        <v>15095646.181250399</v>
      </c>
      <c r="AE63" s="36">
        <v>56.092179909999999</v>
      </c>
      <c r="AF63" s="36">
        <v>56092179.909999996</v>
      </c>
      <c r="AG63" s="30">
        <v>9.4</v>
      </c>
      <c r="AH63" s="8">
        <v>9415746.0171099994</v>
      </c>
      <c r="AI63" s="8">
        <v>13558.9201952</v>
      </c>
      <c r="AJ63" s="8">
        <v>34013.62887724</v>
      </c>
      <c r="AK63" s="8">
        <v>6938342.4086967418</v>
      </c>
      <c r="AL63" s="8">
        <v>110000</v>
      </c>
      <c r="AM63" s="8">
        <v>109569.30115</v>
      </c>
      <c r="AN63" s="8">
        <v>72.213321930500001</v>
      </c>
      <c r="AO63" s="8">
        <v>178.93193758730001</v>
      </c>
      <c r="AP63" s="8">
        <v>81328.166020593271</v>
      </c>
      <c r="AQ63" s="8" t="s">
        <v>111</v>
      </c>
      <c r="AR63" s="21" t="s">
        <v>111</v>
      </c>
      <c r="AS63" s="16" t="s">
        <v>111</v>
      </c>
      <c r="AT63" s="16" t="s">
        <v>111</v>
      </c>
      <c r="AU63" s="22" t="s">
        <v>111</v>
      </c>
      <c r="AV63" s="22" t="s">
        <v>111</v>
      </c>
      <c r="AW63" s="22" t="s">
        <v>111</v>
      </c>
    </row>
    <row r="64" spans="1:49" ht="13.2" x14ac:dyDescent="0.25">
      <c r="A64" s="4">
        <v>61</v>
      </c>
      <c r="B64" s="5" t="s">
        <v>308</v>
      </c>
      <c r="C64" s="42" t="s">
        <v>202</v>
      </c>
      <c r="D64" s="7" t="s">
        <v>110</v>
      </c>
      <c r="E64" s="8">
        <v>2</v>
      </c>
      <c r="F64" s="9">
        <v>11</v>
      </c>
      <c r="G64" s="9" t="s">
        <v>111</v>
      </c>
      <c r="H64" s="10" t="s">
        <v>111</v>
      </c>
      <c r="I64" s="33">
        <v>7.7999999999999999E-5</v>
      </c>
      <c r="J64" s="12" t="s">
        <v>128</v>
      </c>
      <c r="K64" s="26">
        <v>9.3185000000000004E-2</v>
      </c>
      <c r="L64" s="14">
        <v>10300000</v>
      </c>
      <c r="M64" s="14">
        <v>363</v>
      </c>
      <c r="N64" s="49">
        <v>3.524271844660194E-3</v>
      </c>
      <c r="O64" s="15">
        <v>3.3E-3</v>
      </c>
      <c r="P64" s="14">
        <v>94.00443273704316</v>
      </c>
      <c r="Q64" s="17" t="s">
        <v>111</v>
      </c>
      <c r="R64" s="14">
        <v>9.3076923076923084</v>
      </c>
      <c r="S64" s="14" t="s">
        <v>111</v>
      </c>
      <c r="T64" s="12" t="s">
        <v>146</v>
      </c>
      <c r="U64" s="7">
        <v>57</v>
      </c>
      <c r="V64" s="16">
        <v>10</v>
      </c>
      <c r="W64" s="18" t="s">
        <v>114</v>
      </c>
      <c r="X64" s="7">
        <v>21</v>
      </c>
      <c r="Y64" s="7" t="s">
        <v>309</v>
      </c>
      <c r="Z64" s="8">
        <v>39</v>
      </c>
      <c r="AA64" s="8">
        <v>38838004.987899996</v>
      </c>
      <c r="AB64" s="8">
        <v>309042.39639299997</v>
      </c>
      <c r="AC64" s="8">
        <v>1658910.7111923001</v>
      </c>
      <c r="AD64" s="8">
        <v>15095646.181250399</v>
      </c>
      <c r="AE64" s="36">
        <v>56.092179909999999</v>
      </c>
      <c r="AF64" s="36">
        <v>56092179.909999996</v>
      </c>
      <c r="AG64" s="30">
        <v>9.4</v>
      </c>
      <c r="AH64" s="8">
        <v>9415746.0171099994</v>
      </c>
      <c r="AI64" s="8">
        <v>13558.9201952</v>
      </c>
      <c r="AJ64" s="8">
        <v>34013.62887724</v>
      </c>
      <c r="AK64" s="8">
        <v>6938342.4086967418</v>
      </c>
      <c r="AL64" s="8">
        <v>110000</v>
      </c>
      <c r="AM64" s="8">
        <v>109569.30115</v>
      </c>
      <c r="AN64" s="8">
        <v>72.213321930500001</v>
      </c>
      <c r="AO64" s="8">
        <v>178.93193758730001</v>
      </c>
      <c r="AP64" s="8">
        <v>81328.166020593271</v>
      </c>
      <c r="AQ64" s="8" t="s">
        <v>111</v>
      </c>
      <c r="AR64" s="21" t="s">
        <v>111</v>
      </c>
      <c r="AS64" s="16" t="s">
        <v>111</v>
      </c>
      <c r="AT64" s="16" t="s">
        <v>111</v>
      </c>
      <c r="AU64" s="22" t="s">
        <v>111</v>
      </c>
      <c r="AV64" s="22" t="s">
        <v>111</v>
      </c>
      <c r="AW64" s="22" t="s">
        <v>111</v>
      </c>
    </row>
    <row r="65" spans="1:49" ht="13.2" x14ac:dyDescent="0.25">
      <c r="A65" s="4">
        <v>62</v>
      </c>
      <c r="B65" s="5" t="s">
        <v>310</v>
      </c>
      <c r="C65" s="25"/>
      <c r="D65" s="7" t="s">
        <v>110</v>
      </c>
      <c r="E65" s="8">
        <v>3</v>
      </c>
      <c r="F65" s="9">
        <f t="shared" ref="F65:F66" si="6">4*30</f>
        <v>120</v>
      </c>
      <c r="G65" s="9">
        <v>120</v>
      </c>
      <c r="H65" s="10">
        <v>2.2999999999999998</v>
      </c>
      <c r="I65" s="11">
        <v>0.14099999999999999</v>
      </c>
      <c r="J65" s="12" t="s">
        <v>112</v>
      </c>
      <c r="K65" s="26">
        <v>5.6000000000000001E-2</v>
      </c>
      <c r="L65" s="14">
        <v>13500000</v>
      </c>
      <c r="M65" s="14">
        <v>84300</v>
      </c>
      <c r="N65" s="15">
        <v>0.62444444444444447</v>
      </c>
      <c r="O65" s="15">
        <v>6.96694214876033E-2</v>
      </c>
      <c r="P65" s="14">
        <v>11.128909676654567</v>
      </c>
      <c r="Q65" s="17">
        <v>2.6700000000000002E-2</v>
      </c>
      <c r="R65" s="14">
        <v>9366.6666666666661</v>
      </c>
      <c r="S65" s="14" t="s">
        <v>111</v>
      </c>
      <c r="T65" s="12" t="s">
        <v>113</v>
      </c>
      <c r="U65" s="7">
        <v>10</v>
      </c>
      <c r="V65" s="16">
        <v>10</v>
      </c>
      <c r="W65" s="18" t="s">
        <v>114</v>
      </c>
      <c r="X65" s="7">
        <v>56</v>
      </c>
      <c r="Y65" s="7" t="s">
        <v>311</v>
      </c>
      <c r="Z65" s="30">
        <v>9</v>
      </c>
      <c r="AA65" s="8">
        <v>9019295.6340999994</v>
      </c>
      <c r="AB65" s="8">
        <v>10759.505476</v>
      </c>
      <c r="AC65" s="8">
        <v>186537.32490160002</v>
      </c>
      <c r="AD65" s="8">
        <v>2305894.4096565498</v>
      </c>
      <c r="AE65" s="35">
        <v>9.3678550000000005</v>
      </c>
      <c r="AF65" s="36">
        <v>9367855</v>
      </c>
      <c r="AG65" s="8">
        <v>44</v>
      </c>
      <c r="AH65" s="8">
        <v>43557934.033500001</v>
      </c>
      <c r="AI65" s="8">
        <v>21579.548324899999</v>
      </c>
      <c r="AJ65" s="8">
        <v>806696.96694239997</v>
      </c>
      <c r="AK65" s="8">
        <v>16473031.497399161</v>
      </c>
      <c r="AL65" s="8">
        <v>1210000</v>
      </c>
      <c r="AM65" s="8">
        <v>1213056.8395499999</v>
      </c>
      <c r="AN65" s="8">
        <v>956.22568231000002</v>
      </c>
      <c r="AO65" s="8">
        <v>23435.062446759999</v>
      </c>
      <c r="AP65" s="8">
        <v>421376.20736178104</v>
      </c>
      <c r="AQ65" s="8">
        <v>2000000</v>
      </c>
      <c r="AR65" s="21" t="s">
        <v>187</v>
      </c>
      <c r="AS65" s="16" t="s">
        <v>111</v>
      </c>
      <c r="AT65" s="16" t="s">
        <v>111</v>
      </c>
      <c r="AU65" s="22" t="s">
        <v>111</v>
      </c>
      <c r="AV65" s="22" t="s">
        <v>111</v>
      </c>
      <c r="AW65" s="31" t="s">
        <v>111</v>
      </c>
    </row>
    <row r="66" spans="1:49" ht="13.2" x14ac:dyDescent="0.25">
      <c r="A66" s="4">
        <v>63</v>
      </c>
      <c r="B66" s="5" t="s">
        <v>312</v>
      </c>
      <c r="C66" s="42" t="s">
        <v>189</v>
      </c>
      <c r="D66" s="7" t="s">
        <v>110</v>
      </c>
      <c r="E66" s="8">
        <v>3</v>
      </c>
      <c r="F66" s="9">
        <f t="shared" si="6"/>
        <v>120</v>
      </c>
      <c r="G66" s="9">
        <v>120</v>
      </c>
      <c r="H66" s="10">
        <v>2.2999999999999998</v>
      </c>
      <c r="I66" s="11">
        <v>0.6</v>
      </c>
      <c r="J66" s="12" t="s">
        <v>117</v>
      </c>
      <c r="K66" s="7" t="s">
        <v>111</v>
      </c>
      <c r="L66" s="14">
        <v>13500000</v>
      </c>
      <c r="M66" s="14">
        <v>84300</v>
      </c>
      <c r="N66" s="15">
        <v>0.62444444444444447</v>
      </c>
      <c r="O66" s="15">
        <v>6.96694214876033E-2</v>
      </c>
      <c r="P66" s="14">
        <v>11.128909676654567</v>
      </c>
      <c r="Q66" s="17">
        <v>2.6700000000000002E-2</v>
      </c>
      <c r="R66" s="14">
        <v>9366.6666666666661</v>
      </c>
      <c r="S66" s="14">
        <v>22500000</v>
      </c>
      <c r="T66" s="12" t="s">
        <v>113</v>
      </c>
      <c r="U66" s="7">
        <v>10</v>
      </c>
      <c r="V66" s="16">
        <v>10</v>
      </c>
      <c r="W66" s="18" t="s">
        <v>114</v>
      </c>
      <c r="X66" s="7">
        <v>56</v>
      </c>
      <c r="Y66" s="7" t="s">
        <v>311</v>
      </c>
      <c r="Z66" s="30">
        <v>9</v>
      </c>
      <c r="AA66" s="8">
        <v>9019295.6340999994</v>
      </c>
      <c r="AB66" s="8">
        <v>10759.505476</v>
      </c>
      <c r="AC66" s="8">
        <v>186537.32490160002</v>
      </c>
      <c r="AD66" s="8">
        <v>2305894.4096565498</v>
      </c>
      <c r="AE66" s="35">
        <v>9.3678550000000005</v>
      </c>
      <c r="AF66" s="36">
        <v>9367855</v>
      </c>
      <c r="AG66" s="8">
        <v>44</v>
      </c>
      <c r="AH66" s="8">
        <v>43557934.033500001</v>
      </c>
      <c r="AI66" s="8">
        <v>21579.548324899999</v>
      </c>
      <c r="AJ66" s="8">
        <v>806696.96694239997</v>
      </c>
      <c r="AK66" s="8">
        <v>16473031.497399161</v>
      </c>
      <c r="AL66" s="8">
        <v>1210000</v>
      </c>
      <c r="AM66" s="8">
        <v>1213056.8395499999</v>
      </c>
      <c r="AN66" s="8">
        <v>956.22568231000002</v>
      </c>
      <c r="AO66" s="8">
        <v>23435.062446759999</v>
      </c>
      <c r="AP66" s="8">
        <v>421376.20736178104</v>
      </c>
      <c r="AQ66" s="8">
        <v>2000000</v>
      </c>
      <c r="AR66" s="21" t="s">
        <v>187</v>
      </c>
      <c r="AS66" s="16" t="s">
        <v>111</v>
      </c>
      <c r="AT66" s="16" t="s">
        <v>111</v>
      </c>
      <c r="AU66" s="22" t="s">
        <v>111</v>
      </c>
      <c r="AV66" s="22" t="s">
        <v>111</v>
      </c>
      <c r="AW66" s="22" t="s">
        <v>111</v>
      </c>
    </row>
    <row r="67" spans="1:49" ht="13.2" x14ac:dyDescent="0.25">
      <c r="A67" s="4">
        <v>64</v>
      </c>
      <c r="B67" s="5" t="s">
        <v>313</v>
      </c>
      <c r="C67" s="42" t="s">
        <v>185</v>
      </c>
      <c r="D67" s="7" t="s">
        <v>110</v>
      </c>
      <c r="E67" s="8">
        <v>3</v>
      </c>
      <c r="F67" s="9">
        <f t="shared" ref="F67:F68" si="7">4*7</f>
        <v>28</v>
      </c>
      <c r="G67" s="9" t="s">
        <v>111</v>
      </c>
      <c r="H67" s="10">
        <v>1.2</v>
      </c>
      <c r="I67" s="11">
        <v>1.0340999999999999E-2</v>
      </c>
      <c r="J67" s="12" t="s">
        <v>122</v>
      </c>
      <c r="K67" s="26">
        <v>1.1327E-2</v>
      </c>
      <c r="L67" s="14">
        <v>8870000</v>
      </c>
      <c r="M67" s="14">
        <v>7030</v>
      </c>
      <c r="N67" s="15">
        <v>7.9255918827508445E-2</v>
      </c>
      <c r="O67" s="15">
        <v>5.4921875000000002E-2</v>
      </c>
      <c r="P67" s="14">
        <v>69.202465421391636</v>
      </c>
      <c r="Q67" s="17">
        <v>0.17069999999999999</v>
      </c>
      <c r="R67" s="14">
        <v>585.83333333333337</v>
      </c>
      <c r="S67" s="14">
        <v>857750701.09273767</v>
      </c>
      <c r="T67" s="12" t="s">
        <v>123</v>
      </c>
      <c r="U67" s="18">
        <f t="shared" ref="U67:U68" si="8">10^5</f>
        <v>100000</v>
      </c>
      <c r="V67" s="18">
        <v>100000</v>
      </c>
      <c r="W67" s="18" t="s">
        <v>114</v>
      </c>
      <c r="X67" s="18">
        <v>18</v>
      </c>
      <c r="Y67" s="18" t="s">
        <v>314</v>
      </c>
      <c r="Z67" s="8">
        <v>12</v>
      </c>
      <c r="AA67" s="8">
        <v>11773878.569700001</v>
      </c>
      <c r="AB67" s="8">
        <v>1306.7566025799999</v>
      </c>
      <c r="AC67" s="8">
        <v>1879.1216646829998</v>
      </c>
      <c r="AD67" s="8">
        <v>1485405.6985480301</v>
      </c>
      <c r="AE67" s="35">
        <v>0.74573153250000002</v>
      </c>
      <c r="AF67" s="36">
        <v>745731.53249999997</v>
      </c>
      <c r="AG67" s="30">
        <v>8.8000000000000007</v>
      </c>
      <c r="AH67" s="8">
        <v>8843034.3792599998</v>
      </c>
      <c r="AI67" s="8">
        <v>339.259400003</v>
      </c>
      <c r="AJ67" s="8">
        <v>516.64248987969995</v>
      </c>
      <c r="AK67" s="8">
        <v>1396234.4809729501</v>
      </c>
      <c r="AL67" s="8">
        <v>128000</v>
      </c>
      <c r="AM67" s="8">
        <v>128174.624213</v>
      </c>
      <c r="AN67" s="8">
        <v>8.5282752696300008</v>
      </c>
      <c r="AO67" s="8">
        <v>12.29720686628</v>
      </c>
      <c r="AP67" s="8">
        <v>19245.662685397601</v>
      </c>
      <c r="AQ67" s="8" t="s">
        <v>111</v>
      </c>
      <c r="AR67" s="21" t="s">
        <v>111</v>
      </c>
      <c r="AS67" s="16" t="s">
        <v>111</v>
      </c>
      <c r="AT67" s="16" t="s">
        <v>111</v>
      </c>
      <c r="AU67" s="22" t="s">
        <v>315</v>
      </c>
      <c r="AV67" s="22" t="s">
        <v>111</v>
      </c>
      <c r="AW67" s="22" t="s">
        <v>316</v>
      </c>
    </row>
    <row r="68" spans="1:49" ht="13.2" x14ac:dyDescent="0.25">
      <c r="A68" s="4">
        <v>65</v>
      </c>
      <c r="B68" s="5" t="s">
        <v>313</v>
      </c>
      <c r="C68" s="42" t="s">
        <v>189</v>
      </c>
      <c r="D68" s="7" t="s">
        <v>110</v>
      </c>
      <c r="E68" s="8">
        <v>3</v>
      </c>
      <c r="F68" s="9">
        <f t="shared" si="7"/>
        <v>28</v>
      </c>
      <c r="G68" s="9" t="s">
        <v>111</v>
      </c>
      <c r="H68" s="10">
        <v>1.2</v>
      </c>
      <c r="I68" s="11">
        <v>0.2</v>
      </c>
      <c r="J68" s="12" t="s">
        <v>112</v>
      </c>
      <c r="K68" s="7" t="s">
        <v>111</v>
      </c>
      <c r="L68" s="14">
        <v>8870000</v>
      </c>
      <c r="M68" s="14">
        <v>7030</v>
      </c>
      <c r="N68" s="15">
        <v>7.9255918827508445E-2</v>
      </c>
      <c r="O68" s="15">
        <v>5.4921875000000002E-2</v>
      </c>
      <c r="P68" s="14">
        <v>69.202465421391636</v>
      </c>
      <c r="Q68" s="17">
        <v>0.17069999999999999</v>
      </c>
      <c r="R68" s="14">
        <v>585.83333333333337</v>
      </c>
      <c r="S68" s="14">
        <v>44350000</v>
      </c>
      <c r="T68" s="12" t="s">
        <v>123</v>
      </c>
      <c r="U68" s="18">
        <f t="shared" si="8"/>
        <v>100000</v>
      </c>
      <c r="V68" s="18">
        <v>100000</v>
      </c>
      <c r="W68" s="18" t="s">
        <v>114</v>
      </c>
      <c r="X68" s="18">
        <v>18</v>
      </c>
      <c r="Y68" s="18" t="s">
        <v>314</v>
      </c>
      <c r="Z68" s="8">
        <v>12</v>
      </c>
      <c r="AA68" s="8">
        <v>11773878.569700001</v>
      </c>
      <c r="AB68" s="8">
        <v>1306.7566025799999</v>
      </c>
      <c r="AC68" s="8">
        <v>1879.1216646829998</v>
      </c>
      <c r="AD68" s="8">
        <v>1485405.6985480301</v>
      </c>
      <c r="AE68" s="35">
        <v>0.74573153250000002</v>
      </c>
      <c r="AF68" s="36">
        <v>745731.53249999997</v>
      </c>
      <c r="AG68" s="30">
        <v>8.8000000000000007</v>
      </c>
      <c r="AH68" s="8">
        <v>8843034.3792599998</v>
      </c>
      <c r="AI68" s="8">
        <v>339.259400003</v>
      </c>
      <c r="AJ68" s="8">
        <v>516.64248987969995</v>
      </c>
      <c r="AK68" s="8">
        <v>1396234.4809729501</v>
      </c>
      <c r="AL68" s="8">
        <v>128000</v>
      </c>
      <c r="AM68" s="8">
        <v>128174.624213</v>
      </c>
      <c r="AN68" s="8">
        <v>8.5282752696300008</v>
      </c>
      <c r="AO68" s="8">
        <v>12.29720686628</v>
      </c>
      <c r="AP68" s="8">
        <v>19245.662685397601</v>
      </c>
      <c r="AQ68" s="8" t="s">
        <v>111</v>
      </c>
      <c r="AR68" s="21" t="s">
        <v>111</v>
      </c>
      <c r="AS68" s="16" t="s">
        <v>111</v>
      </c>
      <c r="AT68" s="16" t="s">
        <v>111</v>
      </c>
      <c r="AU68" s="22" t="s">
        <v>315</v>
      </c>
      <c r="AV68" s="22" t="s">
        <v>111</v>
      </c>
      <c r="AW68" s="22" t="s">
        <v>316</v>
      </c>
    </row>
    <row r="69" spans="1:49" ht="13.2" x14ac:dyDescent="0.25">
      <c r="A69" s="4">
        <v>66</v>
      </c>
      <c r="B69" s="5" t="s">
        <v>317</v>
      </c>
      <c r="C69" s="1"/>
      <c r="D69" s="7" t="s">
        <v>318</v>
      </c>
      <c r="E69" s="8">
        <v>3</v>
      </c>
      <c r="F69" s="9" t="s">
        <v>111</v>
      </c>
      <c r="G69" s="9" t="s">
        <v>111</v>
      </c>
      <c r="H69" s="10">
        <v>0.7</v>
      </c>
      <c r="I69" s="11">
        <v>1</v>
      </c>
      <c r="J69" s="7" t="s">
        <v>264</v>
      </c>
      <c r="K69" s="7" t="s">
        <v>111</v>
      </c>
      <c r="L69" s="14">
        <v>326000</v>
      </c>
      <c r="M69" s="14">
        <v>6380</v>
      </c>
      <c r="N69" s="38">
        <v>1.9570552147239264</v>
      </c>
      <c r="O69" s="8" t="s">
        <v>111</v>
      </c>
      <c r="P69" s="14">
        <v>11241.379310344828</v>
      </c>
      <c r="Q69" s="17">
        <v>0.10589999999999999</v>
      </c>
      <c r="R69" s="14">
        <v>607619047.61904764</v>
      </c>
      <c r="S69" s="14">
        <v>326000</v>
      </c>
      <c r="T69" s="12" t="s">
        <v>129</v>
      </c>
      <c r="U69" s="7" t="s">
        <v>111</v>
      </c>
      <c r="V69" s="7" t="s">
        <v>111</v>
      </c>
      <c r="W69" s="7" t="s">
        <v>111</v>
      </c>
      <c r="X69" s="7">
        <f>365*10</f>
        <v>3650</v>
      </c>
      <c r="Y69" s="7" t="s">
        <v>319</v>
      </c>
      <c r="Z69" s="47">
        <v>1.0499999999999999E-5</v>
      </c>
      <c r="AA69" s="8">
        <f>231/22</f>
        <v>10.5</v>
      </c>
      <c r="AB69" s="30">
        <f>4/22</f>
        <v>0.18181818181818182</v>
      </c>
      <c r="AC69" s="8">
        <f>(178+27+4+3+3+2+5)/22</f>
        <v>10.090909090909092</v>
      </c>
      <c r="AD69" s="8">
        <v>0</v>
      </c>
      <c r="AE69" s="20" t="s">
        <v>111</v>
      </c>
      <c r="AF69" s="20" t="s">
        <v>111</v>
      </c>
      <c r="AG69" s="8" t="s">
        <v>111</v>
      </c>
      <c r="AH69" s="8" t="s">
        <v>111</v>
      </c>
      <c r="AI69" s="8" t="s">
        <v>111</v>
      </c>
      <c r="AJ69" s="8" t="s">
        <v>111</v>
      </c>
      <c r="AK69" s="8" t="s">
        <v>111</v>
      </c>
      <c r="AL69" s="8">
        <f>AM69</f>
        <v>10.5</v>
      </c>
      <c r="AM69" s="8">
        <f>231/22</f>
        <v>10.5</v>
      </c>
      <c r="AN69" s="30">
        <f>4/22</f>
        <v>0.18181818181818182</v>
      </c>
      <c r="AO69" s="8">
        <f>(178+27+4+3+3+2+5)/22</f>
        <v>10.090909090909092</v>
      </c>
      <c r="AP69" s="8">
        <v>0</v>
      </c>
      <c r="AQ69" s="9">
        <v>29</v>
      </c>
      <c r="AR69" s="21" t="s">
        <v>295</v>
      </c>
      <c r="AS69" s="16" t="s">
        <v>111</v>
      </c>
      <c r="AT69" s="16" t="s">
        <v>111</v>
      </c>
      <c r="AU69" s="22" t="s">
        <v>111</v>
      </c>
      <c r="AV69" s="22" t="s">
        <v>111</v>
      </c>
      <c r="AW69" s="22" t="s">
        <v>111</v>
      </c>
    </row>
    <row r="70" spans="1:49" ht="13.2" x14ac:dyDescent="0.25">
      <c r="A70" s="4">
        <v>67</v>
      </c>
      <c r="B70" s="5" t="s">
        <v>320</v>
      </c>
      <c r="C70" s="25"/>
      <c r="D70" s="7" t="s">
        <v>132</v>
      </c>
      <c r="E70" s="8">
        <v>3</v>
      </c>
      <c r="F70" s="9" t="s">
        <v>111</v>
      </c>
      <c r="G70" s="9" t="s">
        <v>111</v>
      </c>
      <c r="H70" s="10">
        <v>0.5</v>
      </c>
      <c r="I70" s="11">
        <f>119/2469</f>
        <v>4.8197650870797894E-2</v>
      </c>
      <c r="J70" s="12" t="s">
        <v>122</v>
      </c>
      <c r="K70" s="7" t="s">
        <v>111</v>
      </c>
      <c r="L70" s="14">
        <v>2590000</v>
      </c>
      <c r="M70" s="14">
        <v>22900</v>
      </c>
      <c r="N70" s="15">
        <v>0.88416988416988407</v>
      </c>
      <c r="O70" s="23" t="s">
        <v>111</v>
      </c>
      <c r="P70" s="16" t="s">
        <v>111</v>
      </c>
      <c r="Q70" s="17">
        <v>2.18E-2</v>
      </c>
      <c r="R70" s="14" t="s">
        <v>111</v>
      </c>
      <c r="S70" s="14">
        <v>53737058.823529415</v>
      </c>
      <c r="T70" s="12" t="s">
        <v>136</v>
      </c>
      <c r="U70" s="7">
        <v>1</v>
      </c>
      <c r="V70" s="7">
        <v>1</v>
      </c>
      <c r="W70" s="18" t="s">
        <v>114</v>
      </c>
      <c r="X70" s="7">
        <v>4.5</v>
      </c>
      <c r="Y70" s="19">
        <v>43254</v>
      </c>
      <c r="Z70" s="48">
        <v>2.588E-3</v>
      </c>
      <c r="AA70" s="8">
        <v>2588</v>
      </c>
      <c r="AB70" s="8">
        <v>2469</v>
      </c>
      <c r="AC70" s="8" t="s">
        <v>111</v>
      </c>
      <c r="AD70" s="8" t="s">
        <v>111</v>
      </c>
      <c r="AE70" s="20" t="s">
        <v>111</v>
      </c>
      <c r="AF70" s="20" t="s">
        <v>111</v>
      </c>
      <c r="AG70" s="8" t="s">
        <v>111</v>
      </c>
      <c r="AH70" s="8" t="s">
        <v>111</v>
      </c>
      <c r="AI70" s="8" t="s">
        <v>111</v>
      </c>
      <c r="AJ70" s="8" t="s">
        <v>111</v>
      </c>
      <c r="AK70" s="8" t="s">
        <v>111</v>
      </c>
      <c r="AL70" s="8" t="s">
        <v>111</v>
      </c>
      <c r="AM70" s="8" t="s">
        <v>111</v>
      </c>
      <c r="AN70" s="8">
        <v>111</v>
      </c>
      <c r="AO70" s="8" t="s">
        <v>111</v>
      </c>
      <c r="AP70" s="8" t="s">
        <v>111</v>
      </c>
      <c r="AQ70" s="8" t="s">
        <v>111</v>
      </c>
      <c r="AR70" s="21" t="s">
        <v>111</v>
      </c>
      <c r="AS70" s="16" t="s">
        <v>111</v>
      </c>
      <c r="AT70" s="16" t="s">
        <v>111</v>
      </c>
      <c r="AU70" s="22" t="s">
        <v>111</v>
      </c>
      <c r="AV70" s="22" t="s">
        <v>111</v>
      </c>
      <c r="AW70" s="31" t="s">
        <v>111</v>
      </c>
    </row>
    <row r="71" spans="1:49" ht="13.2" x14ac:dyDescent="0.25">
      <c r="A71" s="4">
        <v>68</v>
      </c>
      <c r="B71" s="5" t="s">
        <v>321</v>
      </c>
      <c r="C71" s="1"/>
      <c r="D71" s="7" t="s">
        <v>110</v>
      </c>
      <c r="E71" s="8">
        <v>2</v>
      </c>
      <c r="F71" s="9">
        <v>4</v>
      </c>
      <c r="G71" s="9" t="s">
        <v>111</v>
      </c>
      <c r="H71" s="10">
        <v>9</v>
      </c>
      <c r="I71" s="11">
        <v>6.0000000000000001E-3</v>
      </c>
      <c r="J71" s="12" t="s">
        <v>135</v>
      </c>
      <c r="K71" s="26">
        <v>6.0000000000000001E-3</v>
      </c>
      <c r="L71" s="14">
        <v>4500000</v>
      </c>
      <c r="M71" s="14">
        <v>3240</v>
      </c>
      <c r="N71" s="15">
        <v>7.2000000000000008E-2</v>
      </c>
      <c r="O71" s="15">
        <v>4.4383561643835619E-2</v>
      </c>
      <c r="P71" s="14">
        <v>61.639073598024424</v>
      </c>
      <c r="Q71" s="17">
        <v>2.7778</v>
      </c>
      <c r="R71" s="14">
        <v>270</v>
      </c>
      <c r="S71" s="14">
        <v>750000000</v>
      </c>
      <c r="T71" s="12" t="s">
        <v>113</v>
      </c>
      <c r="U71" s="7">
        <v>200</v>
      </c>
      <c r="V71" s="16">
        <v>100</v>
      </c>
      <c r="W71" s="18" t="s">
        <v>114</v>
      </c>
      <c r="X71" s="7">
        <v>8</v>
      </c>
      <c r="Y71" s="7" t="s">
        <v>322</v>
      </c>
      <c r="Z71" s="8">
        <v>12</v>
      </c>
      <c r="AA71" s="8">
        <v>11627370.321900001</v>
      </c>
      <c r="AB71" s="8">
        <v>172444.243839</v>
      </c>
      <c r="AC71" s="8">
        <v>398250.84266540001</v>
      </c>
      <c r="AD71" s="8">
        <v>4864129.7297567595</v>
      </c>
      <c r="AE71" s="35">
        <v>1.5927899999999999</v>
      </c>
      <c r="AF71" s="20">
        <v>1592790</v>
      </c>
      <c r="AG71" s="30">
        <v>6.2</v>
      </c>
      <c r="AH71" s="8">
        <v>6249857.1973599996</v>
      </c>
      <c r="AI71" s="8">
        <v>3019.9420388499998</v>
      </c>
      <c r="AJ71" s="8">
        <v>6248.90149836</v>
      </c>
      <c r="AK71" s="8">
        <v>4032759.0009145816</v>
      </c>
      <c r="AL71" s="8">
        <v>73000</v>
      </c>
      <c r="AM71" s="8">
        <v>73005.639723700006</v>
      </c>
      <c r="AN71" s="8">
        <v>23.299931226199998</v>
      </c>
      <c r="AO71" s="8">
        <v>42.985392610200002</v>
      </c>
      <c r="AP71" s="8">
        <v>47244.712332152863</v>
      </c>
      <c r="AQ71" s="8">
        <v>160700</v>
      </c>
      <c r="AR71" s="21" t="s">
        <v>252</v>
      </c>
      <c r="AS71" s="16" t="s">
        <v>323</v>
      </c>
      <c r="AT71" s="16" t="s">
        <v>324</v>
      </c>
      <c r="AU71" s="22" t="s">
        <v>325</v>
      </c>
      <c r="AV71" s="22" t="s">
        <v>111</v>
      </c>
      <c r="AW71" s="22" t="s">
        <v>326</v>
      </c>
    </row>
    <row r="72" spans="1:49" ht="13.2" x14ac:dyDescent="0.25">
      <c r="A72" s="4">
        <v>69</v>
      </c>
      <c r="B72" s="5" t="s">
        <v>327</v>
      </c>
      <c r="C72" s="61"/>
      <c r="D72" s="7" t="s">
        <v>132</v>
      </c>
      <c r="E72" s="8">
        <v>3</v>
      </c>
      <c r="F72" s="9" t="s">
        <v>111</v>
      </c>
      <c r="G72" s="9" t="s">
        <v>111</v>
      </c>
      <c r="H72" s="10">
        <v>4.3</v>
      </c>
      <c r="I72" s="11">
        <v>5.5093000000000003E-2</v>
      </c>
      <c r="J72" s="12" t="s">
        <v>122</v>
      </c>
      <c r="K72" s="62">
        <v>4.7178999999999999E-2</v>
      </c>
      <c r="L72" s="14">
        <v>7450000</v>
      </c>
      <c r="M72" s="14">
        <v>5090</v>
      </c>
      <c r="N72" s="15">
        <v>6.8322147651006707E-2</v>
      </c>
      <c r="O72" s="15">
        <v>0.87758620689655176</v>
      </c>
      <c r="P72" s="14">
        <v>1284.6176041952692</v>
      </c>
      <c r="Q72" s="17">
        <v>0.8448</v>
      </c>
      <c r="R72" s="14">
        <v>50900</v>
      </c>
      <c r="S72" s="14">
        <v>135225890.76652205</v>
      </c>
      <c r="T72" s="12" t="s">
        <v>136</v>
      </c>
      <c r="U72" s="18" t="s">
        <v>111</v>
      </c>
      <c r="V72" s="7" t="s">
        <v>111</v>
      </c>
      <c r="W72" s="7" t="s">
        <v>111</v>
      </c>
      <c r="X72" s="29">
        <f>AVERAGE(3,6)</f>
        <v>4.5</v>
      </c>
      <c r="Y72" s="19">
        <v>43254</v>
      </c>
      <c r="Z72" s="30">
        <v>0.1</v>
      </c>
      <c r="AA72" s="8">
        <v>112384.352877</v>
      </c>
      <c r="AB72" s="8">
        <v>0</v>
      </c>
      <c r="AC72" s="8">
        <v>0</v>
      </c>
      <c r="AD72" s="8">
        <v>109356.59878885999</v>
      </c>
      <c r="AE72" s="60">
        <v>3.0544871210000002E-3</v>
      </c>
      <c r="AF72" s="36">
        <v>3054.4871210000001</v>
      </c>
      <c r="AG72" s="30">
        <v>0.4</v>
      </c>
      <c r="AH72" s="8">
        <v>374015.301874</v>
      </c>
      <c r="AI72" s="8">
        <v>0</v>
      </c>
      <c r="AJ72" s="8">
        <v>0</v>
      </c>
      <c r="AK72" s="8">
        <v>365801.70866860001</v>
      </c>
      <c r="AL72" s="8">
        <v>5800</v>
      </c>
      <c r="AM72" s="8">
        <v>5799.3911773199998</v>
      </c>
      <c r="AN72" s="8">
        <v>0</v>
      </c>
      <c r="AO72" s="8">
        <v>0</v>
      </c>
      <c r="AP72" s="8">
        <v>5657.1865328659997</v>
      </c>
      <c r="AQ72" s="8">
        <v>45000</v>
      </c>
      <c r="AR72" s="21" t="s">
        <v>328</v>
      </c>
      <c r="AS72" s="16" t="s">
        <v>111</v>
      </c>
      <c r="AT72" s="16" t="s">
        <v>329</v>
      </c>
      <c r="AU72" s="22" t="s">
        <v>330</v>
      </c>
      <c r="AV72" s="22" t="s">
        <v>111</v>
      </c>
      <c r="AW72" s="22" t="s">
        <v>111</v>
      </c>
    </row>
    <row r="73" spans="1:49" ht="13.2" x14ac:dyDescent="0.25">
      <c r="A73" s="4">
        <v>70</v>
      </c>
      <c r="B73" s="40" t="s">
        <v>331</v>
      </c>
      <c r="C73" s="1"/>
      <c r="D73" s="12" t="s">
        <v>132</v>
      </c>
      <c r="E73" s="9">
        <v>2</v>
      </c>
      <c r="F73" s="10">
        <f>8/24</f>
        <v>0.33333333333333331</v>
      </c>
      <c r="G73" s="12">
        <v>0.3</v>
      </c>
      <c r="H73" s="10">
        <v>4.2</v>
      </c>
      <c r="I73" s="63">
        <v>3.0000000000000001E-6</v>
      </c>
      <c r="J73" s="12" t="s">
        <v>128</v>
      </c>
      <c r="K73" s="57">
        <v>1.9999999999999999E-6</v>
      </c>
      <c r="L73" s="14">
        <v>10400000</v>
      </c>
      <c r="M73" s="14">
        <v>502000</v>
      </c>
      <c r="N73" s="38">
        <v>4.8269230769230775</v>
      </c>
      <c r="O73" s="16" t="s">
        <v>111</v>
      </c>
      <c r="P73" s="16" t="s">
        <v>111</v>
      </c>
      <c r="Q73" s="17">
        <v>8.3999999999999995E-3</v>
      </c>
      <c r="R73" s="14" t="s">
        <v>111</v>
      </c>
      <c r="S73" s="14">
        <v>3466666666666.6665</v>
      </c>
      <c r="T73" s="12" t="s">
        <v>136</v>
      </c>
      <c r="U73" s="16">
        <v>1000</v>
      </c>
      <c r="V73" s="16">
        <v>1000</v>
      </c>
      <c r="W73" s="7" t="s">
        <v>182</v>
      </c>
      <c r="X73" s="7">
        <v>6</v>
      </c>
      <c r="Y73" s="7" t="s">
        <v>332</v>
      </c>
      <c r="Z73" s="30">
        <v>0.5</v>
      </c>
      <c r="AA73" s="8">
        <v>500000</v>
      </c>
      <c r="AB73" s="8" t="s">
        <v>111</v>
      </c>
      <c r="AC73" s="8" t="s">
        <v>111</v>
      </c>
      <c r="AD73" s="8" t="s">
        <v>111</v>
      </c>
      <c r="AE73" s="55">
        <v>0.12859508140000001</v>
      </c>
      <c r="AF73" s="36">
        <v>128595.0814</v>
      </c>
      <c r="AG73" s="8" t="s">
        <v>111</v>
      </c>
      <c r="AH73" s="8" t="s">
        <v>111</v>
      </c>
      <c r="AI73" s="8" t="s">
        <v>111</v>
      </c>
      <c r="AJ73" s="8" t="s">
        <v>111</v>
      </c>
      <c r="AK73" s="8" t="s">
        <v>111</v>
      </c>
      <c r="AL73" s="8" t="s">
        <v>111</v>
      </c>
      <c r="AM73" s="8" t="s">
        <v>111</v>
      </c>
      <c r="AN73" s="8" t="s">
        <v>111</v>
      </c>
      <c r="AO73" s="8" t="s">
        <v>111</v>
      </c>
      <c r="AP73" s="8" t="s">
        <v>111</v>
      </c>
      <c r="AQ73" s="9">
        <v>0</v>
      </c>
      <c r="AR73" s="21" t="s">
        <v>111</v>
      </c>
      <c r="AS73" s="16" t="s">
        <v>111</v>
      </c>
      <c r="AT73" s="16" t="s">
        <v>111</v>
      </c>
      <c r="AU73" s="22" t="s">
        <v>111</v>
      </c>
      <c r="AV73" s="22" t="s">
        <v>111</v>
      </c>
      <c r="AW73" s="22" t="s">
        <v>111</v>
      </c>
    </row>
    <row r="74" spans="1:49" ht="13.2" x14ac:dyDescent="0.25">
      <c r="A74" s="4">
        <v>71</v>
      </c>
      <c r="B74" s="40" t="s">
        <v>333</v>
      </c>
      <c r="C74" s="1"/>
      <c r="D74" s="7" t="s">
        <v>110</v>
      </c>
      <c r="E74" s="9">
        <v>2</v>
      </c>
      <c r="F74" s="9" t="s">
        <v>111</v>
      </c>
      <c r="G74" s="10">
        <f>2.5/24</f>
        <v>0.10416666666666667</v>
      </c>
      <c r="H74" s="10">
        <v>1.8</v>
      </c>
      <c r="I74" s="63">
        <v>1.7E-5</v>
      </c>
      <c r="J74" s="12" t="s">
        <v>128</v>
      </c>
      <c r="K74" s="57">
        <v>7.9999999999999996E-6</v>
      </c>
      <c r="L74" s="14">
        <v>10200000</v>
      </c>
      <c r="M74" s="14">
        <v>32300</v>
      </c>
      <c r="N74" s="38">
        <v>0.31666666666666665</v>
      </c>
      <c r="O74" s="15">
        <v>27.142857142857142</v>
      </c>
      <c r="P74" s="14">
        <v>8585.8585858585866</v>
      </c>
      <c r="Q74" s="17">
        <v>5.57E-2</v>
      </c>
      <c r="R74" s="14">
        <v>438.46200668340981</v>
      </c>
      <c r="S74" s="14" t="s">
        <v>111</v>
      </c>
      <c r="T74" s="12" t="s">
        <v>146</v>
      </c>
      <c r="U74" s="7" t="s">
        <v>111</v>
      </c>
      <c r="V74" s="7" t="s">
        <v>111</v>
      </c>
      <c r="W74" s="7" t="s">
        <v>111</v>
      </c>
      <c r="X74" s="29">
        <v>7.5</v>
      </c>
      <c r="Y74" s="7" t="s">
        <v>334</v>
      </c>
      <c r="Z74" s="8">
        <v>73.666588000000004</v>
      </c>
      <c r="AA74" s="8">
        <v>73666588</v>
      </c>
      <c r="AB74" s="8">
        <v>1206389</v>
      </c>
      <c r="AC74" s="8">
        <v>4781167</v>
      </c>
      <c r="AD74" s="8">
        <v>16622355</v>
      </c>
      <c r="AE74" s="36">
        <v>93.573702870000005</v>
      </c>
      <c r="AF74" s="36">
        <v>93573702.870000005</v>
      </c>
      <c r="AG74" s="32">
        <f t="shared" ref="AG74:AG75" si="9">AH74/1000000</f>
        <v>0.56241799999999997</v>
      </c>
      <c r="AH74" s="14">
        <v>562418</v>
      </c>
      <c r="AI74" s="14">
        <v>5089</v>
      </c>
      <c r="AJ74" s="14">
        <v>28607</v>
      </c>
      <c r="AK74" s="14">
        <v>142721</v>
      </c>
      <c r="AL74" s="14">
        <v>1190</v>
      </c>
      <c r="AM74" s="14">
        <v>1188</v>
      </c>
      <c r="AN74" s="14">
        <v>26</v>
      </c>
      <c r="AO74" s="14">
        <v>60</v>
      </c>
      <c r="AP74" s="14">
        <v>341</v>
      </c>
      <c r="AQ74" s="8" t="s">
        <v>111</v>
      </c>
      <c r="AR74" s="21" t="s">
        <v>111</v>
      </c>
      <c r="AS74" s="12" t="s">
        <v>335</v>
      </c>
      <c r="AT74" s="12" t="s">
        <v>336</v>
      </c>
      <c r="AU74" s="1" t="s">
        <v>337</v>
      </c>
      <c r="AV74" s="22" t="s">
        <v>111</v>
      </c>
      <c r="AW74" s="1" t="s">
        <v>338</v>
      </c>
    </row>
    <row r="75" spans="1:49" ht="13.2" x14ac:dyDescent="0.25">
      <c r="A75" s="4">
        <v>72</v>
      </c>
      <c r="B75" s="40" t="s">
        <v>339</v>
      </c>
      <c r="C75" s="1"/>
      <c r="D75" s="7" t="s">
        <v>110</v>
      </c>
      <c r="E75" s="9">
        <v>2</v>
      </c>
      <c r="F75" s="10">
        <f>17/24</f>
        <v>0.70833333333333337</v>
      </c>
      <c r="G75" s="12">
        <v>1</v>
      </c>
      <c r="H75" s="10">
        <v>1</v>
      </c>
      <c r="I75" s="63">
        <v>1.8E-5</v>
      </c>
      <c r="J75" s="12" t="s">
        <v>128</v>
      </c>
      <c r="K75" s="34">
        <v>1.0000000000000001E-5</v>
      </c>
      <c r="L75" s="14">
        <v>5540000</v>
      </c>
      <c r="M75" s="14">
        <v>23300</v>
      </c>
      <c r="N75" s="38">
        <v>0.42057761732851984</v>
      </c>
      <c r="O75" s="15">
        <v>6.913946587537092</v>
      </c>
      <c r="P75" s="14">
        <v>1643.9169139465876</v>
      </c>
      <c r="Q75" s="17">
        <v>4.2900000000000001E-2</v>
      </c>
      <c r="R75" s="14">
        <v>122.13926193885993</v>
      </c>
      <c r="S75" s="14" t="s">
        <v>111</v>
      </c>
      <c r="T75" s="12" t="s">
        <v>146</v>
      </c>
      <c r="U75" s="7" t="s">
        <v>111</v>
      </c>
      <c r="V75" s="18" t="s">
        <v>111</v>
      </c>
      <c r="W75" s="7" t="s">
        <v>111</v>
      </c>
      <c r="X75" s="7">
        <v>4.5</v>
      </c>
      <c r="Y75" s="64">
        <v>43283</v>
      </c>
      <c r="Z75" s="8">
        <v>190.765849</v>
      </c>
      <c r="AA75" s="8">
        <v>190765849</v>
      </c>
      <c r="AB75" s="8">
        <v>1310787</v>
      </c>
      <c r="AC75" s="8">
        <v>11437350</v>
      </c>
      <c r="AD75" s="8">
        <v>60996473</v>
      </c>
      <c r="AE75" s="36">
        <v>57.123544799999998</v>
      </c>
      <c r="AF75" s="36">
        <v>57123544.799999997</v>
      </c>
      <c r="AG75" s="10">
        <f t="shared" si="9"/>
        <v>0.67524899999999999</v>
      </c>
      <c r="AH75" s="14">
        <v>675249</v>
      </c>
      <c r="AI75" s="14">
        <v>4796</v>
      </c>
      <c r="AJ75" s="14">
        <v>24020</v>
      </c>
      <c r="AK75" s="14">
        <v>227575</v>
      </c>
      <c r="AL75" s="14">
        <v>3370</v>
      </c>
      <c r="AM75" s="14">
        <v>3370</v>
      </c>
      <c r="AN75" s="14">
        <v>77</v>
      </c>
      <c r="AO75" s="14">
        <v>173</v>
      </c>
      <c r="AP75" s="14">
        <v>936</v>
      </c>
      <c r="AQ75" s="8" t="s">
        <v>111</v>
      </c>
      <c r="AR75" s="21" t="s">
        <v>111</v>
      </c>
      <c r="AS75" s="12" t="s">
        <v>340</v>
      </c>
      <c r="AT75" s="12" t="s">
        <v>341</v>
      </c>
      <c r="AU75" s="1" t="s">
        <v>342</v>
      </c>
      <c r="AV75" s="22" t="s">
        <v>111</v>
      </c>
      <c r="AW75" s="1" t="s">
        <v>343</v>
      </c>
    </row>
    <row r="76" spans="1:49" ht="13.2" x14ac:dyDescent="0.25">
      <c r="A76" s="4">
        <v>73</v>
      </c>
      <c r="B76" s="5" t="s">
        <v>184</v>
      </c>
      <c r="C76" s="6" t="s">
        <v>202</v>
      </c>
      <c r="D76" s="18" t="s">
        <v>132</v>
      </c>
      <c r="E76" s="8">
        <v>3</v>
      </c>
      <c r="F76" s="9">
        <v>170</v>
      </c>
      <c r="G76" s="9" t="s">
        <v>111</v>
      </c>
      <c r="H76" s="10">
        <v>6</v>
      </c>
      <c r="I76" s="11">
        <v>0.53163899999999997</v>
      </c>
      <c r="J76" s="12" t="s">
        <v>117</v>
      </c>
      <c r="K76" s="26">
        <v>0.84306300000000001</v>
      </c>
      <c r="L76" s="14">
        <v>58400000</v>
      </c>
      <c r="M76" s="14">
        <v>7300000</v>
      </c>
      <c r="N76" s="38">
        <v>12.5</v>
      </c>
      <c r="O76" s="38">
        <v>7.0873786407766994</v>
      </c>
      <c r="P76" s="14">
        <v>56.493299623719281</v>
      </c>
      <c r="Q76" s="17">
        <v>8.0000000000000004E-4</v>
      </c>
      <c r="R76" s="14">
        <v>3842105.2631578948</v>
      </c>
      <c r="S76" s="14">
        <v>109848976.46711397</v>
      </c>
      <c r="T76" s="12" t="s">
        <v>146</v>
      </c>
      <c r="U76" s="18">
        <v>1</v>
      </c>
      <c r="V76" s="18">
        <v>1</v>
      </c>
      <c r="W76" s="18" t="s">
        <v>114</v>
      </c>
      <c r="X76" s="18">
        <v>25.5</v>
      </c>
      <c r="Y76" s="18" t="s">
        <v>186</v>
      </c>
      <c r="Z76" s="30">
        <v>1.9</v>
      </c>
      <c r="AA76" s="8">
        <v>1865245.0540700001</v>
      </c>
      <c r="AB76" s="8">
        <v>45611.140318799997</v>
      </c>
      <c r="AC76" s="8">
        <v>95441.806967500001</v>
      </c>
      <c r="AD76" s="8">
        <v>1326556.604087593</v>
      </c>
      <c r="AE76" s="36">
        <v>36.213030170000003</v>
      </c>
      <c r="AF76" s="36">
        <v>36213030.170000002</v>
      </c>
      <c r="AG76" s="8">
        <v>58</v>
      </c>
      <c r="AH76" s="8">
        <v>57575391.695799999</v>
      </c>
      <c r="AI76" s="8">
        <v>418836.01502499997</v>
      </c>
      <c r="AJ76" s="8">
        <v>1592007.5425648</v>
      </c>
      <c r="AK76" s="8">
        <v>44564390.60668844</v>
      </c>
      <c r="AL76" s="8">
        <v>1030000</v>
      </c>
      <c r="AM76" s="8">
        <v>1033750.91186</v>
      </c>
      <c r="AN76" s="8">
        <v>7116.4979832999998</v>
      </c>
      <c r="AO76" s="8">
        <v>28715.890030229999</v>
      </c>
      <c r="AP76" s="8">
        <v>786095.80707684916</v>
      </c>
      <c r="AQ76" s="8">
        <v>1900000</v>
      </c>
      <c r="AR76" s="21" t="s">
        <v>187</v>
      </c>
      <c r="AS76" s="16" t="s">
        <v>111</v>
      </c>
      <c r="AT76" s="16" t="s">
        <v>111</v>
      </c>
      <c r="AU76" s="22" t="s">
        <v>111</v>
      </c>
      <c r="AV76" s="22" t="s">
        <v>111</v>
      </c>
      <c r="AW76" s="22" t="s">
        <v>111</v>
      </c>
    </row>
    <row r="77" spans="1:49" ht="13.2" x14ac:dyDescent="0.25">
      <c r="A77" s="4">
        <v>74</v>
      </c>
      <c r="B77" s="5" t="s">
        <v>207</v>
      </c>
      <c r="C77" s="6" t="s">
        <v>344</v>
      </c>
      <c r="D77" s="7" t="s">
        <v>154</v>
      </c>
      <c r="E77" s="8">
        <v>2</v>
      </c>
      <c r="F77" s="9">
        <v>0</v>
      </c>
      <c r="G77" s="9">
        <v>35</v>
      </c>
      <c r="H77" s="10">
        <v>0.5</v>
      </c>
      <c r="I77" s="11">
        <v>0.11906899999999999</v>
      </c>
      <c r="J77" s="12" t="s">
        <v>112</v>
      </c>
      <c r="K77" s="26">
        <v>0.102852</v>
      </c>
      <c r="L77" s="14">
        <v>2620000</v>
      </c>
      <c r="M77" s="14">
        <v>2840</v>
      </c>
      <c r="N77" s="15">
        <v>0.10839694656488549</v>
      </c>
      <c r="O77" s="38">
        <v>0.2072992700729927</v>
      </c>
      <c r="P77" s="14">
        <v>191.67985617031184</v>
      </c>
      <c r="Q77" s="17">
        <v>0.17610000000000001</v>
      </c>
      <c r="R77" s="14">
        <v>3550</v>
      </c>
      <c r="S77" s="14">
        <v>22004048.072966095</v>
      </c>
      <c r="T77" s="12" t="s">
        <v>136</v>
      </c>
      <c r="U77" s="7" t="s">
        <v>111</v>
      </c>
      <c r="V77" s="7" t="s">
        <v>111</v>
      </c>
      <c r="W77" s="7" t="s">
        <v>111</v>
      </c>
      <c r="X77" s="7">
        <v>120</v>
      </c>
      <c r="Y77" s="54" t="s">
        <v>209</v>
      </c>
      <c r="Z77" s="30">
        <v>0.8</v>
      </c>
      <c r="AA77" s="8">
        <v>798806.06281699997</v>
      </c>
      <c r="AB77" s="8">
        <v>5.0115394591299998</v>
      </c>
      <c r="AC77" s="8">
        <v>821.48054870199996</v>
      </c>
      <c r="AD77" s="8">
        <v>128404.35363469999</v>
      </c>
      <c r="AE77" s="55">
        <v>3.0066997210000002E-2</v>
      </c>
      <c r="AF77" s="36">
        <v>30066.997210000001</v>
      </c>
      <c r="AG77" s="30">
        <v>1</v>
      </c>
      <c r="AH77" s="8">
        <v>981054.64659000002</v>
      </c>
      <c r="AI77" s="8">
        <v>0.167894537096</v>
      </c>
      <c r="AJ77" s="8">
        <v>1107.438022129</v>
      </c>
      <c r="AK77" s="8">
        <v>288587.646124397</v>
      </c>
      <c r="AL77" s="8">
        <v>13700</v>
      </c>
      <c r="AM77" s="8">
        <v>13668.6246137</v>
      </c>
      <c r="AN77" s="8">
        <v>0</v>
      </c>
      <c r="AO77" s="8">
        <v>43.1677568729</v>
      </c>
      <c r="AP77" s="8">
        <v>6274.9987151497908</v>
      </c>
      <c r="AQ77" s="8" t="s">
        <v>111</v>
      </c>
      <c r="AR77" s="21" t="s">
        <v>111</v>
      </c>
      <c r="AS77" s="16" t="s">
        <v>204</v>
      </c>
      <c r="AT77" s="16" t="s">
        <v>210</v>
      </c>
      <c r="AU77" s="22" t="s">
        <v>111</v>
      </c>
      <c r="AV77" s="22" t="s">
        <v>111</v>
      </c>
      <c r="AW77" s="22" t="s">
        <v>206</v>
      </c>
    </row>
    <row r="78" spans="1:49" ht="13.2" x14ac:dyDescent="0.25">
      <c r="A78" s="4">
        <v>75</v>
      </c>
      <c r="B78" s="5" t="s">
        <v>236</v>
      </c>
      <c r="C78" s="6" t="s">
        <v>345</v>
      </c>
      <c r="D78" s="7" t="s">
        <v>110</v>
      </c>
      <c r="E78" s="8">
        <v>2</v>
      </c>
      <c r="F78" s="9" t="s">
        <v>111</v>
      </c>
      <c r="G78" s="9" t="s">
        <v>111</v>
      </c>
      <c r="H78" s="10">
        <v>1.3</v>
      </c>
      <c r="I78" s="11">
        <v>0.37597199999999997</v>
      </c>
      <c r="J78" s="12" t="s">
        <v>112</v>
      </c>
      <c r="K78" s="26">
        <v>0.17105799999999999</v>
      </c>
      <c r="L78" s="14">
        <v>1060000</v>
      </c>
      <c r="M78" s="14">
        <v>14000</v>
      </c>
      <c r="N78" s="38">
        <v>1.3207547169811322</v>
      </c>
      <c r="O78" s="14">
        <v>0.11023622047244094</v>
      </c>
      <c r="P78" s="14">
        <v>8.3186782056493644</v>
      </c>
      <c r="Q78" s="17">
        <v>9.2899999999999996E-2</v>
      </c>
      <c r="R78" s="14">
        <v>23333.333333333336</v>
      </c>
      <c r="S78" s="14">
        <v>2819358.888427862</v>
      </c>
      <c r="T78" s="12" t="s">
        <v>113</v>
      </c>
      <c r="U78" s="18" t="s">
        <v>111</v>
      </c>
      <c r="V78" s="7" t="s">
        <v>111</v>
      </c>
      <c r="W78" s="7" t="s">
        <v>111</v>
      </c>
      <c r="X78" s="7">
        <v>4</v>
      </c>
      <c r="Y78" s="19">
        <v>43375</v>
      </c>
      <c r="Z78" s="30">
        <v>0.6</v>
      </c>
      <c r="AA78" s="8">
        <v>561372.00011100003</v>
      </c>
      <c r="AB78" s="8">
        <v>3239.21905251</v>
      </c>
      <c r="AC78" s="8">
        <v>14528.406835640002</v>
      </c>
      <c r="AD78" s="14">
        <v>386715.77695582405</v>
      </c>
      <c r="AE78" s="35">
        <v>1.6605587749999999</v>
      </c>
      <c r="AF78" s="36">
        <v>1660558.7749999999</v>
      </c>
      <c r="AG78" s="30">
        <v>8.3000000000000007</v>
      </c>
      <c r="AH78" s="8">
        <v>8327140</v>
      </c>
      <c r="AI78" s="8">
        <v>17379</v>
      </c>
      <c r="AJ78" s="8">
        <v>84781</v>
      </c>
      <c r="AK78" s="8">
        <v>4652170</v>
      </c>
      <c r="AL78" s="8">
        <v>127000</v>
      </c>
      <c r="AM78" s="8">
        <v>127424.089957</v>
      </c>
      <c r="AN78" s="8">
        <v>369.81880771099998</v>
      </c>
      <c r="AO78" s="8">
        <v>1618.0647280409999</v>
      </c>
      <c r="AP78" s="8">
        <v>66043</v>
      </c>
      <c r="AQ78" s="8" t="s">
        <v>111</v>
      </c>
      <c r="AR78" s="21" t="s">
        <v>111</v>
      </c>
      <c r="AS78" s="16" t="s">
        <v>238</v>
      </c>
      <c r="AT78" s="16" t="s">
        <v>239</v>
      </c>
      <c r="AU78" s="22" t="s">
        <v>240</v>
      </c>
      <c r="AV78" s="22" t="s">
        <v>241</v>
      </c>
      <c r="AW78" s="31" t="s">
        <v>111</v>
      </c>
    </row>
    <row r="79" spans="1:49" ht="13.2" x14ac:dyDescent="0.25">
      <c r="A79" s="4">
        <v>76</v>
      </c>
      <c r="B79" s="5" t="s">
        <v>346</v>
      </c>
      <c r="C79" s="6" t="s">
        <v>202</v>
      </c>
      <c r="D79" s="7" t="s">
        <v>154</v>
      </c>
      <c r="E79" s="8">
        <v>2</v>
      </c>
      <c r="F79" s="9" t="s">
        <v>111</v>
      </c>
      <c r="G79" s="9" t="s">
        <v>111</v>
      </c>
      <c r="H79" s="10">
        <v>1.4</v>
      </c>
      <c r="I79" s="11">
        <v>0.48257</v>
      </c>
      <c r="J79" s="12" t="s">
        <v>112</v>
      </c>
      <c r="K79" s="26">
        <v>0.39249699999999998</v>
      </c>
      <c r="L79" s="14">
        <v>3600000</v>
      </c>
      <c r="M79" s="14">
        <v>41500</v>
      </c>
      <c r="N79" s="38">
        <v>1.1527777777777777</v>
      </c>
      <c r="O79" s="14">
        <v>18.043478260869566</v>
      </c>
      <c r="P79" s="14">
        <v>1574.9917226762825</v>
      </c>
      <c r="Q79" s="17">
        <v>3.2500000000000001E-2</v>
      </c>
      <c r="R79" s="14">
        <v>8300000</v>
      </c>
      <c r="S79" s="14">
        <v>7460057.6082226411</v>
      </c>
      <c r="T79" s="12" t="s">
        <v>136</v>
      </c>
      <c r="U79" s="7">
        <v>400</v>
      </c>
      <c r="V79" s="16">
        <v>1000</v>
      </c>
      <c r="W79" s="18" t="s">
        <v>114</v>
      </c>
      <c r="X79" s="7">
        <v>12</v>
      </c>
      <c r="Y79" s="7" t="s">
        <v>302</v>
      </c>
      <c r="Z79" s="44">
        <v>5.0000000000000001E-3</v>
      </c>
      <c r="AA79" s="8">
        <v>4966.2365508900002</v>
      </c>
      <c r="AB79" s="8">
        <v>0</v>
      </c>
      <c r="AC79" s="8">
        <v>0</v>
      </c>
      <c r="AD79" s="8">
        <v>4966.2365508900002</v>
      </c>
      <c r="AE79" s="60">
        <v>7.0660310609999997E-3</v>
      </c>
      <c r="AF79" s="36">
        <v>7066.0310609999997</v>
      </c>
      <c r="AG79" s="30">
        <v>0.1</v>
      </c>
      <c r="AH79" s="8">
        <v>128442.15835699999</v>
      </c>
      <c r="AI79" s="8">
        <v>0</v>
      </c>
      <c r="AJ79" s="8">
        <v>0</v>
      </c>
      <c r="AK79" s="8">
        <v>128442.15835699999</v>
      </c>
      <c r="AL79" s="8">
        <v>2300</v>
      </c>
      <c r="AM79" s="8">
        <v>2285.72629822</v>
      </c>
      <c r="AN79" s="8">
        <v>0</v>
      </c>
      <c r="AO79" s="8">
        <v>0</v>
      </c>
      <c r="AP79" s="8">
        <v>2285.72629822</v>
      </c>
      <c r="AQ79" s="8" t="s">
        <v>111</v>
      </c>
      <c r="AR79" s="21" t="s">
        <v>111</v>
      </c>
      <c r="AS79" s="16" t="s">
        <v>303</v>
      </c>
      <c r="AT79" s="16" t="s">
        <v>304</v>
      </c>
      <c r="AU79" s="22" t="s">
        <v>111</v>
      </c>
      <c r="AV79" s="22" t="s">
        <v>111</v>
      </c>
      <c r="AW79" s="22" t="s">
        <v>111</v>
      </c>
    </row>
    <row r="80" spans="1:49" ht="13.2" x14ac:dyDescent="0.25">
      <c r="A80" s="4">
        <v>77</v>
      </c>
      <c r="B80" s="5" t="s">
        <v>108</v>
      </c>
      <c r="C80" s="6" t="s">
        <v>347</v>
      </c>
      <c r="D80" s="7" t="s">
        <v>110</v>
      </c>
      <c r="E80" s="8">
        <v>3</v>
      </c>
      <c r="F80" s="9" t="s">
        <v>111</v>
      </c>
      <c r="G80" s="9" t="s">
        <v>111</v>
      </c>
      <c r="H80" s="10">
        <v>0</v>
      </c>
      <c r="I80" s="11">
        <v>0.01</v>
      </c>
      <c r="J80" s="12" t="s">
        <v>122</v>
      </c>
      <c r="K80" s="7" t="s">
        <v>111</v>
      </c>
      <c r="L80" s="14">
        <v>10700000</v>
      </c>
      <c r="M80" s="14">
        <v>25600</v>
      </c>
      <c r="N80" s="15">
        <v>0.23925233644859814</v>
      </c>
      <c r="O80" s="16" t="s">
        <v>111</v>
      </c>
      <c r="P80" s="16" t="s">
        <v>111</v>
      </c>
      <c r="Q80" s="17">
        <v>0</v>
      </c>
      <c r="R80" s="14" t="s">
        <v>111</v>
      </c>
      <c r="S80" s="14">
        <v>1070000000</v>
      </c>
      <c r="T80" s="12" t="s">
        <v>113</v>
      </c>
      <c r="U80" s="16">
        <v>10</v>
      </c>
      <c r="V80" s="16">
        <v>10</v>
      </c>
      <c r="W80" s="18" t="s">
        <v>114</v>
      </c>
      <c r="X80" s="16">
        <v>3.5</v>
      </c>
      <c r="Y80" s="19">
        <v>43285</v>
      </c>
      <c r="Z80" s="8" t="s">
        <v>111</v>
      </c>
      <c r="AA80" s="8" t="s">
        <v>111</v>
      </c>
      <c r="AB80" s="8" t="s">
        <v>111</v>
      </c>
      <c r="AC80" s="8" t="s">
        <v>111</v>
      </c>
      <c r="AD80" s="8" t="s">
        <v>111</v>
      </c>
      <c r="AE80" s="20" t="s">
        <v>111</v>
      </c>
      <c r="AF80" s="20" t="s">
        <v>111</v>
      </c>
      <c r="AG80" s="8" t="s">
        <v>111</v>
      </c>
      <c r="AH80" s="8" t="s">
        <v>111</v>
      </c>
      <c r="AI80" s="8" t="s">
        <v>111</v>
      </c>
      <c r="AJ80" s="8" t="s">
        <v>111</v>
      </c>
      <c r="AK80" s="8" t="s">
        <v>111</v>
      </c>
      <c r="AL80" s="8" t="s">
        <v>111</v>
      </c>
      <c r="AM80" s="8" t="s">
        <v>111</v>
      </c>
      <c r="AN80" s="8">
        <v>0</v>
      </c>
      <c r="AO80" s="8" t="s">
        <v>111</v>
      </c>
      <c r="AP80" s="8" t="s">
        <v>111</v>
      </c>
      <c r="AQ80" s="8" t="s">
        <v>111</v>
      </c>
      <c r="AR80" s="21" t="s">
        <v>111</v>
      </c>
      <c r="AS80" s="16" t="s">
        <v>111</v>
      </c>
      <c r="AT80" s="16" t="s">
        <v>111</v>
      </c>
      <c r="AU80" s="22" t="s">
        <v>115</v>
      </c>
      <c r="AV80" s="22" t="s">
        <v>111</v>
      </c>
      <c r="AW80" s="31" t="s">
        <v>111</v>
      </c>
    </row>
    <row r="81" spans="1:49" ht="13.2" x14ac:dyDescent="0.25">
      <c r="A81" s="65">
        <v>78</v>
      </c>
      <c r="B81" s="5" t="s">
        <v>348</v>
      </c>
      <c r="C81" s="56" t="s">
        <v>185</v>
      </c>
      <c r="D81" s="7" t="s">
        <v>110</v>
      </c>
      <c r="E81" s="8">
        <v>2</v>
      </c>
      <c r="F81" s="9">
        <v>200</v>
      </c>
      <c r="G81" s="9">
        <v>200</v>
      </c>
      <c r="H81" s="10">
        <v>4</v>
      </c>
      <c r="I81" s="11">
        <v>0.01</v>
      </c>
      <c r="J81" s="12" t="s">
        <v>122</v>
      </c>
      <c r="K81" s="7" t="s">
        <v>111</v>
      </c>
      <c r="L81" s="14">
        <v>2290000</v>
      </c>
      <c r="M81" s="14">
        <v>5210</v>
      </c>
      <c r="N81" s="15">
        <v>0.22751091703056767</v>
      </c>
      <c r="O81" s="16" t="s">
        <v>111</v>
      </c>
      <c r="P81" s="16" t="s">
        <v>111</v>
      </c>
      <c r="Q81" s="17">
        <v>0.76780000000000004</v>
      </c>
      <c r="R81" s="14">
        <v>10420</v>
      </c>
      <c r="S81" s="14">
        <v>229000000</v>
      </c>
      <c r="T81" s="12" t="s">
        <v>146</v>
      </c>
      <c r="U81" s="7">
        <v>100</v>
      </c>
      <c r="V81" s="7">
        <v>100</v>
      </c>
      <c r="W81" s="18" t="s">
        <v>114</v>
      </c>
      <c r="X81" s="7">
        <v>2</v>
      </c>
      <c r="Y81" s="19">
        <v>43160</v>
      </c>
      <c r="Z81" s="30">
        <v>0.5</v>
      </c>
      <c r="AA81" s="8">
        <v>500000</v>
      </c>
      <c r="AB81" s="8" t="s">
        <v>111</v>
      </c>
      <c r="AC81" s="8" t="s">
        <v>111</v>
      </c>
      <c r="AD81" s="8" t="s">
        <v>111</v>
      </c>
      <c r="AE81" s="20" t="s">
        <v>111</v>
      </c>
      <c r="AF81" s="20" t="s">
        <v>111</v>
      </c>
      <c r="AG81" s="8" t="s">
        <v>111</v>
      </c>
      <c r="AH81" s="8" t="s">
        <v>111</v>
      </c>
      <c r="AI81" s="8" t="s">
        <v>111</v>
      </c>
      <c r="AJ81" s="8" t="s">
        <v>111</v>
      </c>
      <c r="AK81" s="8" t="s">
        <v>111</v>
      </c>
      <c r="AL81" s="8" t="s">
        <v>111</v>
      </c>
      <c r="AM81" s="8" t="s">
        <v>111</v>
      </c>
      <c r="AN81" s="8">
        <v>3</v>
      </c>
      <c r="AO81" s="8" t="s">
        <v>111</v>
      </c>
      <c r="AP81" s="8" t="s">
        <v>111</v>
      </c>
      <c r="AQ81" s="8" t="s">
        <v>111</v>
      </c>
      <c r="AR81" s="21" t="s">
        <v>111</v>
      </c>
      <c r="AS81" s="16" t="s">
        <v>111</v>
      </c>
      <c r="AT81" s="16" t="s">
        <v>111</v>
      </c>
      <c r="AU81" s="22" t="s">
        <v>291</v>
      </c>
      <c r="AV81" s="22" t="s">
        <v>111</v>
      </c>
      <c r="AW81" s="22"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Namz</dc:creator>
  <cp:lastModifiedBy>Namz</cp:lastModifiedBy>
  <dcterms:created xsi:type="dcterms:W3CDTF">2020-02-20T14:30:01Z</dcterms:created>
  <dcterms:modified xsi:type="dcterms:W3CDTF">2020-02-20T14:30:23Z</dcterms:modified>
</cp:coreProperties>
</file>