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mundhe\Desktop\"/>
    </mc:Choice>
  </mc:AlternateContent>
  <bookViews>
    <workbookView xWindow="240" yWindow="45" windowWidth="20115" windowHeight="7995" activeTab="9"/>
  </bookViews>
  <sheets>
    <sheet name="2017" sheetId="8" r:id="rId1"/>
    <sheet name="Feb" sheetId="1" r:id="rId2"/>
    <sheet name="Mar" sheetId="2" r:id="rId3"/>
    <sheet name="Apr" sheetId="4" r:id="rId4"/>
    <sheet name="May" sheetId="5" r:id="rId5"/>
    <sheet name="June" sheetId="6" r:id="rId6"/>
    <sheet name="july" sheetId="7" r:id="rId7"/>
    <sheet name="Aug" sheetId="9" r:id="rId8"/>
    <sheet name="Sep" sheetId="11" r:id="rId9"/>
    <sheet name="Oct" sheetId="13" r:id="rId10"/>
    <sheet name="Sheet1" sheetId="10" r:id="rId11"/>
  </sheets>
  <calcPr calcId="152511"/>
</workbook>
</file>

<file path=xl/calcChain.xml><?xml version="1.0" encoding="utf-8"?>
<calcChain xmlns="http://schemas.openxmlformats.org/spreadsheetml/2006/main">
  <c r="H3" i="13" l="1"/>
  <c r="I3" i="13" s="1"/>
  <c r="F3" i="13"/>
  <c r="C3" i="13"/>
  <c r="D3" i="13" s="1"/>
  <c r="Y3" i="13"/>
  <c r="X3" i="13"/>
  <c r="V3" i="13"/>
  <c r="R3" i="13"/>
  <c r="P3" i="13"/>
  <c r="M3" i="13"/>
  <c r="L3" i="13"/>
  <c r="X2" i="13"/>
  <c r="V2" i="13"/>
  <c r="R2" i="13"/>
  <c r="P2" i="13"/>
  <c r="I2" i="13"/>
  <c r="M2" i="13"/>
  <c r="L2" i="13"/>
  <c r="H2" i="13"/>
  <c r="F2" i="13"/>
  <c r="D2" i="13"/>
  <c r="C2" i="13"/>
  <c r="X26" i="11"/>
  <c r="Y26" i="11" s="1"/>
  <c r="V26" i="11"/>
  <c r="S26" i="11"/>
  <c r="R26" i="11"/>
  <c r="P26" i="11"/>
  <c r="L26" i="11"/>
  <c r="M26" i="11" s="1"/>
  <c r="H26" i="11"/>
  <c r="I26" i="11" s="1"/>
  <c r="F26" i="11"/>
  <c r="D26" i="11"/>
  <c r="C26" i="11"/>
  <c r="S3" i="13" l="1"/>
  <c r="Z3" i="13"/>
  <c r="Y2" i="13"/>
  <c r="Z2" i="13" s="1"/>
  <c r="S2" i="13"/>
  <c r="Z26" i="11"/>
  <c r="H25" i="11"/>
  <c r="I25" i="11" s="1"/>
  <c r="F25" i="11"/>
  <c r="C25" i="11"/>
  <c r="D25" i="11" s="1"/>
  <c r="X25" i="11"/>
  <c r="V25" i="11"/>
  <c r="Y25" i="11" s="1"/>
  <c r="R25" i="11"/>
  <c r="P25" i="11"/>
  <c r="L25" i="11"/>
  <c r="M25" i="11" s="1"/>
  <c r="S25" i="11" l="1"/>
  <c r="Z25" i="11"/>
  <c r="AC24" i="11"/>
  <c r="X24" i="11"/>
  <c r="V24" i="11"/>
  <c r="R24" i="11"/>
  <c r="P24" i="11"/>
  <c r="L24" i="11"/>
  <c r="M24" i="11" s="1"/>
  <c r="H24" i="11"/>
  <c r="F24" i="11"/>
  <c r="I24" i="11" s="1"/>
  <c r="C24" i="11"/>
  <c r="D24" i="11" s="1"/>
  <c r="H21" i="11"/>
  <c r="I21" i="11" s="1"/>
  <c r="Z21" i="11" s="1"/>
  <c r="F21" i="11"/>
  <c r="X23" i="11"/>
  <c r="V23" i="11"/>
  <c r="X21" i="11"/>
  <c r="Y21" i="11" s="1"/>
  <c r="V21" i="11"/>
  <c r="R21" i="11"/>
  <c r="S21" i="11" s="1"/>
  <c r="P21" i="11"/>
  <c r="L21" i="11"/>
  <c r="M21" i="11" s="1"/>
  <c r="C21" i="11"/>
  <c r="D21" i="11" s="1"/>
  <c r="Y24" i="11" l="1"/>
  <c r="S24" i="11"/>
  <c r="Z24" i="11" s="1"/>
  <c r="Y20" i="11"/>
  <c r="Z20" i="11" s="1"/>
  <c r="X20" i="11"/>
  <c r="V20" i="11"/>
  <c r="R20" i="11"/>
  <c r="S20" i="11" s="1"/>
  <c r="P20" i="11"/>
  <c r="M20" i="11"/>
  <c r="L20" i="11"/>
  <c r="I20" i="11"/>
  <c r="H20" i="11"/>
  <c r="F20" i="11"/>
  <c r="C20" i="11"/>
  <c r="D20" i="11"/>
  <c r="H19" i="11" l="1"/>
  <c r="I19" i="11"/>
  <c r="F19" i="11"/>
  <c r="C19" i="11"/>
  <c r="D19" i="11"/>
  <c r="X19" i="11"/>
  <c r="Y19" i="11" s="1"/>
  <c r="V19" i="11"/>
  <c r="R19" i="11"/>
  <c r="S19" i="11"/>
  <c r="P19" i="11"/>
  <c r="L19" i="11"/>
  <c r="M19" i="11" s="1"/>
  <c r="Z19" i="11" l="1"/>
  <c r="H18" i="11"/>
  <c r="F18" i="11"/>
  <c r="I18" i="11" s="1"/>
  <c r="C18" i="11"/>
  <c r="D18" i="11" s="1"/>
  <c r="X18" i="11"/>
  <c r="Y18" i="11"/>
  <c r="V18" i="11"/>
  <c r="R18" i="11"/>
  <c r="S18" i="11" s="1"/>
  <c r="P18" i="11"/>
  <c r="L18" i="11"/>
  <c r="M18" i="11"/>
  <c r="Z18" i="11" l="1"/>
  <c r="H17" i="11"/>
  <c r="F17" i="11"/>
  <c r="I17" i="11" s="1"/>
  <c r="C17" i="11"/>
  <c r="D17" i="11"/>
  <c r="X17" i="11"/>
  <c r="Y17" i="11"/>
  <c r="V17" i="11"/>
  <c r="R17" i="11"/>
  <c r="S17" i="11"/>
  <c r="P17" i="11"/>
  <c r="L17" i="11"/>
  <c r="M17" i="11" s="1"/>
  <c r="Z17" i="11" l="1"/>
  <c r="H16" i="11"/>
  <c r="F16" i="11"/>
  <c r="C16" i="11"/>
  <c r="D16" i="11" s="1"/>
  <c r="X16" i="11"/>
  <c r="V16" i="11"/>
  <c r="R16" i="11"/>
  <c r="P16" i="11"/>
  <c r="L16" i="11"/>
  <c r="M16" i="11" s="1"/>
  <c r="I16" i="11" l="1"/>
  <c r="Z16" i="11" s="1"/>
  <c r="Y16" i="11"/>
  <c r="S16" i="11"/>
  <c r="H15" i="11"/>
  <c r="F15" i="11"/>
  <c r="C15" i="11"/>
  <c r="D15" i="11" s="1"/>
  <c r="X15" i="11"/>
  <c r="V15" i="11"/>
  <c r="R15" i="11"/>
  <c r="S15" i="11" s="1"/>
  <c r="P15" i="11"/>
  <c r="L15" i="11"/>
  <c r="M15" i="11" s="1"/>
  <c r="I15" i="11" l="1"/>
  <c r="Y15" i="11"/>
  <c r="Z15" i="11" s="1"/>
  <c r="H14" i="11"/>
  <c r="F14" i="11"/>
  <c r="C14" i="11"/>
  <c r="D14" i="11" s="1"/>
  <c r="X14" i="11"/>
  <c r="V14" i="11"/>
  <c r="Y14" i="11" s="1"/>
  <c r="R14" i="11"/>
  <c r="S14" i="11" s="1"/>
  <c r="P14" i="11"/>
  <c r="L14" i="11"/>
  <c r="M14" i="11" s="1"/>
  <c r="I14" i="11" l="1"/>
  <c r="Z14" i="11"/>
  <c r="H13" i="11"/>
  <c r="I13" i="11" s="1"/>
  <c r="F13" i="11"/>
  <c r="C13" i="11"/>
  <c r="D13" i="11" s="1"/>
  <c r="X13" i="11"/>
  <c r="Y13" i="11" s="1"/>
  <c r="V13" i="11"/>
  <c r="R13" i="11"/>
  <c r="P13" i="11"/>
  <c r="L13" i="11"/>
  <c r="M13" i="11" s="1"/>
  <c r="Z13" i="11" l="1"/>
  <c r="S13" i="11"/>
  <c r="X12" i="11"/>
  <c r="Y12" i="11" s="1"/>
  <c r="Z12" i="11" s="1"/>
  <c r="V12" i="11"/>
  <c r="S12" i="11"/>
  <c r="R12" i="11"/>
  <c r="P12" i="11"/>
  <c r="H12" i="11"/>
  <c r="I12" i="11"/>
  <c r="F12" i="11"/>
  <c r="H9" i="11"/>
  <c r="F9" i="11"/>
  <c r="I9" i="11" s="1"/>
  <c r="C9" i="11"/>
  <c r="D9" i="11"/>
  <c r="X9" i="11"/>
  <c r="Y9" i="11" s="1"/>
  <c r="V9" i="11"/>
  <c r="R9" i="11"/>
  <c r="P9" i="11"/>
  <c r="S9" i="11" s="1"/>
  <c r="L9" i="11"/>
  <c r="M9" i="11"/>
  <c r="Z9" i="11" l="1"/>
  <c r="H8" i="11"/>
  <c r="I8" i="11"/>
  <c r="F8" i="11"/>
  <c r="C8" i="11"/>
  <c r="D8" i="11" s="1"/>
  <c r="X8" i="11"/>
  <c r="V8" i="11"/>
  <c r="R8" i="11"/>
  <c r="P8" i="11"/>
  <c r="L8" i="11"/>
  <c r="M8" i="11"/>
  <c r="S8" i="11" l="1"/>
  <c r="Y8" i="11"/>
  <c r="X7" i="11"/>
  <c r="Y7" i="11"/>
  <c r="V7" i="11"/>
  <c r="R7" i="11"/>
  <c r="P7" i="11"/>
  <c r="S7" i="11" s="1"/>
  <c r="L7" i="11"/>
  <c r="M7" i="11" s="1"/>
  <c r="H7" i="11"/>
  <c r="I7" i="11"/>
  <c r="F7" i="11"/>
  <c r="C7" i="11"/>
  <c r="D7" i="11"/>
  <c r="Z8" i="11" l="1"/>
  <c r="Z7" i="11"/>
  <c r="X6" i="11"/>
  <c r="Y6" i="11"/>
  <c r="V6" i="11"/>
  <c r="R6" i="11"/>
  <c r="P6" i="11"/>
  <c r="S6" i="11" s="1"/>
  <c r="L6" i="11"/>
  <c r="M6" i="11" s="1"/>
  <c r="H6" i="11"/>
  <c r="I6" i="11" s="1"/>
  <c r="F6" i="11"/>
  <c r="C6" i="11"/>
  <c r="D6" i="11" s="1"/>
  <c r="Z6" i="11" l="1"/>
  <c r="H5" i="11"/>
  <c r="I5" i="11" s="1"/>
  <c r="F5" i="11"/>
  <c r="C5" i="11"/>
  <c r="D5" i="11" s="1"/>
  <c r="Y5" i="11"/>
  <c r="X5" i="11"/>
  <c r="V5" i="11"/>
  <c r="R5" i="11"/>
  <c r="S5" i="11" s="1"/>
  <c r="P5" i="11"/>
  <c r="L5" i="11"/>
  <c r="M5" i="11" s="1"/>
  <c r="Z5" i="11" l="1"/>
  <c r="H4" i="11"/>
  <c r="F4" i="11"/>
  <c r="C4" i="11"/>
  <c r="D4" i="11" s="1"/>
  <c r="X4" i="11"/>
  <c r="V4" i="11"/>
  <c r="Y4" i="11" s="1"/>
  <c r="R4" i="11"/>
  <c r="P4" i="11"/>
  <c r="L4" i="11"/>
  <c r="M4" i="11" s="1"/>
  <c r="I4" i="11" l="1"/>
  <c r="S4" i="11"/>
  <c r="Z4" i="11" s="1"/>
  <c r="S2" i="11"/>
  <c r="X3" i="11"/>
  <c r="Y3" i="11" s="1"/>
  <c r="V3" i="11"/>
  <c r="R3" i="11"/>
  <c r="S3" i="11" s="1"/>
  <c r="P3" i="11"/>
  <c r="I3" i="11"/>
  <c r="H3" i="11"/>
  <c r="F3" i="11"/>
  <c r="C3" i="11"/>
  <c r="D3" i="11" s="1"/>
  <c r="Z2" i="11"/>
  <c r="X2" i="11"/>
  <c r="V2" i="11"/>
  <c r="R2" i="11"/>
  <c r="P2" i="11"/>
  <c r="L3" i="11"/>
  <c r="M3" i="11" s="1"/>
  <c r="L2" i="11"/>
  <c r="M2" i="11" s="1"/>
  <c r="H2" i="11"/>
  <c r="F2" i="11"/>
  <c r="C2" i="11"/>
  <c r="D2" i="11" s="1"/>
  <c r="Z3" i="11" l="1"/>
  <c r="Y2" i="11"/>
  <c r="I2" i="11"/>
  <c r="Y67" i="9"/>
  <c r="Z67" i="9" s="1"/>
  <c r="AA67" i="9" s="1"/>
  <c r="W67" i="9"/>
  <c r="T67" i="9"/>
  <c r="U67" i="9" s="1"/>
  <c r="N67" i="9"/>
  <c r="O67" i="9" s="1"/>
  <c r="L67" i="9"/>
  <c r="H67" i="9"/>
  <c r="I67" i="9" s="1"/>
  <c r="F67" i="9"/>
  <c r="C67" i="9"/>
  <c r="D67" i="9" s="1"/>
  <c r="H66" i="9" l="1"/>
  <c r="I66" i="9" s="1"/>
  <c r="F66" i="9"/>
  <c r="C66" i="9"/>
  <c r="D66" i="9" s="1"/>
  <c r="N66" i="9"/>
  <c r="O66" i="9" s="1"/>
  <c r="L66" i="9"/>
  <c r="Y66" i="9"/>
  <c r="Z66" i="9" s="1"/>
  <c r="W66" i="9"/>
  <c r="T66" i="9"/>
  <c r="U66" i="9" s="1"/>
  <c r="H65" i="9"/>
  <c r="I65" i="9"/>
  <c r="F65" i="9"/>
  <c r="N63" i="9"/>
  <c r="O63" i="9"/>
  <c r="L63" i="9"/>
  <c r="H63" i="9"/>
  <c r="F63" i="9"/>
  <c r="C63" i="9"/>
  <c r="D63" i="9" s="1"/>
  <c r="Y63" i="9"/>
  <c r="Z63" i="9" s="1"/>
  <c r="W63" i="9"/>
  <c r="T63" i="9"/>
  <c r="U63" i="9" s="1"/>
  <c r="AA66" i="9" l="1"/>
  <c r="I63" i="9"/>
  <c r="AA63" i="9"/>
  <c r="H62" i="9"/>
  <c r="F62" i="9"/>
  <c r="C62" i="9"/>
  <c r="D62" i="9" s="1"/>
  <c r="Y62" i="9"/>
  <c r="W62" i="9"/>
  <c r="N62" i="9"/>
  <c r="L62" i="9"/>
  <c r="T62" i="9"/>
  <c r="U62" i="9" s="1"/>
  <c r="O62" i="9" l="1"/>
  <c r="I62" i="9"/>
  <c r="Z62" i="9"/>
  <c r="Y61" i="9"/>
  <c r="W61" i="9"/>
  <c r="T61" i="9"/>
  <c r="U61" i="9" s="1"/>
  <c r="N61" i="9"/>
  <c r="L61" i="9"/>
  <c r="H61" i="9"/>
  <c r="I61" i="9" s="1"/>
  <c r="F61" i="9"/>
  <c r="C61" i="9"/>
  <c r="D61" i="9" s="1"/>
  <c r="AA62" i="9" l="1"/>
  <c r="O61" i="9"/>
  <c r="Z61" i="9"/>
  <c r="AA61" i="9" s="1"/>
  <c r="Z60" i="9"/>
  <c r="AA60" i="9" s="1"/>
  <c r="Y60" i="9"/>
  <c r="W60" i="9"/>
  <c r="T60" i="9"/>
  <c r="U60" i="9" s="1"/>
  <c r="N60" i="9"/>
  <c r="O60" i="9" s="1"/>
  <c r="L60" i="9"/>
  <c r="H60" i="9"/>
  <c r="I60" i="9" s="1"/>
  <c r="F60" i="9"/>
  <c r="C60" i="9"/>
  <c r="D60" i="9" s="1"/>
  <c r="O59" i="9"/>
  <c r="N59" i="9"/>
  <c r="O57" i="9"/>
  <c r="L59" i="9"/>
  <c r="L57" i="9"/>
  <c r="L56" i="9"/>
  <c r="H54" i="9"/>
  <c r="I54" i="9" s="1"/>
  <c r="F54" i="9"/>
  <c r="N54" i="9"/>
  <c r="L54" i="9"/>
  <c r="C54" i="9"/>
  <c r="D54" i="9" s="1"/>
  <c r="Y54" i="9"/>
  <c r="Z54" i="9" s="1"/>
  <c r="W54" i="9"/>
  <c r="T54" i="9"/>
  <c r="U54" i="9" s="1"/>
  <c r="O54" i="9" l="1"/>
  <c r="AA54" i="9"/>
  <c r="N53" i="9"/>
  <c r="O53" i="9"/>
  <c r="L53" i="9"/>
  <c r="N51" i="9"/>
  <c r="O51" i="9"/>
  <c r="L51" i="9"/>
  <c r="O1" i="10"/>
  <c r="O2" i="10"/>
  <c r="O3" i="10"/>
  <c r="O6" i="10"/>
  <c r="O5" i="10"/>
  <c r="O4" i="10"/>
  <c r="P13" i="10"/>
  <c r="P14" i="10"/>
  <c r="M6" i="10"/>
  <c r="N6" i="10"/>
  <c r="M5" i="10"/>
  <c r="N5" i="10"/>
  <c r="M4" i="10"/>
  <c r="N4" i="10" s="1"/>
  <c r="M3" i="10"/>
  <c r="N3" i="10" s="1"/>
  <c r="M2" i="10"/>
  <c r="N2" i="10" s="1"/>
  <c r="N1" i="10"/>
  <c r="M1" i="10"/>
  <c r="H50" i="9" l="1"/>
  <c r="F50" i="9"/>
  <c r="C50" i="9"/>
  <c r="D50" i="9" s="1"/>
  <c r="N50" i="9"/>
  <c r="O50" i="9" s="1"/>
  <c r="L50" i="9"/>
  <c r="Y50" i="9"/>
  <c r="Z50" i="9" s="1"/>
  <c r="W50" i="9"/>
  <c r="T50" i="9"/>
  <c r="U50" i="9" s="1"/>
  <c r="I50" i="9" l="1"/>
  <c r="AA50" i="9"/>
  <c r="H49" i="9"/>
  <c r="I49" i="9" s="1"/>
  <c r="F49" i="9"/>
  <c r="C49" i="9"/>
  <c r="D49" i="9" s="1"/>
  <c r="N49" i="9"/>
  <c r="O49" i="9" s="1"/>
  <c r="L49" i="9"/>
  <c r="Y49" i="9"/>
  <c r="Z49" i="9" s="1"/>
  <c r="W49" i="9"/>
  <c r="T49" i="9"/>
  <c r="U49" i="9" s="1"/>
  <c r="AA49" i="9" l="1"/>
  <c r="H48" i="9"/>
  <c r="F48" i="9"/>
  <c r="N48" i="9"/>
  <c r="O48" i="9" s="1"/>
  <c r="L48" i="9"/>
  <c r="C48" i="9"/>
  <c r="D48" i="9" s="1"/>
  <c r="Y48" i="9"/>
  <c r="W48" i="9"/>
  <c r="T48" i="9"/>
  <c r="U48" i="9" s="1"/>
  <c r="Z48" i="9" l="1"/>
  <c r="I48" i="9"/>
  <c r="AA48" i="9" s="1"/>
  <c r="Y47" i="9"/>
  <c r="W47" i="9"/>
  <c r="Z47" i="9" s="1"/>
  <c r="T47" i="9"/>
  <c r="U47" i="9" s="1"/>
  <c r="N47" i="9"/>
  <c r="L47" i="9"/>
  <c r="O47" i="9" s="1"/>
  <c r="H47" i="9"/>
  <c r="F47" i="9"/>
  <c r="C47" i="9"/>
  <c r="D47" i="9" s="1"/>
  <c r="Y46" i="9"/>
  <c r="W46" i="9"/>
  <c r="Z44" i="9"/>
  <c r="AA44" i="9" s="1"/>
  <c r="Y44" i="9"/>
  <c r="W44" i="9"/>
  <c r="T44" i="9"/>
  <c r="U44" i="9" s="1"/>
  <c r="N44" i="9"/>
  <c r="O44" i="9" s="1"/>
  <c r="L44" i="9"/>
  <c r="H44" i="9"/>
  <c r="I44" i="9" s="1"/>
  <c r="F44" i="9"/>
  <c r="C44" i="9"/>
  <c r="D44" i="9" s="1"/>
  <c r="I47" i="9" l="1"/>
  <c r="AA47" i="9"/>
  <c r="Y43" i="9"/>
  <c r="W43" i="9"/>
  <c r="T43" i="9"/>
  <c r="U43" i="9" s="1"/>
  <c r="N43" i="9"/>
  <c r="L43" i="9"/>
  <c r="H43" i="9"/>
  <c r="F43" i="9"/>
  <c r="C43" i="9"/>
  <c r="D43" i="9" s="1"/>
  <c r="N42" i="9"/>
  <c r="L42" i="9"/>
  <c r="O42" i="9" s="1"/>
  <c r="H40" i="9"/>
  <c r="F40" i="9"/>
  <c r="Y40" i="9"/>
  <c r="W40" i="9"/>
  <c r="T40" i="9"/>
  <c r="U40" i="9" s="1"/>
  <c r="C40" i="9"/>
  <c r="D40" i="9" s="1"/>
  <c r="L40" i="9"/>
  <c r="O40" i="9" s="1"/>
  <c r="Z43" i="9" l="1"/>
  <c r="Z40" i="9"/>
  <c r="I43" i="9"/>
  <c r="I40" i="9"/>
  <c r="O43" i="9"/>
  <c r="AA43" i="9" s="1"/>
  <c r="Y39" i="9"/>
  <c r="W39" i="9"/>
  <c r="T39" i="9"/>
  <c r="U39" i="9" s="1"/>
  <c r="L39" i="9"/>
  <c r="O39" i="9" s="1"/>
  <c r="H39" i="9"/>
  <c r="I39" i="9" s="1"/>
  <c r="F39" i="9"/>
  <c r="C39" i="9"/>
  <c r="D39" i="9" s="1"/>
  <c r="AA40" i="9" l="1"/>
  <c r="Z39" i="9"/>
  <c r="AA39" i="9" s="1"/>
  <c r="L38" i="9"/>
  <c r="N36" i="9"/>
  <c r="O36" i="9" s="1"/>
  <c r="L36" i="9"/>
  <c r="Y35" i="9" l="1"/>
  <c r="W35" i="9"/>
  <c r="T35" i="9"/>
  <c r="U35" i="9" s="1"/>
  <c r="N35" i="9"/>
  <c r="L35" i="9"/>
  <c r="H35" i="9"/>
  <c r="F35" i="9"/>
  <c r="C35" i="9"/>
  <c r="D35" i="9" s="1"/>
  <c r="I35" i="9" l="1"/>
  <c r="Z35" i="9"/>
  <c r="O35" i="9"/>
  <c r="Y34" i="9"/>
  <c r="W34" i="9"/>
  <c r="Z34" i="9" s="1"/>
  <c r="T34" i="9"/>
  <c r="U34" i="9" s="1"/>
  <c r="N34" i="9"/>
  <c r="L34" i="9"/>
  <c r="H34" i="9"/>
  <c r="F34" i="9"/>
  <c r="C34" i="9"/>
  <c r="D34" i="9"/>
  <c r="AA35" i="9" l="1"/>
  <c r="I34" i="9"/>
  <c r="O34" i="9"/>
  <c r="H33" i="9"/>
  <c r="F33" i="9"/>
  <c r="N33" i="9"/>
  <c r="O33" i="9" s="1"/>
  <c r="L33" i="9"/>
  <c r="C33" i="9"/>
  <c r="D33" i="9" s="1"/>
  <c r="Y33" i="9"/>
  <c r="Z33" i="9" s="1"/>
  <c r="W33" i="9"/>
  <c r="T33" i="9"/>
  <c r="U33" i="9" s="1"/>
  <c r="I33" i="9" l="1"/>
  <c r="AA34" i="9"/>
  <c r="AA33" i="9"/>
  <c r="Y32" i="9"/>
  <c r="W32" i="9"/>
  <c r="T32" i="9"/>
  <c r="U32" i="9" s="1"/>
  <c r="N32" i="9"/>
  <c r="O32" i="9" s="1"/>
  <c r="L32" i="9"/>
  <c r="C32" i="9"/>
  <c r="D32" i="9" s="1"/>
  <c r="H32" i="9"/>
  <c r="F32" i="9"/>
  <c r="H30" i="9"/>
  <c r="F30" i="9"/>
  <c r="N30" i="9"/>
  <c r="L30" i="9"/>
  <c r="Y30" i="9"/>
  <c r="W30" i="9"/>
  <c r="T30" i="9"/>
  <c r="U30" i="9" s="1"/>
  <c r="C30" i="9"/>
  <c r="D30" i="9" s="1"/>
  <c r="I32" i="9" l="1"/>
  <c r="Z30" i="9"/>
  <c r="I30" i="9"/>
  <c r="Z32" i="9"/>
  <c r="AA32" i="9"/>
  <c r="O30" i="9"/>
  <c r="Y29" i="9"/>
  <c r="W29" i="9"/>
  <c r="Z29" i="9" s="1"/>
  <c r="T29" i="9"/>
  <c r="U29" i="9" s="1"/>
  <c r="H29" i="9"/>
  <c r="F29" i="9"/>
  <c r="AC31" i="9"/>
  <c r="C29" i="9"/>
  <c r="D29" i="9" s="1"/>
  <c r="N29" i="9"/>
  <c r="L29" i="9"/>
  <c r="N27" i="9"/>
  <c r="O27" i="9" s="1"/>
  <c r="Y26" i="9"/>
  <c r="W26" i="9"/>
  <c r="T26" i="9"/>
  <c r="U26" i="9" s="1"/>
  <c r="H26" i="9"/>
  <c r="F26" i="9"/>
  <c r="C26" i="9"/>
  <c r="D26" i="9" s="1"/>
  <c r="N26" i="9"/>
  <c r="O26" i="9" s="1"/>
  <c r="N24" i="9"/>
  <c r="O24" i="9" s="1"/>
  <c r="I26" i="9" l="1"/>
  <c r="O29" i="9"/>
  <c r="AA29" i="9" s="1"/>
  <c r="I29" i="9"/>
  <c r="AA30" i="9"/>
  <c r="Z26" i="9"/>
  <c r="N23" i="9"/>
  <c r="O23" i="9" s="1"/>
  <c r="Y21" i="9"/>
  <c r="W21" i="9"/>
  <c r="T21" i="9"/>
  <c r="U21" i="9" s="1"/>
  <c r="N21" i="9"/>
  <c r="O21" i="9" s="1"/>
  <c r="H21" i="9"/>
  <c r="F21" i="9"/>
  <c r="C21" i="9"/>
  <c r="D21" i="9" s="1"/>
  <c r="AA26" i="9" l="1"/>
  <c r="I21" i="9"/>
  <c r="Z21" i="9"/>
  <c r="Y20" i="9"/>
  <c r="W20" i="9"/>
  <c r="T20" i="9"/>
  <c r="U20" i="9" s="1"/>
  <c r="N20" i="9"/>
  <c r="O20" i="9" s="1"/>
  <c r="H20" i="9"/>
  <c r="F20" i="9"/>
  <c r="C20" i="9"/>
  <c r="D20" i="9" s="1"/>
  <c r="N19" i="9"/>
  <c r="Z20" i="9" l="1"/>
  <c r="AA21" i="9"/>
  <c r="I20" i="9"/>
  <c r="AA20" i="9" s="1"/>
  <c r="H17" i="9"/>
  <c r="I17" i="9" s="1"/>
  <c r="F17" i="9"/>
  <c r="C17" i="9"/>
  <c r="D17" i="9" s="1"/>
  <c r="N17" i="9"/>
  <c r="L17" i="9"/>
  <c r="O17" i="9" s="1"/>
  <c r="Y17" i="9"/>
  <c r="W17" i="9"/>
  <c r="T17" i="9"/>
  <c r="U17" i="9" s="1"/>
  <c r="Z17" i="9" l="1"/>
  <c r="AA17" i="9" s="1"/>
  <c r="H16" i="9"/>
  <c r="F16" i="9"/>
  <c r="N16" i="9"/>
  <c r="L16" i="9"/>
  <c r="C16" i="9"/>
  <c r="D16" i="9" s="1"/>
  <c r="Y16" i="9"/>
  <c r="W16" i="9"/>
  <c r="T16" i="9"/>
  <c r="U16" i="9" s="1"/>
  <c r="Z16" i="9" l="1"/>
  <c r="AA16" i="9" s="1"/>
  <c r="I16" i="9"/>
  <c r="O16" i="9"/>
  <c r="H15" i="9"/>
  <c r="F15" i="9"/>
  <c r="C15" i="9"/>
  <c r="D15" i="9" s="1"/>
  <c r="N15" i="9"/>
  <c r="L15" i="9"/>
  <c r="Y15" i="9"/>
  <c r="W15" i="9"/>
  <c r="T15" i="9"/>
  <c r="U15" i="9" s="1"/>
  <c r="Z15" i="9" l="1"/>
  <c r="I15" i="9"/>
  <c r="O15" i="9"/>
  <c r="AA15" i="9" s="1"/>
  <c r="H14" i="9"/>
  <c r="F14" i="9"/>
  <c r="N14" i="9"/>
  <c r="L14" i="9"/>
  <c r="C14" i="9"/>
  <c r="D14" i="9" s="1"/>
  <c r="Y14" i="9"/>
  <c r="Z14" i="9" s="1"/>
  <c r="W14" i="9"/>
  <c r="T14" i="9"/>
  <c r="U14" i="9" s="1"/>
  <c r="I14" i="9" l="1"/>
  <c r="O14" i="9"/>
  <c r="AA14" i="9"/>
  <c r="Y13" i="9"/>
  <c r="W13" i="9"/>
  <c r="T13" i="9"/>
  <c r="U13" i="9" s="1"/>
  <c r="N13" i="9"/>
  <c r="L13" i="9"/>
  <c r="H13" i="9"/>
  <c r="I13" i="9" s="1"/>
  <c r="F13" i="9"/>
  <c r="N12" i="9"/>
  <c r="O12" i="9" s="1"/>
  <c r="L12" i="9"/>
  <c r="C13" i="9"/>
  <c r="D13" i="9" s="1"/>
  <c r="N10" i="9"/>
  <c r="L10" i="9"/>
  <c r="O10" i="9" s="1"/>
  <c r="Z13" i="9" l="1"/>
  <c r="O13" i="9"/>
  <c r="Y9" i="9"/>
  <c r="W9" i="9"/>
  <c r="T9" i="9"/>
  <c r="U9" i="9" s="1"/>
  <c r="H9" i="9"/>
  <c r="F9" i="9"/>
  <c r="O9" i="9"/>
  <c r="L9" i="9"/>
  <c r="C9" i="9"/>
  <c r="D9" i="9" s="1"/>
  <c r="Z9" i="9" l="1"/>
  <c r="AA9" i="9" s="1"/>
  <c r="AA13" i="9"/>
  <c r="I9" i="9"/>
  <c r="H6" i="9"/>
  <c r="I6" i="9" s="1"/>
  <c r="F6" i="9"/>
  <c r="C6" i="9"/>
  <c r="D6" i="9"/>
  <c r="O8" i="9"/>
  <c r="L8" i="9"/>
  <c r="N6" i="9"/>
  <c r="L6" i="9"/>
  <c r="Y6" i="9"/>
  <c r="Z6" i="9" s="1"/>
  <c r="W6" i="9"/>
  <c r="T6" i="9"/>
  <c r="U6" i="9"/>
  <c r="O6" i="9" l="1"/>
  <c r="AA6" i="9" s="1"/>
  <c r="H5" i="9"/>
  <c r="F5" i="9"/>
  <c r="C5" i="9"/>
  <c r="D5" i="9" s="1"/>
  <c r="N5" i="9"/>
  <c r="L5" i="9"/>
  <c r="Y5" i="9"/>
  <c r="Z5" i="9" s="1"/>
  <c r="W5" i="9"/>
  <c r="T5" i="9"/>
  <c r="U5" i="9" s="1"/>
  <c r="I5" i="9" l="1"/>
  <c r="O5" i="9"/>
  <c r="AA5" i="9"/>
  <c r="H4" i="9"/>
  <c r="I4" i="9" s="1"/>
  <c r="F4" i="9"/>
  <c r="C4" i="9"/>
  <c r="D4" i="9" s="1"/>
  <c r="N4" i="9"/>
  <c r="L4" i="9"/>
  <c r="Y4" i="9"/>
  <c r="W4" i="9"/>
  <c r="T4" i="9"/>
  <c r="U4" i="9" s="1"/>
  <c r="O4" i="9" l="1"/>
  <c r="Z4" i="9"/>
  <c r="AA4" i="9" s="1"/>
  <c r="Y3" i="9"/>
  <c r="W3" i="9"/>
  <c r="T3" i="9"/>
  <c r="U3" i="9" s="1"/>
  <c r="T2" i="9"/>
  <c r="U2" i="9" s="1"/>
  <c r="N3" i="9"/>
  <c r="L3" i="9"/>
  <c r="H3" i="9"/>
  <c r="F3" i="9"/>
  <c r="C3" i="9"/>
  <c r="D3" i="9" s="1"/>
  <c r="Y2" i="9"/>
  <c r="W2" i="9"/>
  <c r="N2" i="9"/>
  <c r="O2" i="9" s="1"/>
  <c r="L2" i="9"/>
  <c r="H2" i="9"/>
  <c r="F2" i="9"/>
  <c r="C2" i="9"/>
  <c r="D2" i="9" s="1"/>
  <c r="I2" i="9" l="1"/>
  <c r="Z2" i="9"/>
  <c r="I3" i="9"/>
  <c r="Z3" i="9"/>
  <c r="O3" i="9"/>
  <c r="AA2" i="9"/>
  <c r="B13" i="8"/>
  <c r="Z38" i="7"/>
  <c r="AA38" i="7" s="1"/>
  <c r="W38" i="7"/>
  <c r="T38" i="7"/>
  <c r="U38" i="7" s="1"/>
  <c r="O38" i="7"/>
  <c r="L38" i="7"/>
  <c r="I38" i="7"/>
  <c r="F38" i="7"/>
  <c r="C38" i="7"/>
  <c r="D38" i="7" s="1"/>
  <c r="O37" i="7"/>
  <c r="L37" i="7"/>
  <c r="I37" i="7"/>
  <c r="F37" i="7"/>
  <c r="Z35" i="7"/>
  <c r="AA35" i="7" s="1"/>
  <c r="W35" i="7"/>
  <c r="T35" i="7"/>
  <c r="U35" i="7" s="1"/>
  <c r="O35" i="7"/>
  <c r="L35" i="7"/>
  <c r="I35" i="7"/>
  <c r="F35" i="7"/>
  <c r="C35" i="7"/>
  <c r="D35" i="7" s="1"/>
  <c r="W34" i="7"/>
  <c r="Z34" i="7" s="1"/>
  <c r="AA34" i="7" s="1"/>
  <c r="T34" i="7"/>
  <c r="U34" i="7" s="1"/>
  <c r="I34" i="7"/>
  <c r="L34" i="7"/>
  <c r="O34" i="7" s="1"/>
  <c r="C34" i="7"/>
  <c r="D34" i="7" s="1"/>
  <c r="F34" i="7"/>
  <c r="Z32" i="7"/>
  <c r="AA32" i="7" s="1"/>
  <c r="W32" i="7"/>
  <c r="T32" i="7"/>
  <c r="U32" i="7" s="1"/>
  <c r="O32" i="7"/>
  <c r="L32" i="7"/>
  <c r="I32" i="7"/>
  <c r="F32" i="7"/>
  <c r="C32" i="7"/>
  <c r="D32" i="7"/>
  <c r="AA3" i="9" l="1"/>
  <c r="N31" i="7"/>
  <c r="L31" i="7"/>
  <c r="F31" i="7"/>
  <c r="C31" i="7"/>
  <c r="D31" i="7" s="1"/>
  <c r="W31" i="7"/>
  <c r="Z31" i="7" s="1"/>
  <c r="T31" i="7"/>
  <c r="U31" i="7" s="1"/>
  <c r="O31" i="7" l="1"/>
  <c r="AA31" i="7"/>
  <c r="W30" i="7"/>
  <c r="Z30" i="7" s="1"/>
  <c r="T30" i="7"/>
  <c r="U30" i="7" s="1"/>
  <c r="N30" i="7"/>
  <c r="O30" i="7" s="1"/>
  <c r="L30" i="7"/>
  <c r="C30" i="7"/>
  <c r="D30" i="7" s="1"/>
  <c r="F30" i="7"/>
  <c r="I28" i="7"/>
  <c r="F28" i="7"/>
  <c r="C28" i="7"/>
  <c r="D28" i="7" s="1"/>
  <c r="AA30" i="7" l="1"/>
  <c r="W27" i="7"/>
  <c r="Z27" i="7" s="1"/>
  <c r="T27" i="7"/>
  <c r="U27" i="7" s="1"/>
  <c r="N27" i="7"/>
  <c r="O27" i="7" s="1"/>
  <c r="L27" i="7"/>
  <c r="F27" i="7"/>
  <c r="I27" i="7" s="1"/>
  <c r="C27" i="7"/>
  <c r="D27" i="7" s="1"/>
  <c r="I26" i="7"/>
  <c r="F26" i="7"/>
  <c r="H24" i="7"/>
  <c r="I24" i="7" s="1"/>
  <c r="F24" i="7"/>
  <c r="N24" i="7"/>
  <c r="O24" i="7" s="1"/>
  <c r="L24" i="7"/>
  <c r="C24" i="7"/>
  <c r="D24" i="7" s="1"/>
  <c r="Z24" i="7"/>
  <c r="W24" i="7"/>
  <c r="T24" i="7"/>
  <c r="U24" i="7" s="1"/>
  <c r="AA27" i="7" l="1"/>
  <c r="AA24" i="7"/>
  <c r="H23" i="7"/>
  <c r="I23" i="7" s="1"/>
  <c r="F23" i="7"/>
  <c r="N23" i="7"/>
  <c r="O23" i="7" s="1"/>
  <c r="L23" i="7"/>
  <c r="D23" i="7"/>
  <c r="C23" i="7"/>
  <c r="Z23" i="7"/>
  <c r="W23" i="7"/>
  <c r="T23" i="7"/>
  <c r="U23" i="7" s="1"/>
  <c r="AA23" i="7" l="1"/>
  <c r="W22" i="7"/>
  <c r="Z22" i="7" s="1"/>
  <c r="AA22" i="7" s="1"/>
  <c r="T22" i="7"/>
  <c r="U22" i="7" s="1"/>
  <c r="O22" i="7"/>
  <c r="N22" i="7"/>
  <c r="L22" i="7"/>
  <c r="H22" i="7"/>
  <c r="I22" i="7" s="1"/>
  <c r="F22" i="7"/>
  <c r="C22" i="7"/>
  <c r="D22" i="7" s="1"/>
  <c r="N21" i="7"/>
  <c r="L21" i="7"/>
  <c r="H19" i="7" l="1"/>
  <c r="F19" i="7"/>
  <c r="N19" i="7"/>
  <c r="O19" i="7"/>
  <c r="L19" i="7"/>
  <c r="C19" i="7"/>
  <c r="D19" i="7" s="1"/>
  <c r="Z19" i="7"/>
  <c r="W19" i="7"/>
  <c r="T19" i="7"/>
  <c r="U19" i="7" s="1"/>
  <c r="I19" i="7" l="1"/>
  <c r="AA19" i="7" s="1"/>
  <c r="H18" i="7"/>
  <c r="F18" i="7"/>
  <c r="I18" i="7" s="1"/>
  <c r="N18" i="7"/>
  <c r="L18" i="7"/>
  <c r="C18" i="7"/>
  <c r="D18" i="7" s="1"/>
  <c r="Z18" i="7"/>
  <c r="W18" i="7"/>
  <c r="T18" i="7"/>
  <c r="U18" i="7" s="1"/>
  <c r="O18" i="7" l="1"/>
  <c r="AA18" i="7"/>
  <c r="H17" i="7"/>
  <c r="F17" i="7"/>
  <c r="C17" i="7"/>
  <c r="D17" i="7" s="1"/>
  <c r="N17" i="7"/>
  <c r="L17" i="7"/>
  <c r="Z17" i="7"/>
  <c r="W17" i="7"/>
  <c r="T17" i="7"/>
  <c r="U17" i="7" s="1"/>
  <c r="I17" i="7" l="1"/>
  <c r="AA17" i="7" s="1"/>
  <c r="O17" i="7"/>
  <c r="H16" i="7"/>
  <c r="I16" i="7" s="1"/>
  <c r="F16" i="7"/>
  <c r="N16" i="7"/>
  <c r="O16" i="7" s="1"/>
  <c r="L16" i="7"/>
  <c r="C16" i="7"/>
  <c r="D16" i="7" s="1"/>
  <c r="Z16" i="7"/>
  <c r="W16" i="7"/>
  <c r="U16" i="7"/>
  <c r="T16" i="7"/>
  <c r="AA16" i="7" l="1"/>
  <c r="AA15" i="7"/>
  <c r="W15" i="7"/>
  <c r="T15" i="7"/>
  <c r="U15" i="7" s="1"/>
  <c r="N15" i="7"/>
  <c r="O15" i="7" s="1"/>
  <c r="L15" i="7"/>
  <c r="H15" i="7"/>
  <c r="I15" i="7" s="1"/>
  <c r="F15" i="7"/>
  <c r="C15" i="7"/>
  <c r="D15" i="7" s="1"/>
  <c r="W14" i="7"/>
  <c r="H14" i="7"/>
  <c r="I14" i="7"/>
  <c r="F14" i="7"/>
  <c r="AA12" i="7"/>
  <c r="Z12" i="7"/>
  <c r="Y12" i="7"/>
  <c r="W12" i="7"/>
  <c r="T12" i="7"/>
  <c r="U12" i="7" s="1"/>
  <c r="N12" i="7"/>
  <c r="O12" i="7" s="1"/>
  <c r="L12" i="7"/>
  <c r="H12" i="7"/>
  <c r="I12" i="7" s="1"/>
  <c r="F12" i="7"/>
  <c r="C12" i="7"/>
  <c r="D12" i="7" s="1"/>
  <c r="AA11" i="7" l="1"/>
  <c r="Z11" i="7"/>
  <c r="Y11" i="7"/>
  <c r="W11" i="7"/>
  <c r="T11" i="7"/>
  <c r="U11" i="7" s="1"/>
  <c r="N11" i="7"/>
  <c r="O11" i="7" s="1"/>
  <c r="L11" i="7"/>
  <c r="H11" i="7"/>
  <c r="I11" i="7" s="1"/>
  <c r="F11" i="7"/>
  <c r="D11" i="7"/>
  <c r="C11" i="7"/>
  <c r="Y10" i="7"/>
  <c r="W10" i="7"/>
  <c r="AC14" i="7"/>
  <c r="Z8" i="7"/>
  <c r="AA8" i="7" s="1"/>
  <c r="Y8" i="7"/>
  <c r="W8" i="7"/>
  <c r="T8" i="7"/>
  <c r="U8" i="7" s="1"/>
  <c r="N8" i="7"/>
  <c r="O8" i="7" s="1"/>
  <c r="L8" i="7"/>
  <c r="H8" i="7"/>
  <c r="I8" i="7" s="1"/>
  <c r="F8" i="7"/>
  <c r="D8" i="7"/>
  <c r="C8" i="7"/>
  <c r="N7" i="7"/>
  <c r="O7" i="7"/>
  <c r="L7" i="7"/>
  <c r="N5" i="7"/>
  <c r="O5" i="7" s="1"/>
  <c r="L5" i="7"/>
  <c r="H4" i="7"/>
  <c r="F4" i="7"/>
  <c r="N4" i="7"/>
  <c r="L4" i="7"/>
  <c r="C4" i="7"/>
  <c r="D4" i="7" s="1"/>
  <c r="Y4" i="7"/>
  <c r="W4" i="7"/>
  <c r="T4" i="7"/>
  <c r="U4" i="7" s="1"/>
  <c r="Y3" i="7"/>
  <c r="W3" i="7"/>
  <c r="T3" i="7"/>
  <c r="U3" i="7" s="1"/>
  <c r="T2" i="7"/>
  <c r="N3" i="7"/>
  <c r="L3" i="7"/>
  <c r="H3" i="7"/>
  <c r="I3" i="7" s="1"/>
  <c r="F3" i="7"/>
  <c r="C3" i="7"/>
  <c r="D3" i="7" s="1"/>
  <c r="Y2" i="7"/>
  <c r="W2" i="7"/>
  <c r="U2" i="7"/>
  <c r="N2" i="7"/>
  <c r="L2" i="7"/>
  <c r="H2" i="7"/>
  <c r="F2" i="7"/>
  <c r="C2" i="7"/>
  <c r="D2" i="7" s="1"/>
  <c r="H41" i="6"/>
  <c r="I41" i="6" s="1"/>
  <c r="F41" i="6"/>
  <c r="N41" i="6"/>
  <c r="O41" i="6" s="1"/>
  <c r="L41" i="6"/>
  <c r="W41" i="6"/>
  <c r="Z41" i="6"/>
  <c r="Y41" i="6"/>
  <c r="T41" i="6"/>
  <c r="U41" i="6"/>
  <c r="C41" i="6"/>
  <c r="D41" i="6" s="1"/>
  <c r="Y40" i="6"/>
  <c r="W40" i="6"/>
  <c r="T40" i="6"/>
  <c r="U40" i="6" s="1"/>
  <c r="N40" i="6"/>
  <c r="L40" i="6"/>
  <c r="O40" i="6" s="1"/>
  <c r="H40" i="6"/>
  <c r="I40" i="6" s="1"/>
  <c r="F40" i="6"/>
  <c r="C40" i="6"/>
  <c r="D40" i="6"/>
  <c r="H39" i="6"/>
  <c r="I39" i="6" s="1"/>
  <c r="F39" i="6"/>
  <c r="C39" i="6"/>
  <c r="D39" i="6"/>
  <c r="N39" i="6"/>
  <c r="O39" i="6" s="1"/>
  <c r="L39" i="6"/>
  <c r="Y39" i="6"/>
  <c r="Z39" i="6"/>
  <c r="W39" i="6"/>
  <c r="T39" i="6"/>
  <c r="U39" i="6"/>
  <c r="Y38" i="6"/>
  <c r="Z38" i="6" s="1"/>
  <c r="W38" i="6"/>
  <c r="T38" i="6"/>
  <c r="U38" i="6" s="1"/>
  <c r="N38" i="6"/>
  <c r="O38" i="6"/>
  <c r="L38" i="6"/>
  <c r="F38" i="6"/>
  <c r="F37" i="6"/>
  <c r="I37" i="6"/>
  <c r="H38" i="6"/>
  <c r="C38" i="6"/>
  <c r="D38" i="6" s="1"/>
  <c r="C37" i="6"/>
  <c r="D37" i="6" s="1"/>
  <c r="Y37" i="6"/>
  <c r="Z37" i="6" s="1"/>
  <c r="W37" i="6"/>
  <c r="T37" i="6"/>
  <c r="U37" i="6" s="1"/>
  <c r="N37" i="6"/>
  <c r="O37" i="6" s="1"/>
  <c r="L37" i="6"/>
  <c r="H37" i="6"/>
  <c r="F35" i="6"/>
  <c r="Y35" i="6"/>
  <c r="W35" i="6"/>
  <c r="T35" i="6"/>
  <c r="U35" i="6" s="1"/>
  <c r="N35" i="6"/>
  <c r="L35" i="6"/>
  <c r="H35" i="6"/>
  <c r="C35" i="6"/>
  <c r="D35" i="6" s="1"/>
  <c r="Y34" i="6"/>
  <c r="W34" i="6"/>
  <c r="T34" i="6"/>
  <c r="U34" i="6" s="1"/>
  <c r="N34" i="6"/>
  <c r="L34" i="6"/>
  <c r="I34" i="6"/>
  <c r="H34" i="6"/>
  <c r="F34" i="6"/>
  <c r="C34" i="6"/>
  <c r="D34" i="6" s="1"/>
  <c r="N33" i="6"/>
  <c r="O33" i="6" s="1"/>
  <c r="L33" i="6"/>
  <c r="Y31" i="6"/>
  <c r="Z31" i="6"/>
  <c r="W31" i="6"/>
  <c r="T31" i="6"/>
  <c r="U31" i="6"/>
  <c r="O31" i="6"/>
  <c r="L31" i="6"/>
  <c r="H31" i="6"/>
  <c r="F31" i="6"/>
  <c r="I31" i="6" s="1"/>
  <c r="C31" i="6"/>
  <c r="D31" i="6"/>
  <c r="Y30" i="6"/>
  <c r="Z30" i="6" s="1"/>
  <c r="W30" i="6"/>
  <c r="T30" i="6"/>
  <c r="U30" i="6" s="1"/>
  <c r="H30" i="6"/>
  <c r="F30" i="6"/>
  <c r="C30" i="6"/>
  <c r="D30" i="6" s="1"/>
  <c r="O30" i="6"/>
  <c r="L30" i="6"/>
  <c r="Y28" i="6"/>
  <c r="W28" i="6"/>
  <c r="Z28" i="6" s="1"/>
  <c r="T28" i="6"/>
  <c r="U28" i="6" s="1"/>
  <c r="N28" i="6"/>
  <c r="L28" i="6"/>
  <c r="H28" i="6"/>
  <c r="F28" i="6"/>
  <c r="I28" i="6" s="1"/>
  <c r="C28" i="6"/>
  <c r="D28" i="6" s="1"/>
  <c r="H27" i="6"/>
  <c r="F27" i="6"/>
  <c r="I27" i="6" s="1"/>
  <c r="N27" i="6"/>
  <c r="L27" i="6"/>
  <c r="C27" i="6"/>
  <c r="D27" i="6"/>
  <c r="Y27" i="6"/>
  <c r="W27" i="6"/>
  <c r="Z27" i="6" s="1"/>
  <c r="T27" i="6"/>
  <c r="U27" i="6" s="1"/>
  <c r="H26" i="6"/>
  <c r="F26" i="6"/>
  <c r="I26" i="6" s="1"/>
  <c r="N26" i="6"/>
  <c r="O26" i="6" s="1"/>
  <c r="L26" i="6"/>
  <c r="C26" i="6"/>
  <c r="D26" i="6"/>
  <c r="Y26" i="6"/>
  <c r="Z26" i="6" s="1"/>
  <c r="W26" i="6"/>
  <c r="T26" i="6"/>
  <c r="U26" i="6" s="1"/>
  <c r="H25" i="6"/>
  <c r="F25" i="6"/>
  <c r="I25" i="6" s="1"/>
  <c r="C25" i="6"/>
  <c r="D25" i="6" s="1"/>
  <c r="N25" i="6"/>
  <c r="L25" i="6"/>
  <c r="Y25" i="6"/>
  <c r="W25" i="6"/>
  <c r="Z25" i="6" s="1"/>
  <c r="T25" i="6"/>
  <c r="U25" i="6" s="1"/>
  <c r="Y24" i="6"/>
  <c r="W24" i="6"/>
  <c r="T24" i="6"/>
  <c r="U24" i="6" s="1"/>
  <c r="H24" i="6"/>
  <c r="F24" i="6"/>
  <c r="C24" i="6"/>
  <c r="D24" i="6" s="1"/>
  <c r="N24" i="6"/>
  <c r="L24" i="6"/>
  <c r="H18" i="6"/>
  <c r="H19" i="6"/>
  <c r="I19" i="6" s="1"/>
  <c r="H20" i="6"/>
  <c r="H21" i="6"/>
  <c r="I21" i="6" s="1"/>
  <c r="H22" i="6"/>
  <c r="I22" i="6" s="1"/>
  <c r="H17" i="6"/>
  <c r="I17" i="6" s="1"/>
  <c r="H10" i="6"/>
  <c r="H11" i="6"/>
  <c r="H12" i="6"/>
  <c r="I12" i="6" s="1"/>
  <c r="H13" i="6"/>
  <c r="I13" i="6" s="1"/>
  <c r="H14" i="6"/>
  <c r="H9" i="6"/>
  <c r="H3" i="6"/>
  <c r="H4" i="6"/>
  <c r="I4" i="6" s="1"/>
  <c r="H5" i="6"/>
  <c r="H6" i="6"/>
  <c r="H7" i="6"/>
  <c r="I7" i="6" s="1"/>
  <c r="H2" i="6"/>
  <c r="F22" i="6"/>
  <c r="C22" i="6"/>
  <c r="D22" i="6"/>
  <c r="N22" i="6"/>
  <c r="L22" i="6"/>
  <c r="O22" i="6" s="1"/>
  <c r="Y22" i="6"/>
  <c r="Z22" i="6" s="1"/>
  <c r="W22" i="6"/>
  <c r="T22" i="6"/>
  <c r="U22" i="6" s="1"/>
  <c r="F21" i="6"/>
  <c r="N21" i="6"/>
  <c r="O21" i="6"/>
  <c r="L21" i="6"/>
  <c r="C21" i="6"/>
  <c r="D21" i="6"/>
  <c r="Y21" i="6"/>
  <c r="W21" i="6"/>
  <c r="T21" i="6"/>
  <c r="U21" i="6"/>
  <c r="I20" i="6"/>
  <c r="F20" i="6"/>
  <c r="N20" i="6"/>
  <c r="L20" i="6"/>
  <c r="O20" i="6" s="1"/>
  <c r="C20" i="6"/>
  <c r="D20" i="6" s="1"/>
  <c r="Y20" i="6"/>
  <c r="W20" i="6"/>
  <c r="T20" i="6"/>
  <c r="U20" i="6" s="1"/>
  <c r="F19" i="6"/>
  <c r="N19" i="6"/>
  <c r="L19" i="6"/>
  <c r="C19" i="6"/>
  <c r="D19" i="6" s="1"/>
  <c r="Y19" i="6"/>
  <c r="W19" i="6"/>
  <c r="T19" i="6"/>
  <c r="U19" i="6" s="1"/>
  <c r="F18" i="6"/>
  <c r="N18" i="6"/>
  <c r="O18" i="6" s="1"/>
  <c r="L18" i="6"/>
  <c r="C18" i="6"/>
  <c r="D18" i="6" s="1"/>
  <c r="Z18" i="6"/>
  <c r="Y18" i="6"/>
  <c r="W18" i="6"/>
  <c r="T18" i="6"/>
  <c r="U18" i="6" s="1"/>
  <c r="Y17" i="6"/>
  <c r="Z17" i="6" s="1"/>
  <c r="W17" i="6"/>
  <c r="T17" i="6"/>
  <c r="U17" i="6" s="1"/>
  <c r="F17" i="6"/>
  <c r="D17" i="6"/>
  <c r="C17" i="6"/>
  <c r="Y14" i="6"/>
  <c r="W14" i="6"/>
  <c r="Z14" i="6" s="1"/>
  <c r="T14" i="6"/>
  <c r="U14" i="6"/>
  <c r="N17" i="6"/>
  <c r="L17" i="6"/>
  <c r="N16" i="6"/>
  <c r="L16" i="6"/>
  <c r="O16" i="6"/>
  <c r="N14" i="6"/>
  <c r="O14" i="6" s="1"/>
  <c r="L14" i="6"/>
  <c r="F14" i="6"/>
  <c r="I14" i="6" s="1"/>
  <c r="C14" i="6"/>
  <c r="D14" i="6" s="1"/>
  <c r="N13" i="6"/>
  <c r="O13" i="6"/>
  <c r="L13" i="6"/>
  <c r="F13" i="6"/>
  <c r="Y13" i="6"/>
  <c r="Z13" i="6"/>
  <c r="W13" i="6"/>
  <c r="T13" i="6"/>
  <c r="U13" i="6"/>
  <c r="C13" i="6"/>
  <c r="D13" i="6" s="1"/>
  <c r="N12" i="6"/>
  <c r="L12" i="6"/>
  <c r="F12" i="6"/>
  <c r="C12" i="6"/>
  <c r="D12" i="6"/>
  <c r="Z12" i="6"/>
  <c r="Y12" i="6"/>
  <c r="W12" i="6"/>
  <c r="T12" i="6"/>
  <c r="U12" i="6"/>
  <c r="F11" i="6"/>
  <c r="C11" i="6"/>
  <c r="D11" i="6"/>
  <c r="N11" i="6"/>
  <c r="O11" i="6" s="1"/>
  <c r="L11" i="6"/>
  <c r="Y11" i="6"/>
  <c r="W11" i="6"/>
  <c r="T11" i="6"/>
  <c r="U11" i="6" s="1"/>
  <c r="F10" i="6"/>
  <c r="I10" i="6" s="1"/>
  <c r="N10" i="6"/>
  <c r="O10" i="6" s="1"/>
  <c r="L10" i="6"/>
  <c r="C10" i="6"/>
  <c r="D10" i="6"/>
  <c r="Z10" i="6"/>
  <c r="Y10" i="6"/>
  <c r="W10" i="6"/>
  <c r="T10" i="6"/>
  <c r="U10" i="6"/>
  <c r="AC14" i="6"/>
  <c r="Y9" i="6"/>
  <c r="Z9" i="6" s="1"/>
  <c r="W9" i="6"/>
  <c r="T9" i="6"/>
  <c r="U9" i="6" s="1"/>
  <c r="F9" i="6"/>
  <c r="I9" i="6" s="1"/>
  <c r="D9" i="6"/>
  <c r="C9" i="6"/>
  <c r="N9" i="6"/>
  <c r="L9" i="6"/>
  <c r="O9" i="6" s="1"/>
  <c r="F7" i="6"/>
  <c r="C7" i="6"/>
  <c r="D7" i="6" s="1"/>
  <c r="N7" i="6"/>
  <c r="O7" i="6"/>
  <c r="L7" i="6"/>
  <c r="Y7" i="6"/>
  <c r="Z7" i="6" s="1"/>
  <c r="W7" i="6"/>
  <c r="T7" i="6"/>
  <c r="U7" i="6" s="1"/>
  <c r="F6" i="6"/>
  <c r="N6" i="6"/>
  <c r="L6" i="6"/>
  <c r="O6" i="6" s="1"/>
  <c r="C6" i="6"/>
  <c r="D6" i="6" s="1"/>
  <c r="Y6" i="6"/>
  <c r="W6" i="6"/>
  <c r="Z6" i="6" s="1"/>
  <c r="T6" i="6"/>
  <c r="U6" i="6"/>
  <c r="F5" i="6"/>
  <c r="F1048576" i="6"/>
  <c r="N5" i="6"/>
  <c r="L5" i="6"/>
  <c r="C5" i="6"/>
  <c r="D5" i="6" s="1"/>
  <c r="Z5" i="6"/>
  <c r="Y5" i="6"/>
  <c r="W5" i="6"/>
  <c r="T5" i="6"/>
  <c r="U5" i="6" s="1"/>
  <c r="W4" i="6"/>
  <c r="F4" i="6"/>
  <c r="N4" i="6"/>
  <c r="O4" i="6" s="1"/>
  <c r="L4" i="6"/>
  <c r="C4" i="6"/>
  <c r="D4" i="6" s="1"/>
  <c r="Y4" i="6"/>
  <c r="Z4" i="6" s="1"/>
  <c r="T4" i="6"/>
  <c r="U4" i="6" s="1"/>
  <c r="Y3" i="6"/>
  <c r="W3" i="6"/>
  <c r="T3" i="6"/>
  <c r="U3" i="6" s="1"/>
  <c r="N3" i="6"/>
  <c r="L3" i="6"/>
  <c r="F3" i="6"/>
  <c r="C3" i="6"/>
  <c r="D3" i="6" s="1"/>
  <c r="Z2" i="6"/>
  <c r="Y2" i="6"/>
  <c r="W2" i="6"/>
  <c r="T2" i="6"/>
  <c r="U2" i="6" s="1"/>
  <c r="N2" i="6"/>
  <c r="L2" i="6"/>
  <c r="F2" i="6"/>
  <c r="D2" i="6"/>
  <c r="C2" i="6"/>
  <c r="O2" i="6"/>
  <c r="W39" i="5"/>
  <c r="Z39" i="5" s="1"/>
  <c r="T39" i="5"/>
  <c r="U39" i="5" s="1"/>
  <c r="N39" i="5"/>
  <c r="L39" i="5"/>
  <c r="C39" i="5"/>
  <c r="D39" i="5" s="1"/>
  <c r="F39" i="5"/>
  <c r="I39" i="5" s="1"/>
  <c r="F38" i="5"/>
  <c r="F36" i="5"/>
  <c r="I36" i="5" s="1"/>
  <c r="F35" i="5"/>
  <c r="Y33" i="5"/>
  <c r="Z33" i="5" s="1"/>
  <c r="W33" i="5"/>
  <c r="T33" i="5"/>
  <c r="U33" i="5" s="1"/>
  <c r="N33" i="5"/>
  <c r="O33" i="5"/>
  <c r="L33" i="5"/>
  <c r="H33" i="5"/>
  <c r="F33" i="5"/>
  <c r="C33" i="5"/>
  <c r="D33" i="5" s="1"/>
  <c r="N32" i="5"/>
  <c r="L32" i="5"/>
  <c r="O32" i="5" s="1"/>
  <c r="H32" i="5"/>
  <c r="F32" i="5"/>
  <c r="C32" i="5"/>
  <c r="D32" i="5" s="1"/>
  <c r="Y32" i="5"/>
  <c r="W32" i="5"/>
  <c r="T32" i="5"/>
  <c r="U32" i="5" s="1"/>
  <c r="Y31" i="5"/>
  <c r="W31" i="5"/>
  <c r="Z31" i="5" s="1"/>
  <c r="T31" i="5"/>
  <c r="U31" i="5" s="1"/>
  <c r="N31" i="5"/>
  <c r="O31" i="5" s="1"/>
  <c r="L31" i="5"/>
  <c r="H31" i="5"/>
  <c r="F31" i="5"/>
  <c r="C31" i="5"/>
  <c r="D31" i="5" s="1"/>
  <c r="N30" i="5"/>
  <c r="L30" i="5"/>
  <c r="H30" i="5"/>
  <c r="F30" i="5"/>
  <c r="C30" i="5"/>
  <c r="D30" i="5" s="1"/>
  <c r="Y30" i="5"/>
  <c r="W30" i="5"/>
  <c r="T30" i="5"/>
  <c r="U30" i="5" s="1"/>
  <c r="Z29" i="5"/>
  <c r="Y29" i="5"/>
  <c r="W29" i="5"/>
  <c r="T29" i="5"/>
  <c r="U29" i="5" s="1"/>
  <c r="O29" i="5"/>
  <c r="N29" i="5"/>
  <c r="L29" i="5"/>
  <c r="H29" i="5"/>
  <c r="F29" i="5"/>
  <c r="C29" i="5"/>
  <c r="D29" i="5" s="1"/>
  <c r="H28" i="5"/>
  <c r="F28" i="5"/>
  <c r="Y26" i="5"/>
  <c r="Z26" i="5" s="1"/>
  <c r="W26" i="5"/>
  <c r="N26" i="5"/>
  <c r="L26" i="5"/>
  <c r="H26" i="5"/>
  <c r="F26" i="5"/>
  <c r="I26" i="5" s="1"/>
  <c r="T26" i="5"/>
  <c r="U26" i="5" s="1"/>
  <c r="C26" i="5"/>
  <c r="D26" i="5"/>
  <c r="Z25" i="5"/>
  <c r="Y25" i="5"/>
  <c r="W25" i="5"/>
  <c r="T25" i="5"/>
  <c r="U25" i="5" s="1"/>
  <c r="H25" i="5"/>
  <c r="I25" i="5" s="1"/>
  <c r="F25" i="5"/>
  <c r="C25" i="5"/>
  <c r="D25" i="5" s="1"/>
  <c r="N25" i="5"/>
  <c r="O25" i="5" s="1"/>
  <c r="L25" i="5"/>
  <c r="Y23" i="5"/>
  <c r="Z23" i="5" s="1"/>
  <c r="W23" i="5"/>
  <c r="T23" i="5"/>
  <c r="U23" i="5" s="1"/>
  <c r="H23" i="5"/>
  <c r="F23" i="5"/>
  <c r="C23" i="5"/>
  <c r="D23" i="5" s="1"/>
  <c r="N23" i="5"/>
  <c r="L23" i="5"/>
  <c r="Y22" i="5"/>
  <c r="Z22" i="5" s="1"/>
  <c r="W22" i="5"/>
  <c r="T22" i="5"/>
  <c r="U22" i="5" s="1"/>
  <c r="N22" i="5"/>
  <c r="L22" i="5"/>
  <c r="H22" i="5"/>
  <c r="F22" i="5"/>
  <c r="C22" i="5"/>
  <c r="D22" i="5" s="1"/>
  <c r="Y21" i="5"/>
  <c r="W21" i="5"/>
  <c r="T21" i="5"/>
  <c r="U21" i="5" s="1"/>
  <c r="N21" i="5"/>
  <c r="L21" i="5"/>
  <c r="H21" i="5"/>
  <c r="F21" i="5"/>
  <c r="C21" i="5"/>
  <c r="D21" i="5" s="1"/>
  <c r="Y20" i="5"/>
  <c r="W20" i="5"/>
  <c r="Y18" i="5"/>
  <c r="Z18" i="5" s="1"/>
  <c r="W18" i="5"/>
  <c r="T18" i="5"/>
  <c r="U18" i="5" s="1"/>
  <c r="N18" i="5"/>
  <c r="O18" i="5"/>
  <c r="L18" i="5"/>
  <c r="H18" i="5"/>
  <c r="F18" i="5"/>
  <c r="C18" i="5"/>
  <c r="D18" i="5" s="1"/>
  <c r="Y17" i="5"/>
  <c r="W17" i="5"/>
  <c r="Z17" i="5" s="1"/>
  <c r="T17" i="5"/>
  <c r="U17" i="5" s="1"/>
  <c r="N17" i="5"/>
  <c r="O17" i="5" s="1"/>
  <c r="L17" i="5"/>
  <c r="H17" i="5"/>
  <c r="F17" i="5"/>
  <c r="C17" i="5"/>
  <c r="D17" i="5" s="1"/>
  <c r="Y16" i="5"/>
  <c r="Z16" i="5" s="1"/>
  <c r="W16" i="5"/>
  <c r="T16" i="5"/>
  <c r="U16" i="5" s="1"/>
  <c r="N16" i="5"/>
  <c r="L16" i="5"/>
  <c r="H16" i="5"/>
  <c r="F16" i="5"/>
  <c r="C16" i="5"/>
  <c r="D16" i="5" s="1"/>
  <c r="Y15" i="5"/>
  <c r="Z15" i="5" s="1"/>
  <c r="W15" i="5"/>
  <c r="T15" i="5"/>
  <c r="U15" i="5" s="1"/>
  <c r="N15" i="5"/>
  <c r="L15" i="5"/>
  <c r="H15" i="5"/>
  <c r="I15" i="5" s="1"/>
  <c r="F15" i="5"/>
  <c r="C15" i="5"/>
  <c r="D15" i="5" s="1"/>
  <c r="N14" i="5"/>
  <c r="L14" i="5"/>
  <c r="H12" i="5"/>
  <c r="F12" i="5"/>
  <c r="C12" i="5"/>
  <c r="D12" i="5"/>
  <c r="N12" i="5"/>
  <c r="L12" i="5"/>
  <c r="Y12" i="5"/>
  <c r="W12" i="5"/>
  <c r="Z12" i="5" s="1"/>
  <c r="T12" i="5"/>
  <c r="U12" i="5" s="1"/>
  <c r="H11" i="5"/>
  <c r="F11" i="5"/>
  <c r="N11" i="5"/>
  <c r="L11" i="5"/>
  <c r="C11" i="5"/>
  <c r="D11" i="5" s="1"/>
  <c r="Y11" i="5"/>
  <c r="W11" i="5"/>
  <c r="Z11" i="5" s="1"/>
  <c r="T11" i="5"/>
  <c r="U11" i="5" s="1"/>
  <c r="H10" i="5"/>
  <c r="I10" i="5" s="1"/>
  <c r="F10" i="5"/>
  <c r="N10" i="5"/>
  <c r="O10" i="5" s="1"/>
  <c r="L10" i="5"/>
  <c r="C10" i="5"/>
  <c r="D10" i="5" s="1"/>
  <c r="Y10" i="5"/>
  <c r="Z10" i="5" s="1"/>
  <c r="W10" i="5"/>
  <c r="AA26" i="5" l="1"/>
  <c r="O11" i="5"/>
  <c r="O12" i="5"/>
  <c r="AA12" i="5" s="1"/>
  <c r="I12" i="5"/>
  <c r="O15" i="5"/>
  <c r="AA15" i="5" s="1"/>
  <c r="I29" i="5"/>
  <c r="AA29" i="5" s="1"/>
  <c r="AA9" i="6"/>
  <c r="O17" i="6"/>
  <c r="AA17" i="6" s="1"/>
  <c r="I18" i="6"/>
  <c r="AA18" i="6" s="1"/>
  <c r="AA28" i="6"/>
  <c r="O4" i="7"/>
  <c r="AA4" i="7" s="1"/>
  <c r="O21" i="5"/>
  <c r="I23" i="5"/>
  <c r="O26" i="5"/>
  <c r="I30" i="5"/>
  <c r="Z11" i="6"/>
  <c r="AA11" i="6" s="1"/>
  <c r="O19" i="6"/>
  <c r="AA31" i="6"/>
  <c r="Z34" i="6"/>
  <c r="AA34" i="6" s="1"/>
  <c r="O35" i="6"/>
  <c r="Z4" i="7"/>
  <c r="I11" i="5"/>
  <c r="O14" i="5"/>
  <c r="I16" i="5"/>
  <c r="AA16" i="5" s="1"/>
  <c r="AA25" i="5"/>
  <c r="Z30" i="5"/>
  <c r="AA30" i="5" s="1"/>
  <c r="Z19" i="6"/>
  <c r="AA19" i="6" s="1"/>
  <c r="O25" i="6"/>
  <c r="AA25" i="6" s="1"/>
  <c r="O28" i="6"/>
  <c r="I30" i="6"/>
  <c r="AA30" i="6" s="1"/>
  <c r="I17" i="5"/>
  <c r="I18" i="5"/>
  <c r="AA18" i="5" s="1"/>
  <c r="O23" i="5"/>
  <c r="AA23" i="5" s="1"/>
  <c r="I31" i="5"/>
  <c r="I33" i="5"/>
  <c r="O12" i="6"/>
  <c r="Z20" i="6"/>
  <c r="I6" i="6"/>
  <c r="AA6" i="6" s="1"/>
  <c r="I11" i="6"/>
  <c r="Z24" i="6"/>
  <c r="AA24" i="6" s="1"/>
  <c r="O34" i="6"/>
  <c r="O2" i="7"/>
  <c r="O3" i="7"/>
  <c r="Z3" i="7"/>
  <c r="AA3" i="7" s="1"/>
  <c r="O16" i="5"/>
  <c r="Z21" i="5"/>
  <c r="I22" i="5"/>
  <c r="O5" i="6"/>
  <c r="Z21" i="6"/>
  <c r="I5" i="6"/>
  <c r="I24" i="6"/>
  <c r="O27" i="6"/>
  <c r="AA27" i="6" s="1"/>
  <c r="I35" i="6"/>
  <c r="I38" i="6"/>
  <c r="AA38" i="6" s="1"/>
  <c r="Z40" i="6"/>
  <c r="AA40" i="6" s="1"/>
  <c r="I4" i="7"/>
  <c r="Z2" i="7"/>
  <c r="I2" i="7"/>
  <c r="AA2" i="7"/>
  <c r="AA41" i="6"/>
  <c r="AA39" i="6"/>
  <c r="AA37" i="6"/>
  <c r="Z35" i="6"/>
  <c r="AA35" i="6" s="1"/>
  <c r="AA26" i="6"/>
  <c r="AA22" i="6"/>
  <c r="AA14" i="6"/>
  <c r="AA21" i="6"/>
  <c r="AA20" i="6"/>
  <c r="AA13" i="6"/>
  <c r="AA12" i="6"/>
  <c r="AA10" i="6"/>
  <c r="AA7" i="6"/>
  <c r="AA5" i="6"/>
  <c r="AA4" i="6"/>
  <c r="Z3" i="6"/>
  <c r="I3" i="6"/>
  <c r="O3" i="6"/>
  <c r="AA3" i="6" s="1"/>
  <c r="I2" i="6"/>
  <c r="O39" i="5"/>
  <c r="AA39" i="5" s="1"/>
  <c r="AA33" i="5"/>
  <c r="I32" i="5"/>
  <c r="AA32" i="5" s="1"/>
  <c r="Z32" i="5"/>
  <c r="AA31" i="5"/>
  <c r="O30" i="5"/>
  <c r="O22" i="5"/>
  <c r="I21" i="5"/>
  <c r="AA17" i="5"/>
  <c r="AA11" i="5"/>
  <c r="AA10" i="5"/>
  <c r="AA21" i="5" l="1"/>
  <c r="AA22" i="5"/>
  <c r="AA2" i="6"/>
  <c r="T10" i="5"/>
  <c r="U10" i="5" s="1"/>
  <c r="Y9" i="5"/>
  <c r="Z9" i="5" s="1"/>
  <c r="W9" i="5"/>
  <c r="T9" i="5"/>
  <c r="U9" i="5" s="1"/>
  <c r="N9" i="5"/>
  <c r="O9" i="5" s="1"/>
  <c r="L9" i="5"/>
  <c r="H9" i="5"/>
  <c r="F9" i="5"/>
  <c r="C9" i="5"/>
  <c r="D9" i="5" s="1"/>
  <c r="AC18" i="5"/>
  <c r="Y8" i="5"/>
  <c r="Z8" i="5" s="1"/>
  <c r="W8" i="5"/>
  <c r="T8" i="5"/>
  <c r="U8" i="5" s="1"/>
  <c r="N8" i="5"/>
  <c r="L8" i="5"/>
  <c r="H8" i="5"/>
  <c r="I8" i="5" s="1"/>
  <c r="F8" i="5"/>
  <c r="C8" i="5"/>
  <c r="D8" i="5" s="1"/>
  <c r="N7" i="5"/>
  <c r="O7" i="5"/>
  <c r="L7" i="5"/>
  <c r="H7" i="5"/>
  <c r="I7" i="5" s="1"/>
  <c r="F7" i="5"/>
  <c r="Y5" i="5"/>
  <c r="Z5" i="5" s="1"/>
  <c r="W5" i="5"/>
  <c r="T5" i="5"/>
  <c r="U5" i="5" s="1"/>
  <c r="N5" i="5"/>
  <c r="L5" i="5"/>
  <c r="H5" i="5"/>
  <c r="I5" i="5" s="1"/>
  <c r="F5" i="5"/>
  <c r="C5" i="5"/>
  <c r="D5" i="5" s="1"/>
  <c r="Y4" i="5"/>
  <c r="Z4" i="5" s="1"/>
  <c r="W4" i="5"/>
  <c r="T4" i="5"/>
  <c r="U4" i="5" s="1"/>
  <c r="N4" i="5"/>
  <c r="L4" i="5"/>
  <c r="H4" i="5"/>
  <c r="I4" i="5" s="1"/>
  <c r="F4" i="5"/>
  <c r="C4" i="5"/>
  <c r="D4" i="5" s="1"/>
  <c r="Y3" i="5"/>
  <c r="W3" i="5"/>
  <c r="T3" i="5"/>
  <c r="U3" i="5" s="1"/>
  <c r="H3" i="5"/>
  <c r="F3" i="5"/>
  <c r="N3" i="5"/>
  <c r="O3" i="5" s="1"/>
  <c r="L3" i="5"/>
  <c r="C3" i="5"/>
  <c r="D3" i="5" s="1"/>
  <c r="W2" i="5"/>
  <c r="U2" i="5"/>
  <c r="T2" i="5"/>
  <c r="N2" i="5"/>
  <c r="L2" i="5"/>
  <c r="O2" i="5" s="1"/>
  <c r="H2" i="5"/>
  <c r="F2" i="5"/>
  <c r="C2" i="5"/>
  <c r="D2" i="5"/>
  <c r="Y2" i="5"/>
  <c r="AA9" i="5" l="1"/>
  <c r="AA8" i="5"/>
  <c r="I3" i="5"/>
  <c r="O5" i="5"/>
  <c r="AA5" i="5" s="1"/>
  <c r="O8" i="5"/>
  <c r="I9" i="5"/>
  <c r="Z3" i="5"/>
  <c r="AA3" i="5" s="1"/>
  <c r="O4" i="5"/>
  <c r="AA4" i="5" s="1"/>
  <c r="Z2" i="5"/>
  <c r="AA2" i="5" s="1"/>
  <c r="I2" i="5"/>
  <c r="Y48" i="4" l="1"/>
  <c r="Z48" i="4" s="1"/>
  <c r="W48" i="4"/>
  <c r="T48" i="4"/>
  <c r="U48" i="4" s="1"/>
  <c r="F48" i="4"/>
  <c r="I48" i="4" s="1"/>
  <c r="C48" i="4"/>
  <c r="D48" i="4" s="1"/>
  <c r="F47" i="4"/>
  <c r="Y45" i="4"/>
  <c r="W45" i="4"/>
  <c r="U45" i="4"/>
  <c r="T45" i="4"/>
  <c r="Q45" i="4"/>
  <c r="O45" i="4"/>
  <c r="I45" i="4"/>
  <c r="F45" i="4"/>
  <c r="C45" i="4"/>
  <c r="D45" i="4" s="1"/>
  <c r="Y44" i="4"/>
  <c r="W44" i="4"/>
  <c r="T44" i="4"/>
  <c r="U44" i="4" s="1"/>
  <c r="Q44" i="4"/>
  <c r="O44" i="4" s="1"/>
  <c r="F44" i="4"/>
  <c r="I44" i="4" s="1"/>
  <c r="C44" i="4"/>
  <c r="D44" i="4" s="1"/>
  <c r="Y43" i="4"/>
  <c r="W43" i="4"/>
  <c r="Z43" i="4" s="1"/>
  <c r="AA43" i="4" s="1"/>
  <c r="Q43" i="4"/>
  <c r="O43" i="4" s="1"/>
  <c r="F43" i="4"/>
  <c r="I43" i="4" s="1"/>
  <c r="Y41" i="4"/>
  <c r="Z41" i="4" s="1"/>
  <c r="W41" i="4"/>
  <c r="T41" i="4"/>
  <c r="U41" i="4"/>
  <c r="Q41" i="4"/>
  <c r="N41" i="4"/>
  <c r="O41" i="4" s="1"/>
  <c r="L41" i="4"/>
  <c r="H41" i="4"/>
  <c r="I41" i="4" s="1"/>
  <c r="F41" i="4"/>
  <c r="C41" i="4"/>
  <c r="D41" i="4" s="1"/>
  <c r="Y40" i="4"/>
  <c r="Z40" i="4" s="1"/>
  <c r="W40" i="4"/>
  <c r="T40" i="4"/>
  <c r="U40" i="4" s="1"/>
  <c r="Q40" i="4"/>
  <c r="N40" i="4"/>
  <c r="L40" i="4"/>
  <c r="H40" i="4"/>
  <c r="F40" i="4"/>
  <c r="C40" i="4"/>
  <c r="D40" i="4" s="1"/>
  <c r="C39" i="4"/>
  <c r="D39" i="4" s="1"/>
  <c r="Y39" i="4"/>
  <c r="Z39" i="4" s="1"/>
  <c r="W39" i="4"/>
  <c r="T39" i="4"/>
  <c r="U39" i="4" s="1"/>
  <c r="Q39" i="4"/>
  <c r="N39" i="4"/>
  <c r="O39" i="4" s="1"/>
  <c r="L39" i="4"/>
  <c r="H39" i="4"/>
  <c r="I39" i="4" s="1"/>
  <c r="F39" i="4"/>
  <c r="Y37" i="4"/>
  <c r="Z37" i="4" s="1"/>
  <c r="W37" i="4"/>
  <c r="T37" i="4"/>
  <c r="U37" i="4" s="1"/>
  <c r="Q37" i="4"/>
  <c r="N37" i="4"/>
  <c r="L37" i="4"/>
  <c r="H37" i="4"/>
  <c r="F37" i="4"/>
  <c r="C37" i="4"/>
  <c r="D37" i="4" s="1"/>
  <c r="W36" i="4"/>
  <c r="Y36" i="4"/>
  <c r="Z36" i="4" s="1"/>
  <c r="T36" i="4"/>
  <c r="U36" i="4" s="1"/>
  <c r="Q36" i="4"/>
  <c r="N36" i="4"/>
  <c r="O36" i="4" s="1"/>
  <c r="L36" i="4"/>
  <c r="H36" i="4"/>
  <c r="I36" i="4" s="1"/>
  <c r="F36" i="4"/>
  <c r="C36" i="4"/>
  <c r="D36" i="4" s="1"/>
  <c r="Q35" i="4"/>
  <c r="Y35" i="4"/>
  <c r="W35" i="4"/>
  <c r="Z35" i="4" s="1"/>
  <c r="AA35" i="4" s="1"/>
  <c r="Y33" i="4"/>
  <c r="W33" i="4"/>
  <c r="T33" i="4"/>
  <c r="U33" i="4" s="1"/>
  <c r="Y32" i="4"/>
  <c r="Z32" i="4" s="1"/>
  <c r="W32" i="4"/>
  <c r="T32" i="4"/>
  <c r="U32" i="4" s="1"/>
  <c r="N33" i="4"/>
  <c r="O33" i="4" s="1"/>
  <c r="L33" i="4"/>
  <c r="N32" i="4"/>
  <c r="L32" i="4"/>
  <c r="H33" i="4"/>
  <c r="H32" i="4"/>
  <c r="I32" i="4" s="1"/>
  <c r="F33" i="4"/>
  <c r="I33" i="4" s="1"/>
  <c r="F32" i="4"/>
  <c r="C33" i="4"/>
  <c r="D33" i="4" s="1"/>
  <c r="C32" i="4"/>
  <c r="D32" i="4" s="1"/>
  <c r="H31" i="4"/>
  <c r="F31" i="4"/>
  <c r="N29" i="4"/>
  <c r="N28" i="4"/>
  <c r="L29" i="4"/>
  <c r="L28" i="4"/>
  <c r="Y29" i="4"/>
  <c r="W29" i="4"/>
  <c r="T29" i="4"/>
  <c r="U29" i="4" s="1"/>
  <c r="Y28" i="4"/>
  <c r="Z28" i="4" s="1"/>
  <c r="W28" i="4"/>
  <c r="T28" i="4"/>
  <c r="U28" i="4" s="1"/>
  <c r="O28" i="4"/>
  <c r="H29" i="4"/>
  <c r="F29" i="4"/>
  <c r="C29" i="4"/>
  <c r="D29" i="4" s="1"/>
  <c r="H28" i="4"/>
  <c r="F28" i="4"/>
  <c r="C28" i="4"/>
  <c r="D28" i="4" s="1"/>
  <c r="N27" i="4"/>
  <c r="L27" i="4"/>
  <c r="Y24" i="4"/>
  <c r="W24" i="4"/>
  <c r="T24" i="4"/>
  <c r="U24" i="4" s="1"/>
  <c r="Y23" i="4"/>
  <c r="W23" i="4"/>
  <c r="T23" i="4"/>
  <c r="U23" i="4" s="1"/>
  <c r="AC15" i="4"/>
  <c r="L25" i="4"/>
  <c r="N25" i="4"/>
  <c r="O25" i="4" s="1"/>
  <c r="N24" i="4"/>
  <c r="L24" i="4"/>
  <c r="N23" i="4"/>
  <c r="L23" i="4"/>
  <c r="F24" i="4"/>
  <c r="F23" i="4"/>
  <c r="H24" i="4"/>
  <c r="H23" i="4"/>
  <c r="I23" i="4" s="1"/>
  <c r="D24" i="4"/>
  <c r="C24" i="4"/>
  <c r="C23" i="4"/>
  <c r="D23" i="4" s="1"/>
  <c r="H22" i="4"/>
  <c r="F22" i="4"/>
  <c r="Y20" i="4"/>
  <c r="W20" i="4"/>
  <c r="T20" i="4"/>
  <c r="U20" i="4" s="1"/>
  <c r="Y19" i="4"/>
  <c r="W19" i="4"/>
  <c r="T19" i="4"/>
  <c r="U19" i="4" s="1"/>
  <c r="N20" i="4"/>
  <c r="O20" i="4" s="1"/>
  <c r="L20" i="4"/>
  <c r="N19" i="4"/>
  <c r="L19" i="4"/>
  <c r="H20" i="4"/>
  <c r="I20" i="4" s="1"/>
  <c r="F20" i="4"/>
  <c r="C20" i="4"/>
  <c r="D20" i="4" s="1"/>
  <c r="H19" i="4"/>
  <c r="I19" i="4" s="1"/>
  <c r="F19" i="4"/>
  <c r="C19" i="4"/>
  <c r="D19" i="4" s="1"/>
  <c r="N18" i="4"/>
  <c r="O18" i="4" s="1"/>
  <c r="L18" i="4"/>
  <c r="Y16" i="4"/>
  <c r="W16" i="4"/>
  <c r="Y15" i="4"/>
  <c r="Z15" i="4" s="1"/>
  <c r="W15" i="4"/>
  <c r="Y14" i="4"/>
  <c r="W14" i="4"/>
  <c r="T16" i="4"/>
  <c r="U16" i="4" s="1"/>
  <c r="T15" i="4"/>
  <c r="U15" i="4"/>
  <c r="T14" i="4"/>
  <c r="U14" i="4" s="1"/>
  <c r="O14" i="4"/>
  <c r="N16" i="4"/>
  <c r="O16" i="4" s="1"/>
  <c r="N15" i="4"/>
  <c r="O15" i="4" s="1"/>
  <c r="N14" i="4"/>
  <c r="L16" i="4"/>
  <c r="L15" i="4"/>
  <c r="L14" i="4"/>
  <c r="H16" i="4"/>
  <c r="F16" i="4"/>
  <c r="H15" i="4"/>
  <c r="F15" i="4"/>
  <c r="C16" i="4"/>
  <c r="D16" i="4"/>
  <c r="C15" i="4"/>
  <c r="D15" i="4" s="1"/>
  <c r="H14" i="4"/>
  <c r="I14" i="4" s="1"/>
  <c r="F14" i="4"/>
  <c r="C14" i="4"/>
  <c r="D14" i="4" s="1"/>
  <c r="Y13" i="4"/>
  <c r="W13" i="4"/>
  <c r="T13" i="4"/>
  <c r="U13" i="4" s="1"/>
  <c r="N13" i="4"/>
  <c r="L13" i="4"/>
  <c r="H13" i="4"/>
  <c r="I13" i="4" s="1"/>
  <c r="F13" i="4"/>
  <c r="C13" i="4"/>
  <c r="D13" i="4" s="1"/>
  <c r="Y12" i="4"/>
  <c r="W12" i="4"/>
  <c r="T12" i="4"/>
  <c r="U12" i="4" s="1"/>
  <c r="N12" i="4"/>
  <c r="L12" i="4"/>
  <c r="H12" i="4"/>
  <c r="F12" i="4"/>
  <c r="C12" i="4"/>
  <c r="D12" i="4" s="1"/>
  <c r="Y11" i="4"/>
  <c r="W11" i="4"/>
  <c r="T11" i="4"/>
  <c r="U11" i="4" s="1"/>
  <c r="N11" i="4"/>
  <c r="O11" i="4" s="1"/>
  <c r="L11" i="4"/>
  <c r="H11" i="4"/>
  <c r="F11" i="4"/>
  <c r="C11" i="4"/>
  <c r="D11" i="4" s="1"/>
  <c r="N10" i="4"/>
  <c r="L10" i="4"/>
  <c r="Y8" i="4"/>
  <c r="W8" i="4"/>
  <c r="T8" i="4"/>
  <c r="U8" i="4" s="1"/>
  <c r="N8" i="4"/>
  <c r="O8" i="4"/>
  <c r="L8" i="4"/>
  <c r="H8" i="4"/>
  <c r="F8" i="4"/>
  <c r="I8" i="4" s="1"/>
  <c r="C8" i="4"/>
  <c r="D8" i="4" s="1"/>
  <c r="F7" i="4"/>
  <c r="Y7" i="4"/>
  <c r="W7" i="4"/>
  <c r="T7" i="4"/>
  <c r="U7" i="4" s="1"/>
  <c r="N7" i="4"/>
  <c r="L7" i="4"/>
  <c r="H7" i="4"/>
  <c r="C7" i="4"/>
  <c r="D7" i="4" s="1"/>
  <c r="Y6" i="4"/>
  <c r="W6" i="4"/>
  <c r="Z6" i="4" s="1"/>
  <c r="T6" i="4"/>
  <c r="U6" i="4" s="1"/>
  <c r="N6" i="4"/>
  <c r="L6" i="4"/>
  <c r="O6" i="4" s="1"/>
  <c r="H6" i="4"/>
  <c r="F6" i="4"/>
  <c r="C6" i="4"/>
  <c r="D6" i="4" s="1"/>
  <c r="Y5" i="4"/>
  <c r="W5" i="4"/>
  <c r="T5" i="4"/>
  <c r="U5" i="4" s="1"/>
  <c r="H5" i="4"/>
  <c r="F5" i="4"/>
  <c r="N5" i="4"/>
  <c r="L5" i="4"/>
  <c r="C5" i="4"/>
  <c r="D5" i="4" s="1"/>
  <c r="F4" i="4"/>
  <c r="Y4" i="4"/>
  <c r="W4" i="4"/>
  <c r="T4" i="4"/>
  <c r="U4" i="4" s="1"/>
  <c r="N4" i="4"/>
  <c r="L4" i="4"/>
  <c r="H4" i="4"/>
  <c r="C4" i="4"/>
  <c r="D4" i="4" s="1"/>
  <c r="N3" i="4"/>
  <c r="O3" i="4" s="1"/>
  <c r="L3" i="4"/>
  <c r="H3" i="4"/>
  <c r="F3" i="4"/>
  <c r="C3" i="4"/>
  <c r="D3" i="4" s="1"/>
  <c r="Y3" i="4"/>
  <c r="Z3" i="4" s="1"/>
  <c r="W3" i="4"/>
  <c r="T3" i="4"/>
  <c r="U3" i="4" s="1"/>
  <c r="Y2" i="4"/>
  <c r="Z2" i="4" s="1"/>
  <c r="W2" i="4"/>
  <c r="D2" i="4"/>
  <c r="T2" i="4"/>
  <c r="U2" i="4" s="1"/>
  <c r="N2" i="4"/>
  <c r="L2" i="4"/>
  <c r="H2" i="4"/>
  <c r="F2" i="4"/>
  <c r="C2" i="4"/>
  <c r="O2" i="4"/>
  <c r="I2" i="4"/>
  <c r="Y42" i="2"/>
  <c r="W42" i="2"/>
  <c r="T42" i="2"/>
  <c r="U42" i="2" s="1"/>
  <c r="L42" i="2"/>
  <c r="O42" i="2" s="1"/>
  <c r="H42" i="2"/>
  <c r="F42" i="2"/>
  <c r="C42" i="2"/>
  <c r="D42" i="2" s="1"/>
  <c r="O41" i="2"/>
  <c r="L41" i="2"/>
  <c r="H41" i="2"/>
  <c r="I41" i="2"/>
  <c r="F41" i="2"/>
  <c r="Y39" i="2"/>
  <c r="W39" i="2"/>
  <c r="Z39" i="2" s="1"/>
  <c r="T39" i="2"/>
  <c r="U39" i="2" s="1"/>
  <c r="N39" i="2"/>
  <c r="O39" i="2"/>
  <c r="L39" i="2"/>
  <c r="H39" i="2"/>
  <c r="F39" i="2"/>
  <c r="C39" i="2"/>
  <c r="D39" i="2" s="1"/>
  <c r="Y38" i="2"/>
  <c r="W38" i="2"/>
  <c r="T38" i="2"/>
  <c r="U38" i="2" s="1"/>
  <c r="N38" i="2"/>
  <c r="L38" i="2"/>
  <c r="O38" i="2" s="1"/>
  <c r="H38" i="2"/>
  <c r="I38" i="2" s="1"/>
  <c r="F38" i="2"/>
  <c r="C38" i="2"/>
  <c r="D38" i="2" s="1"/>
  <c r="W36" i="2"/>
  <c r="Y36" i="2"/>
  <c r="T36" i="2"/>
  <c r="U36" i="2" s="1"/>
  <c r="N36" i="2"/>
  <c r="O36" i="2" s="1"/>
  <c r="L36" i="2"/>
  <c r="H36" i="2"/>
  <c r="F36" i="2"/>
  <c r="C36" i="2"/>
  <c r="D36" i="2" s="1"/>
  <c r="Y35" i="2"/>
  <c r="W35" i="2"/>
  <c r="T35" i="2"/>
  <c r="U35" i="2" s="1"/>
  <c r="N35" i="2"/>
  <c r="O35" i="2" s="1"/>
  <c r="L35" i="2"/>
  <c r="H35" i="2"/>
  <c r="F35" i="2"/>
  <c r="C35" i="2"/>
  <c r="D35" i="2" s="1"/>
  <c r="Y34" i="2"/>
  <c r="W34" i="2"/>
  <c r="T34" i="2"/>
  <c r="U34" i="2" s="1"/>
  <c r="N34" i="2"/>
  <c r="O34" i="2" s="1"/>
  <c r="L34" i="2"/>
  <c r="H34" i="2"/>
  <c r="F34" i="2"/>
  <c r="C34" i="2"/>
  <c r="D34" i="2" s="1"/>
  <c r="Y33" i="2"/>
  <c r="W33" i="2"/>
  <c r="T33" i="2"/>
  <c r="U33" i="2" s="1"/>
  <c r="L33" i="2"/>
  <c r="N33" i="2"/>
  <c r="O33" i="2" s="1"/>
  <c r="H33" i="2"/>
  <c r="I33" i="2" s="1"/>
  <c r="F33" i="2"/>
  <c r="C33" i="2"/>
  <c r="D33" i="2" s="1"/>
  <c r="N32" i="2"/>
  <c r="O32" i="2"/>
  <c r="L32" i="2"/>
  <c r="AC13" i="2"/>
  <c r="Y30" i="2"/>
  <c r="W30" i="2"/>
  <c r="T30" i="2"/>
  <c r="U30" i="2" s="1"/>
  <c r="N30" i="2"/>
  <c r="L30" i="2"/>
  <c r="H30" i="2"/>
  <c r="I30" i="2" s="1"/>
  <c r="F30" i="2"/>
  <c r="C30" i="2"/>
  <c r="D30" i="2" s="1"/>
  <c r="Y29" i="2"/>
  <c r="W29" i="2"/>
  <c r="T29" i="2"/>
  <c r="U29" i="2" s="1"/>
  <c r="N29" i="2"/>
  <c r="L29" i="2"/>
  <c r="H29" i="2"/>
  <c r="F29" i="2"/>
  <c r="C29" i="2"/>
  <c r="D29" i="2" s="1"/>
  <c r="Y28" i="2"/>
  <c r="W28" i="2"/>
  <c r="T28" i="2"/>
  <c r="U28" i="2" s="1"/>
  <c r="N28" i="2"/>
  <c r="L28" i="2"/>
  <c r="H28" i="2"/>
  <c r="F28" i="2"/>
  <c r="C28" i="2"/>
  <c r="D28" i="2"/>
  <c r="Y27" i="2"/>
  <c r="W27" i="2"/>
  <c r="Z27" i="2" s="1"/>
  <c r="T27" i="2"/>
  <c r="U27" i="2" s="1"/>
  <c r="O27" i="2"/>
  <c r="N27" i="2"/>
  <c r="L27" i="2"/>
  <c r="H27" i="2"/>
  <c r="F27" i="2"/>
  <c r="C27" i="2"/>
  <c r="D27" i="2" s="1"/>
  <c r="Y26" i="2"/>
  <c r="W26" i="2"/>
  <c r="Z26" i="2" s="1"/>
  <c r="T26" i="2"/>
  <c r="U26" i="2" s="1"/>
  <c r="N26" i="2"/>
  <c r="L26" i="2"/>
  <c r="H26" i="2"/>
  <c r="F26" i="2"/>
  <c r="C26" i="2"/>
  <c r="D26" i="2"/>
  <c r="Y25" i="2"/>
  <c r="Z25" i="2" s="1"/>
  <c r="W25" i="2"/>
  <c r="T25" i="2"/>
  <c r="U25" i="2" s="1"/>
  <c r="H25" i="2"/>
  <c r="F25" i="2"/>
  <c r="C25" i="2"/>
  <c r="D25" i="2" s="1"/>
  <c r="H23" i="2"/>
  <c r="F23" i="2"/>
  <c r="Y23" i="2"/>
  <c r="Z23" i="2" s="1"/>
  <c r="W23" i="2"/>
  <c r="T23" i="2"/>
  <c r="U23" i="2" s="1"/>
  <c r="N25" i="2"/>
  <c r="L25" i="2"/>
  <c r="O25" i="2" s="1"/>
  <c r="N23" i="2"/>
  <c r="L23" i="2"/>
  <c r="C23" i="2"/>
  <c r="D23" i="2" s="1"/>
  <c r="Y22" i="2"/>
  <c r="W22" i="2"/>
  <c r="T22" i="2"/>
  <c r="U22" i="2" s="1"/>
  <c r="N22" i="2"/>
  <c r="L22" i="2"/>
  <c r="H22" i="2"/>
  <c r="I22" i="2" s="1"/>
  <c r="F22" i="2"/>
  <c r="C22" i="2"/>
  <c r="D22" i="2" s="1"/>
  <c r="Y21" i="2"/>
  <c r="W21" i="2"/>
  <c r="Z21" i="2" s="1"/>
  <c r="T21" i="2"/>
  <c r="U21" i="2" s="1"/>
  <c r="N21" i="2"/>
  <c r="O21" i="2" s="1"/>
  <c r="L21" i="2"/>
  <c r="H21" i="2"/>
  <c r="F21" i="2"/>
  <c r="C21" i="2"/>
  <c r="D21" i="2" s="1"/>
  <c r="N20" i="2"/>
  <c r="L20" i="2"/>
  <c r="Y18" i="2"/>
  <c r="W18" i="2"/>
  <c r="T18" i="2"/>
  <c r="U18" i="2" s="1"/>
  <c r="N18" i="2"/>
  <c r="L18" i="2"/>
  <c r="O18" i="2" s="1"/>
  <c r="H18" i="2"/>
  <c r="F18" i="2"/>
  <c r="I18" i="2" s="1"/>
  <c r="C18" i="2"/>
  <c r="D18" i="2" s="1"/>
  <c r="Y17" i="2"/>
  <c r="W17" i="2"/>
  <c r="Z17" i="2" s="1"/>
  <c r="T17" i="2"/>
  <c r="U17" i="2" s="1"/>
  <c r="H17" i="2"/>
  <c r="I17" i="2" s="1"/>
  <c r="F17" i="2"/>
  <c r="C17" i="2"/>
  <c r="D17" i="2" s="1"/>
  <c r="N17" i="2"/>
  <c r="O17" i="2" s="1"/>
  <c r="L17" i="2"/>
  <c r="H16" i="2"/>
  <c r="F16" i="2"/>
  <c r="D16" i="2"/>
  <c r="C16" i="2"/>
  <c r="N16" i="2"/>
  <c r="L16" i="2"/>
  <c r="Z16" i="2"/>
  <c r="Y16" i="2"/>
  <c r="W16" i="2"/>
  <c r="T16" i="2"/>
  <c r="U16" i="2" s="1"/>
  <c r="Y15" i="2"/>
  <c r="Z15" i="2" s="1"/>
  <c r="W15" i="2"/>
  <c r="T15" i="2"/>
  <c r="U15" i="2" s="1"/>
  <c r="N15" i="2"/>
  <c r="L15" i="2"/>
  <c r="H15" i="2"/>
  <c r="F15" i="2"/>
  <c r="C15" i="2"/>
  <c r="D15" i="2" s="1"/>
  <c r="Z14" i="2"/>
  <c r="AA14" i="2" s="1"/>
  <c r="Y14" i="2"/>
  <c r="W14" i="2"/>
  <c r="T14" i="2"/>
  <c r="U14" i="2" s="1"/>
  <c r="N14" i="2"/>
  <c r="O14" i="2" s="1"/>
  <c r="L14" i="2"/>
  <c r="H14" i="2"/>
  <c r="F14" i="2"/>
  <c r="I14" i="2" s="1"/>
  <c r="D14" i="2"/>
  <c r="C14" i="2"/>
  <c r="Y13" i="2"/>
  <c r="W13" i="2"/>
  <c r="Y11" i="2"/>
  <c r="Z11" i="2" s="1"/>
  <c r="W11" i="2"/>
  <c r="T11" i="2"/>
  <c r="U11" i="2" s="1"/>
  <c r="N11" i="2"/>
  <c r="L11" i="2"/>
  <c r="H11" i="2"/>
  <c r="I11" i="2" s="1"/>
  <c r="F11" i="2"/>
  <c r="C11" i="2"/>
  <c r="D11" i="2" s="1"/>
  <c r="Y9" i="2"/>
  <c r="W9" i="2"/>
  <c r="T9" i="2"/>
  <c r="U9" i="2" s="1"/>
  <c r="N9" i="2"/>
  <c r="L9" i="2"/>
  <c r="H9" i="2"/>
  <c r="F9" i="2"/>
  <c r="C9" i="2"/>
  <c r="D9" i="2" s="1"/>
  <c r="Y6" i="2"/>
  <c r="W6" i="2"/>
  <c r="T6" i="2"/>
  <c r="U6" i="2" s="1"/>
  <c r="Q6" i="2"/>
  <c r="O6" i="2"/>
  <c r="N6" i="2"/>
  <c r="L6" i="2"/>
  <c r="H6" i="2"/>
  <c r="F6" i="2"/>
  <c r="C6" i="2"/>
  <c r="D6" i="2" s="1"/>
  <c r="Y10" i="2"/>
  <c r="Z10" i="2" s="1"/>
  <c r="W10" i="2"/>
  <c r="T10" i="2"/>
  <c r="U10" i="2" s="1"/>
  <c r="N10" i="2"/>
  <c r="O10" i="2" s="1"/>
  <c r="L10" i="2"/>
  <c r="N8" i="2"/>
  <c r="O8" i="2" s="1"/>
  <c r="L8" i="2"/>
  <c r="H10" i="2"/>
  <c r="F10" i="2"/>
  <c r="C10" i="2"/>
  <c r="D10" i="2" s="1"/>
  <c r="Q5" i="2"/>
  <c r="Y5" i="2"/>
  <c r="W5" i="2"/>
  <c r="T5" i="2"/>
  <c r="U5" i="2" s="1"/>
  <c r="H5" i="2"/>
  <c r="F5" i="2"/>
  <c r="N5" i="2"/>
  <c r="L5" i="2"/>
  <c r="O5" i="2" s="1"/>
  <c r="C5" i="2"/>
  <c r="D5" i="2" s="1"/>
  <c r="Y4" i="2"/>
  <c r="W4" i="2"/>
  <c r="T4" i="2"/>
  <c r="U4" i="2" s="1"/>
  <c r="H4" i="2"/>
  <c r="F4" i="2"/>
  <c r="C4" i="2"/>
  <c r="D4" i="2" s="1"/>
  <c r="N4" i="2"/>
  <c r="O4" i="2" s="1"/>
  <c r="L4" i="2"/>
  <c r="Y3" i="2"/>
  <c r="W3" i="2"/>
  <c r="T3" i="2"/>
  <c r="U3" i="2" s="1"/>
  <c r="N3" i="2"/>
  <c r="L3" i="2"/>
  <c r="H3" i="2"/>
  <c r="F3" i="2"/>
  <c r="C3" i="2"/>
  <c r="D3" i="2" s="1"/>
  <c r="Y2" i="2"/>
  <c r="W2" i="2"/>
  <c r="U2" i="2"/>
  <c r="T2" i="2"/>
  <c r="N2" i="2"/>
  <c r="L2" i="2"/>
  <c r="H2" i="2"/>
  <c r="I2" i="2" s="1"/>
  <c r="F2" i="2"/>
  <c r="C2" i="2"/>
  <c r="D2" i="2" s="1"/>
  <c r="W23" i="1"/>
  <c r="U23" i="1"/>
  <c r="X23" i="1" s="1"/>
  <c r="R23" i="1"/>
  <c r="S23" i="1" s="1"/>
  <c r="N23" i="1"/>
  <c r="L23" i="1"/>
  <c r="I23" i="1"/>
  <c r="F23" i="1"/>
  <c r="C23" i="1"/>
  <c r="D23" i="1" s="1"/>
  <c r="W22" i="1"/>
  <c r="X22" i="1" s="1"/>
  <c r="Y22" i="1" s="1"/>
  <c r="U22" i="1"/>
  <c r="R22" i="1"/>
  <c r="S22" i="1" s="1"/>
  <c r="N22" i="1"/>
  <c r="O22" i="1" s="1"/>
  <c r="L22" i="1"/>
  <c r="C22" i="1"/>
  <c r="D22" i="1" s="1"/>
  <c r="I22" i="1"/>
  <c r="F22" i="1"/>
  <c r="W20" i="1"/>
  <c r="U20" i="1"/>
  <c r="X20" i="1" s="1"/>
  <c r="Y20" i="1" s="1"/>
  <c r="R20" i="1"/>
  <c r="S20" i="1" s="1"/>
  <c r="N20" i="1"/>
  <c r="O20" i="1"/>
  <c r="L20" i="1"/>
  <c r="H20" i="1"/>
  <c r="I20" i="1" s="1"/>
  <c r="F20" i="1"/>
  <c r="C20" i="1"/>
  <c r="D20" i="1"/>
  <c r="AA10" i="1"/>
  <c r="N19" i="1"/>
  <c r="O19" i="1" s="1"/>
  <c r="L19" i="1"/>
  <c r="H19" i="1"/>
  <c r="F19" i="1"/>
  <c r="C19" i="1"/>
  <c r="D19" i="1" s="1"/>
  <c r="W19" i="1"/>
  <c r="U19" i="1"/>
  <c r="R19" i="1"/>
  <c r="S19" i="1" s="1"/>
  <c r="W18" i="1"/>
  <c r="X18" i="1" s="1"/>
  <c r="U18" i="1"/>
  <c r="R18" i="1"/>
  <c r="S18" i="1" s="1"/>
  <c r="N18" i="1"/>
  <c r="O18" i="1" s="1"/>
  <c r="L18" i="1"/>
  <c r="I18" i="1"/>
  <c r="C18" i="1"/>
  <c r="D18" i="1" s="1"/>
  <c r="H18" i="1"/>
  <c r="F18" i="1"/>
  <c r="W16" i="1"/>
  <c r="U16" i="1"/>
  <c r="R16" i="1"/>
  <c r="S16" i="1"/>
  <c r="N16" i="1"/>
  <c r="O16" i="1" s="1"/>
  <c r="L16" i="1"/>
  <c r="H16" i="1"/>
  <c r="F16" i="1"/>
  <c r="I16" i="1" s="1"/>
  <c r="C16" i="1"/>
  <c r="D16" i="1" s="1"/>
  <c r="W15" i="1"/>
  <c r="U15" i="1"/>
  <c r="R15" i="1"/>
  <c r="S15" i="1" s="1"/>
  <c r="N15" i="1"/>
  <c r="O15" i="1" s="1"/>
  <c r="L15" i="1"/>
  <c r="H15" i="1"/>
  <c r="F15" i="1"/>
  <c r="C15" i="1"/>
  <c r="D15" i="1" s="1"/>
  <c r="W14" i="1"/>
  <c r="X14" i="1" s="1"/>
  <c r="U14" i="1"/>
  <c r="R14" i="1"/>
  <c r="S14" i="1" s="1"/>
  <c r="N14" i="1"/>
  <c r="L14" i="1"/>
  <c r="H14" i="1"/>
  <c r="I14" i="1" s="1"/>
  <c r="F14" i="1"/>
  <c r="C14" i="1"/>
  <c r="D14" i="1" s="1"/>
  <c r="W13" i="1"/>
  <c r="U13" i="1"/>
  <c r="N13" i="1"/>
  <c r="L13" i="1"/>
  <c r="O13" i="1" s="1"/>
  <c r="X13" i="1"/>
  <c r="R13" i="1"/>
  <c r="S13" i="1" s="1"/>
  <c r="H13" i="1"/>
  <c r="F13" i="1"/>
  <c r="C13" i="1"/>
  <c r="D13" i="1" s="1"/>
  <c r="W11" i="1"/>
  <c r="U11" i="1"/>
  <c r="X11" i="1" s="1"/>
  <c r="R11" i="1"/>
  <c r="S11" i="1" s="1"/>
  <c r="N11" i="1"/>
  <c r="O11" i="1" s="1"/>
  <c r="L11" i="1"/>
  <c r="H11" i="1"/>
  <c r="F11" i="1"/>
  <c r="C11" i="1"/>
  <c r="D11" i="1" s="1"/>
  <c r="W10" i="1"/>
  <c r="X10" i="1" s="1"/>
  <c r="U10" i="1"/>
  <c r="R10" i="1"/>
  <c r="S10" i="1" s="1"/>
  <c r="H10" i="1"/>
  <c r="F10" i="1"/>
  <c r="N10" i="1"/>
  <c r="O10" i="1" s="1"/>
  <c r="L10" i="1"/>
  <c r="C10" i="1"/>
  <c r="D10" i="1" s="1"/>
  <c r="U9" i="1"/>
  <c r="U5" i="1"/>
  <c r="U4" i="1"/>
  <c r="U3" i="1"/>
  <c r="U2" i="1"/>
  <c r="N9" i="1"/>
  <c r="O9" i="1" s="1"/>
  <c r="L9" i="1"/>
  <c r="W9" i="1"/>
  <c r="R9" i="1"/>
  <c r="S9" i="1" s="1"/>
  <c r="I9" i="1"/>
  <c r="H9" i="1"/>
  <c r="F9" i="1"/>
  <c r="L8" i="1"/>
  <c r="N8" i="1"/>
  <c r="O8" i="1" s="1"/>
  <c r="C9" i="1"/>
  <c r="D9" i="1" s="1"/>
  <c r="N6" i="1"/>
  <c r="L6" i="1"/>
  <c r="O6" i="1" s="1"/>
  <c r="W5" i="1"/>
  <c r="X5" i="1" s="1"/>
  <c r="R5" i="1"/>
  <c r="S5" i="1" s="1"/>
  <c r="N5" i="1"/>
  <c r="L5" i="1"/>
  <c r="H5" i="1"/>
  <c r="F5" i="1"/>
  <c r="C5" i="1"/>
  <c r="D5" i="1" s="1"/>
  <c r="H4" i="1"/>
  <c r="F4" i="1"/>
  <c r="N4" i="1"/>
  <c r="L4" i="1"/>
  <c r="C4" i="1"/>
  <c r="D4" i="1" s="1"/>
  <c r="W4" i="1"/>
  <c r="X4" i="1" s="1"/>
  <c r="R4" i="1"/>
  <c r="S4" i="1" s="1"/>
  <c r="W3" i="1"/>
  <c r="X3" i="1" s="1"/>
  <c r="W2" i="1"/>
  <c r="X2" i="1" s="1"/>
  <c r="R3" i="1"/>
  <c r="S3" i="1" s="1"/>
  <c r="R2" i="1"/>
  <c r="N3" i="1"/>
  <c r="L3" i="1"/>
  <c r="H3" i="1"/>
  <c r="F3" i="1"/>
  <c r="C3" i="1"/>
  <c r="D3" i="1" s="1"/>
  <c r="C2" i="1"/>
  <c r="N2" i="1"/>
  <c r="O2" i="1" s="1"/>
  <c r="L2" i="1"/>
  <c r="H2" i="1"/>
  <c r="I2" i="1" s="1"/>
  <c r="F2" i="1"/>
  <c r="Y18" i="1" l="1"/>
  <c r="AA39" i="2"/>
  <c r="AA39" i="4"/>
  <c r="AA41" i="4"/>
  <c r="Y2" i="1"/>
  <c r="O3" i="1"/>
  <c r="O4" i="1"/>
  <c r="I11" i="1"/>
  <c r="O11" i="2"/>
  <c r="O15" i="2"/>
  <c r="AA15" i="2" s="1"/>
  <c r="I25" i="2"/>
  <c r="AA25" i="2" s="1"/>
  <c r="I27" i="2"/>
  <c r="Z8" i="4"/>
  <c r="AA8" i="4" s="1"/>
  <c r="O12" i="4"/>
  <c r="O13" i="4"/>
  <c r="AA13" i="4" s="1"/>
  <c r="AA36" i="4"/>
  <c r="I5" i="1"/>
  <c r="I10" i="1"/>
  <c r="Y10" i="1" s="1"/>
  <c r="O14" i="1"/>
  <c r="Y14" i="1" s="1"/>
  <c r="X19" i="1"/>
  <c r="O2" i="2"/>
  <c r="Z5" i="2"/>
  <c r="O16" i="2"/>
  <c r="I16" i="2"/>
  <c r="Z18" i="2"/>
  <c r="AA18" i="2" s="1"/>
  <c r="O30" i="2"/>
  <c r="Z36" i="2"/>
  <c r="AA36" i="2" s="1"/>
  <c r="Z38" i="2"/>
  <c r="AA38" i="2" s="1"/>
  <c r="I39" i="2"/>
  <c r="I3" i="4"/>
  <c r="AA3" i="4" s="1"/>
  <c r="I6" i="4"/>
  <c r="Z19" i="4"/>
  <c r="O23" i="4"/>
  <c r="Z23" i="4"/>
  <c r="AA23" i="4" s="1"/>
  <c r="O32" i="4"/>
  <c r="Y11" i="1"/>
  <c r="I6" i="2"/>
  <c r="O9" i="2"/>
  <c r="AA11" i="2"/>
  <c r="I23" i="2"/>
  <c r="O28" i="2"/>
  <c r="O29" i="2"/>
  <c r="I34" i="2"/>
  <c r="I36" i="2"/>
  <c r="O19" i="4"/>
  <c r="I37" i="4"/>
  <c r="I40" i="4"/>
  <c r="AA40" i="4" s="1"/>
  <c r="I3" i="1"/>
  <c r="X16" i="1"/>
  <c r="Z6" i="2"/>
  <c r="AA6" i="2" s="1"/>
  <c r="I21" i="2"/>
  <c r="AA21" i="2" s="1"/>
  <c r="I28" i="2"/>
  <c r="Z28" i="2"/>
  <c r="Z5" i="4"/>
  <c r="I7" i="4"/>
  <c r="Z13" i="4"/>
  <c r="AA32" i="4"/>
  <c r="O37" i="4"/>
  <c r="O40" i="4"/>
  <c r="AA48" i="4"/>
  <c r="Z45" i="4"/>
  <c r="AA45" i="4" s="1"/>
  <c r="Z44" i="4"/>
  <c r="AA44" i="4"/>
  <c r="Z33" i="4"/>
  <c r="AA33" i="4" s="1"/>
  <c r="Z29" i="4"/>
  <c r="O29" i="4"/>
  <c r="I29" i="4"/>
  <c r="AA29" i="4"/>
  <c r="I28" i="4"/>
  <c r="AA28" i="4" s="1"/>
  <c r="Z24" i="4"/>
  <c r="O24" i="4"/>
  <c r="I24" i="4"/>
  <c r="Z20" i="4"/>
  <c r="AA20" i="4" s="1"/>
  <c r="Z16" i="4"/>
  <c r="Z14" i="4"/>
  <c r="AA14" i="4" s="1"/>
  <c r="I16" i="4"/>
  <c r="I15" i="4"/>
  <c r="AA15" i="4" s="1"/>
  <c r="I12" i="4"/>
  <c r="Z12" i="4"/>
  <c r="AA12" i="4" s="1"/>
  <c r="Z11" i="4"/>
  <c r="AA11" i="4" s="1"/>
  <c r="I11" i="4"/>
  <c r="O7" i="4"/>
  <c r="Z7" i="4"/>
  <c r="AA7" i="4" s="1"/>
  <c r="AA6" i="4"/>
  <c r="O5" i="4"/>
  <c r="I5" i="4"/>
  <c r="O4" i="4"/>
  <c r="Z4" i="4"/>
  <c r="I4" i="4"/>
  <c r="AA2" i="4"/>
  <c r="I42" i="2"/>
  <c r="Z42" i="2"/>
  <c r="I35" i="2"/>
  <c r="Z35" i="2"/>
  <c r="AA35" i="2" s="1"/>
  <c r="Z34" i="2"/>
  <c r="AA34" i="2" s="1"/>
  <c r="Z33" i="2"/>
  <c r="AA33" i="2" s="1"/>
  <c r="Z30" i="2"/>
  <c r="AA30" i="2"/>
  <c r="I29" i="2"/>
  <c r="Z29" i="2"/>
  <c r="AA28" i="2"/>
  <c r="AA27" i="2"/>
  <c r="O26" i="2"/>
  <c r="I26" i="2"/>
  <c r="AA26" i="2" s="1"/>
  <c r="O23" i="2"/>
  <c r="AA23" i="2" s="1"/>
  <c r="O22" i="2"/>
  <c r="Z22" i="2"/>
  <c r="AA17" i="2"/>
  <c r="AA16" i="2"/>
  <c r="I15" i="2"/>
  <c r="I3" i="2"/>
  <c r="Z3" i="2"/>
  <c r="AA3" i="2" s="1"/>
  <c r="Z4" i="2"/>
  <c r="Z9" i="2"/>
  <c r="I9" i="2"/>
  <c r="AA10" i="2"/>
  <c r="I10" i="2"/>
  <c r="O3" i="2"/>
  <c r="I5" i="2"/>
  <c r="AA5" i="2" s="1"/>
  <c r="I4" i="2"/>
  <c r="AA4" i="2" s="1"/>
  <c r="Z2" i="2"/>
  <c r="AA2" i="2" s="1"/>
  <c r="O23" i="1"/>
  <c r="Y23" i="1" s="1"/>
  <c r="I19" i="1"/>
  <c r="Y19" i="1"/>
  <c r="Y16" i="1"/>
  <c r="I15" i="1"/>
  <c r="X15" i="1"/>
  <c r="Y15" i="1"/>
  <c r="I13" i="1"/>
  <c r="Y13" i="1" s="1"/>
  <c r="X9" i="1"/>
  <c r="Y9" i="1"/>
  <c r="O5" i="1"/>
  <c r="Y5" i="1" s="1"/>
  <c r="I4" i="1"/>
  <c r="Y4" i="1"/>
  <c r="Y3" i="1"/>
  <c r="AA29" i="2" l="1"/>
  <c r="AA37" i="4"/>
  <c r="AA9" i="2"/>
  <c r="AA5" i="4"/>
  <c r="AA42" i="2"/>
  <c r="AA16" i="4"/>
  <c r="AA24" i="4"/>
  <c r="AA19" i="4"/>
  <c r="AA4" i="4"/>
  <c r="AA22" i="2"/>
</calcChain>
</file>

<file path=xl/sharedStrings.xml><?xml version="1.0" encoding="utf-8"?>
<sst xmlns="http://schemas.openxmlformats.org/spreadsheetml/2006/main" count="336" uniqueCount="121">
  <si>
    <t>Date</t>
  </si>
  <si>
    <t>NF</t>
  </si>
  <si>
    <t>Diff</t>
  </si>
  <si>
    <t>Net</t>
  </si>
  <si>
    <t>Total</t>
  </si>
  <si>
    <t>BNF</t>
  </si>
  <si>
    <t>%</t>
  </si>
  <si>
    <t>204 C</t>
  </si>
  <si>
    <t>204 P</t>
  </si>
  <si>
    <t>208 C</t>
  </si>
  <si>
    <t>201 P</t>
  </si>
  <si>
    <t>89 C</t>
  </si>
  <si>
    <t>87 P</t>
  </si>
  <si>
    <t>198 P</t>
  </si>
  <si>
    <t>206 C</t>
  </si>
  <si>
    <t>200 P</t>
  </si>
  <si>
    <t>885 C</t>
  </si>
  <si>
    <t>875 P</t>
  </si>
  <si>
    <t>205 C</t>
  </si>
  <si>
    <t>Booked</t>
  </si>
  <si>
    <t>21 C</t>
  </si>
  <si>
    <t>21 P</t>
  </si>
  <si>
    <t>212 C</t>
  </si>
  <si>
    <t>206 P</t>
  </si>
  <si>
    <t>90 C</t>
  </si>
  <si>
    <t>885 P</t>
  </si>
  <si>
    <t>211 C</t>
  </si>
  <si>
    <t>202 P</t>
  </si>
  <si>
    <t>91 C</t>
  </si>
  <si>
    <t>895 P</t>
  </si>
  <si>
    <t>215 C</t>
  </si>
  <si>
    <t>209 P</t>
  </si>
  <si>
    <t>205 P</t>
  </si>
  <si>
    <t>214 C</t>
  </si>
  <si>
    <t>214 P</t>
  </si>
  <si>
    <t>217 C</t>
  </si>
  <si>
    <t>211 P</t>
  </si>
  <si>
    <t>92 C</t>
  </si>
  <si>
    <t>905 P</t>
  </si>
  <si>
    <t>219 C</t>
  </si>
  <si>
    <t>213 P</t>
  </si>
  <si>
    <t>221 C</t>
  </si>
  <si>
    <t>215 P</t>
  </si>
  <si>
    <t>218 C</t>
  </si>
  <si>
    <t>212 P</t>
  </si>
  <si>
    <t>216 C</t>
  </si>
  <si>
    <t>218 P</t>
  </si>
  <si>
    <t>217 P</t>
  </si>
  <si>
    <t>22 C</t>
  </si>
  <si>
    <t>219 P</t>
  </si>
  <si>
    <t>22 P</t>
  </si>
  <si>
    <t>222 C</t>
  </si>
  <si>
    <t>223 C</t>
  </si>
  <si>
    <t>223 P</t>
  </si>
  <si>
    <t>226 C</t>
  </si>
  <si>
    <t>220 P</t>
  </si>
  <si>
    <t>94 C</t>
  </si>
  <si>
    <t>925 P</t>
  </si>
  <si>
    <t>225 C</t>
  </si>
  <si>
    <t>225 P</t>
  </si>
  <si>
    <t>23 C</t>
  </si>
  <si>
    <t>224P</t>
  </si>
  <si>
    <t>231 C</t>
  </si>
  <si>
    <t>945 C</t>
  </si>
  <si>
    <t>935 P</t>
  </si>
  <si>
    <t>224 P</t>
  </si>
  <si>
    <t>227 C</t>
  </si>
  <si>
    <t>228 C</t>
  </si>
  <si>
    <t>23 P</t>
  </si>
  <si>
    <t>235 C</t>
  </si>
  <si>
    <t>229 P</t>
  </si>
  <si>
    <t>955 C</t>
  </si>
  <si>
    <t>94 P</t>
  </si>
  <si>
    <t>236 C</t>
  </si>
  <si>
    <t>239 C</t>
  </si>
  <si>
    <t>233 P</t>
  </si>
  <si>
    <t>237 C</t>
  </si>
  <si>
    <t>231 P</t>
  </si>
  <si>
    <t>238 C</t>
  </si>
  <si>
    <t>24 C</t>
  </si>
  <si>
    <t>234 P</t>
  </si>
  <si>
    <t>232 C</t>
  </si>
  <si>
    <t>232 P</t>
  </si>
  <si>
    <t>96 C</t>
  </si>
  <si>
    <t>945 P</t>
  </si>
  <si>
    <t>242 C</t>
  </si>
  <si>
    <t>236 P</t>
  </si>
  <si>
    <t>955 P</t>
  </si>
  <si>
    <t>245 C</t>
  </si>
  <si>
    <t>239 P</t>
  </si>
  <si>
    <t>247 C</t>
  </si>
  <si>
    <t>Feb</t>
  </si>
  <si>
    <t>Mar</t>
  </si>
  <si>
    <t>Apr</t>
  </si>
  <si>
    <t>May</t>
  </si>
  <si>
    <t>Jun</t>
  </si>
  <si>
    <t>Jul</t>
  </si>
  <si>
    <t>248 C</t>
  </si>
  <si>
    <t>248 P</t>
  </si>
  <si>
    <t>10050 C</t>
  </si>
  <si>
    <t>99 P</t>
  </si>
  <si>
    <t>25 C</t>
  </si>
  <si>
    <t>247 P</t>
  </si>
  <si>
    <t>246 P</t>
  </si>
  <si>
    <t>243 P</t>
  </si>
  <si>
    <t>242 P</t>
  </si>
  <si>
    <t>241 C</t>
  </si>
  <si>
    <t>241 P</t>
  </si>
  <si>
    <t>985 C</t>
  </si>
  <si>
    <t>97 P</t>
  </si>
  <si>
    <t>243 C</t>
  </si>
  <si>
    <t>99 C</t>
  </si>
  <si>
    <t>975 P</t>
  </si>
  <si>
    <t>985 P</t>
  </si>
  <si>
    <t>10 C</t>
  </si>
  <si>
    <t>100 C</t>
  </si>
  <si>
    <t>99 P O</t>
  </si>
  <si>
    <t>995 C</t>
  </si>
  <si>
    <t>Sep</t>
  </si>
  <si>
    <t>98 C</t>
  </si>
  <si>
    <t>98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</si>
</sst>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:B7"/>
    </sheetView>
  </sheetViews>
  <sheetFormatPr defaultRowHeight="15" x14ac:dyDescent="0.25"/>
  <sheetData>
    <row r="1" spans="1:2" x14ac:dyDescent="0.25">
      <c r="A1" t="s">
        <v>91</v>
      </c>
      <c r="B1">
        <v>4612</v>
      </c>
    </row>
    <row r="2" spans="1:2" x14ac:dyDescent="0.25">
      <c r="A2" t="s">
        <v>92</v>
      </c>
      <c r="B2">
        <v>33578</v>
      </c>
    </row>
    <row r="3" spans="1:2" x14ac:dyDescent="0.25">
      <c r="A3" t="s">
        <v>93</v>
      </c>
      <c r="B3">
        <v>57450</v>
      </c>
    </row>
    <row r="4" spans="1:2" x14ac:dyDescent="0.25">
      <c r="A4" t="s">
        <v>94</v>
      </c>
      <c r="B4">
        <v>9300</v>
      </c>
    </row>
    <row r="5" spans="1:2" x14ac:dyDescent="0.25">
      <c r="A5" t="s">
        <v>95</v>
      </c>
      <c r="B5">
        <v>19005</v>
      </c>
    </row>
    <row r="6" spans="1:2" x14ac:dyDescent="0.25">
      <c r="A6" t="s">
        <v>96</v>
      </c>
      <c r="B6">
        <v>-87570</v>
      </c>
    </row>
    <row r="7" spans="1:2" x14ac:dyDescent="0.25">
      <c r="A7" t="s">
        <v>118</v>
      </c>
      <c r="B7">
        <v>22000</v>
      </c>
    </row>
    <row r="13" spans="1:2" x14ac:dyDescent="0.25">
      <c r="A13" t="s">
        <v>4</v>
      </c>
      <c r="B13">
        <f>SUM(B1:B11)</f>
        <v>58375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8576"/>
  <sheetViews>
    <sheetView tabSelected="1" workbookViewId="0">
      <selection activeCell="P3" sqref="P3"/>
    </sheetView>
  </sheetViews>
  <sheetFormatPr defaultRowHeight="15" x14ac:dyDescent="0.25"/>
  <cols>
    <col min="1" max="1" width="7" style="5" bestFit="1" customWidth="1"/>
    <col min="2" max="2" width="6" style="5" bestFit="1" customWidth="1"/>
    <col min="3" max="3" width="4.7109375" style="5" bestFit="1" customWidth="1"/>
    <col min="4" max="4" width="5.140625" style="5" customWidth="1"/>
    <col min="5" max="5" width="5.5703125" style="5" bestFit="1" customWidth="1"/>
    <col min="6" max="6" width="4.28515625" style="5" bestFit="1" customWidth="1"/>
    <col min="7" max="7" width="5.5703125" style="5" bestFit="1" customWidth="1"/>
    <col min="8" max="8" width="4.28515625" style="5" bestFit="1" customWidth="1"/>
    <col min="9" max="9" width="5.7109375" style="5" bestFit="1" customWidth="1"/>
    <col min="10" max="10" width="9.140625" style="5"/>
    <col min="11" max="11" width="5" style="5" bestFit="1" customWidth="1"/>
    <col min="12" max="12" width="4.28515625" style="5" bestFit="1" customWidth="1"/>
    <col min="13" max="13" width="5.5703125" style="5" customWidth="1"/>
    <col min="14" max="14" width="9.140625" style="5"/>
    <col min="15" max="15" width="4.5703125" style="5" bestFit="1" customWidth="1"/>
    <col min="16" max="16" width="4.28515625" style="5" bestFit="1" customWidth="1"/>
    <col min="17" max="17" width="5.5703125" style="5" bestFit="1" customWidth="1"/>
    <col min="18" max="18" width="4.28515625" style="5" bestFit="1" customWidth="1"/>
    <col min="19" max="19" width="5.7109375" style="5" bestFit="1" customWidth="1"/>
    <col min="20" max="20" width="9.140625" style="5"/>
    <col min="21" max="21" width="4.5703125" style="5" bestFit="1" customWidth="1"/>
    <col min="22" max="22" width="4.28515625" style="5" bestFit="1" customWidth="1"/>
    <col min="23" max="23" width="4.5703125" style="5" bestFit="1" customWidth="1"/>
    <col min="24" max="24" width="4.28515625" style="5" bestFit="1" customWidth="1"/>
    <col min="25" max="25" width="5" style="5" bestFit="1" customWidth="1"/>
    <col min="26" max="26" width="5.42578125" style="5" bestFit="1" customWidth="1"/>
    <col min="27" max="27" width="9.140625" style="5"/>
    <col min="28" max="28" width="7.7109375" style="5" bestFit="1" customWidth="1"/>
    <col min="29" max="29" width="6.7109375" style="5" bestFit="1" customWidth="1"/>
    <col min="30" max="16384" width="9.140625" style="5"/>
  </cols>
  <sheetData>
    <row r="1" spans="1:29" x14ac:dyDescent="0.25">
      <c r="A1" s="1" t="s">
        <v>0</v>
      </c>
      <c r="B1" s="1" t="s">
        <v>5</v>
      </c>
      <c r="C1" s="1" t="s">
        <v>2</v>
      </c>
      <c r="D1" s="1" t="s">
        <v>6</v>
      </c>
      <c r="E1" s="1" t="s">
        <v>85</v>
      </c>
      <c r="F1" s="1" t="s">
        <v>2</v>
      </c>
      <c r="G1" s="1" t="s">
        <v>105</v>
      </c>
      <c r="H1" s="1" t="s">
        <v>2</v>
      </c>
      <c r="I1" s="1" t="s">
        <v>3</v>
      </c>
      <c r="J1" s="1"/>
      <c r="K1" s="1" t="s">
        <v>1</v>
      </c>
      <c r="L1" s="1" t="s">
        <v>2</v>
      </c>
      <c r="M1" s="1" t="s">
        <v>6</v>
      </c>
      <c r="N1" s="1"/>
      <c r="O1" s="1" t="s">
        <v>111</v>
      </c>
      <c r="P1" s="1" t="s">
        <v>2</v>
      </c>
      <c r="Q1" s="1" t="s">
        <v>112</v>
      </c>
      <c r="R1" s="1" t="s">
        <v>2</v>
      </c>
      <c r="S1" s="1" t="s">
        <v>3</v>
      </c>
      <c r="T1" s="1"/>
      <c r="U1" s="1" t="s">
        <v>119</v>
      </c>
      <c r="V1" s="1" t="s">
        <v>2</v>
      </c>
      <c r="W1" s="1" t="s">
        <v>120</v>
      </c>
      <c r="X1" s="1" t="s">
        <v>2</v>
      </c>
      <c r="Y1" s="1" t="s">
        <v>3</v>
      </c>
      <c r="Z1" s="1" t="s">
        <v>4</v>
      </c>
      <c r="AA1" s="1"/>
      <c r="AB1" s="3" t="s">
        <v>19</v>
      </c>
      <c r="AC1" s="1"/>
    </row>
    <row r="2" spans="1:29" x14ac:dyDescent="0.25">
      <c r="A2" s="2">
        <v>43007</v>
      </c>
      <c r="B2" s="1">
        <v>24220</v>
      </c>
      <c r="C2" s="1">
        <f>B2-24220</f>
        <v>0</v>
      </c>
      <c r="D2" s="1">
        <f>C2*100/24220</f>
        <v>0</v>
      </c>
      <c r="E2" s="1">
        <v>367</v>
      </c>
      <c r="F2" s="1">
        <f>E2-367</f>
        <v>0</v>
      </c>
      <c r="G2" s="1">
        <v>338</v>
      </c>
      <c r="H2" s="1">
        <f>G2-338</f>
        <v>0</v>
      </c>
      <c r="I2" s="1">
        <f>(H2+F2)*160</f>
        <v>0</v>
      </c>
      <c r="J2" s="1"/>
      <c r="K2" s="1">
        <v>9817</v>
      </c>
      <c r="L2" s="1">
        <f>K2-9817</f>
        <v>0</v>
      </c>
      <c r="M2" s="1">
        <f>L2*100/9817</f>
        <v>0</v>
      </c>
      <c r="N2" s="1"/>
      <c r="O2" s="1">
        <v>90</v>
      </c>
      <c r="P2" s="1">
        <f>O2-90</f>
        <v>0</v>
      </c>
      <c r="Q2" s="1">
        <v>88</v>
      </c>
      <c r="R2" s="1">
        <f>Q2-88</f>
        <v>0</v>
      </c>
      <c r="S2" s="1">
        <f t="shared" ref="S2" si="0">(R2+P2)*225</f>
        <v>0</v>
      </c>
      <c r="T2" s="1"/>
      <c r="U2" s="1">
        <v>144</v>
      </c>
      <c r="V2" s="1">
        <f>144-U2</f>
        <v>0</v>
      </c>
      <c r="W2" s="1">
        <v>103</v>
      </c>
      <c r="X2" s="1">
        <f>103-W2</f>
        <v>0</v>
      </c>
      <c r="Y2" s="1">
        <f t="shared" ref="Y2" si="1">(X2+V2)*675</f>
        <v>0</v>
      </c>
      <c r="Z2" s="1">
        <f t="shared" ref="Z2" si="2">Y2+S2+I2</f>
        <v>0</v>
      </c>
      <c r="AA2" s="1"/>
      <c r="AB2" s="1"/>
      <c r="AC2" s="1"/>
    </row>
    <row r="3" spans="1:29" x14ac:dyDescent="0.25">
      <c r="A3" s="2">
        <v>43007</v>
      </c>
      <c r="B3" s="5">
        <v>24029</v>
      </c>
      <c r="C3" s="1">
        <f>B3-24220</f>
        <v>-191</v>
      </c>
      <c r="D3" s="1">
        <f>C3*100/24220</f>
        <v>-0.78860445912469035</v>
      </c>
      <c r="E3" s="5">
        <v>277</v>
      </c>
      <c r="F3" s="1">
        <f>E3-367</f>
        <v>-90</v>
      </c>
      <c r="G3" s="5">
        <v>408</v>
      </c>
      <c r="H3" s="1">
        <f>G3-338</f>
        <v>70</v>
      </c>
      <c r="I3" s="1">
        <f>(H3+F3)*160</f>
        <v>-3200</v>
      </c>
      <c r="K3" s="5">
        <v>9782</v>
      </c>
      <c r="L3" s="1">
        <f>K3-9817</f>
        <v>-35</v>
      </c>
      <c r="M3" s="1">
        <f>L3*100/9817</f>
        <v>-0.35652439645512884</v>
      </c>
      <c r="O3" s="5">
        <v>67</v>
      </c>
      <c r="P3" s="1">
        <f>O3-90</f>
        <v>-23</v>
      </c>
      <c r="Q3" s="5">
        <v>104</v>
      </c>
      <c r="R3" s="1">
        <f>Q3-88</f>
        <v>16</v>
      </c>
      <c r="S3" s="1">
        <f t="shared" ref="S3" si="3">(R3+P3)*225</f>
        <v>-1575</v>
      </c>
      <c r="U3" s="5">
        <v>115</v>
      </c>
      <c r="V3" s="1">
        <f>144-U3</f>
        <v>29</v>
      </c>
      <c r="W3" s="5">
        <v>123</v>
      </c>
      <c r="X3" s="1">
        <f>103-W3</f>
        <v>-20</v>
      </c>
      <c r="Y3" s="1">
        <f t="shared" ref="Y3" si="4">(X3+V3)*675</f>
        <v>6075</v>
      </c>
      <c r="Z3" s="1">
        <f t="shared" ref="Z3" si="5">Y3+S3+I3</f>
        <v>1300</v>
      </c>
    </row>
    <row r="1048576" spans="6:6" x14ac:dyDescent="0.25">
      <c r="F104857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" sqref="E1:E6"/>
    </sheetView>
  </sheetViews>
  <sheetFormatPr defaultRowHeight="15" x14ac:dyDescent="0.25"/>
  <sheetData>
    <row r="1" spans="1:16" x14ac:dyDescent="0.25">
      <c r="A1">
        <v>-5280</v>
      </c>
      <c r="C1">
        <v>-14740</v>
      </c>
      <c r="E1">
        <v>32062</v>
      </c>
      <c r="G1">
        <v>137</v>
      </c>
      <c r="I1">
        <v>96</v>
      </c>
      <c r="J1">
        <v>82</v>
      </c>
      <c r="K1">
        <v>178</v>
      </c>
      <c r="L1">
        <v>130</v>
      </c>
      <c r="M1">
        <f t="shared" ref="M1:M6" si="0">L1-K1</f>
        <v>-48</v>
      </c>
      <c r="N1">
        <f t="shared" ref="N1:N6" si="1">M1*225</f>
        <v>-10800</v>
      </c>
      <c r="O1">
        <f t="shared" ref="O1:O6" si="2">M1*675</f>
        <v>-32400</v>
      </c>
    </row>
    <row r="2" spans="1:16" x14ac:dyDescent="0.25">
      <c r="A2">
        <v>-19040</v>
      </c>
      <c r="C2">
        <v>-53520</v>
      </c>
      <c r="E2">
        <v>106537</v>
      </c>
      <c r="G2">
        <v>178</v>
      </c>
      <c r="I2">
        <v>136</v>
      </c>
      <c r="J2">
        <v>131</v>
      </c>
      <c r="K2">
        <v>267</v>
      </c>
      <c r="L2">
        <v>221</v>
      </c>
      <c r="M2">
        <f t="shared" si="0"/>
        <v>-46</v>
      </c>
      <c r="N2">
        <f t="shared" si="1"/>
        <v>-10350</v>
      </c>
      <c r="O2">
        <f t="shared" si="2"/>
        <v>-31050</v>
      </c>
    </row>
    <row r="3" spans="1:16" x14ac:dyDescent="0.25">
      <c r="A3">
        <v>-13080</v>
      </c>
      <c r="C3">
        <v>8160</v>
      </c>
      <c r="E3">
        <v>39330</v>
      </c>
      <c r="G3">
        <v>201</v>
      </c>
      <c r="I3">
        <v>134</v>
      </c>
      <c r="J3">
        <v>98</v>
      </c>
      <c r="K3">
        <v>232</v>
      </c>
      <c r="L3">
        <v>194</v>
      </c>
      <c r="M3">
        <f t="shared" si="0"/>
        <v>-38</v>
      </c>
      <c r="N3">
        <f t="shared" si="1"/>
        <v>-8550</v>
      </c>
      <c r="O3">
        <f t="shared" si="2"/>
        <v>-25650</v>
      </c>
    </row>
    <row r="4" spans="1:16" x14ac:dyDescent="0.25">
      <c r="A4">
        <v>-27000</v>
      </c>
      <c r="C4">
        <v>-20400</v>
      </c>
      <c r="E4">
        <v>56700</v>
      </c>
      <c r="G4">
        <v>173</v>
      </c>
      <c r="I4">
        <v>105</v>
      </c>
      <c r="J4">
        <v>103</v>
      </c>
      <c r="K4">
        <v>208</v>
      </c>
      <c r="L4">
        <v>158</v>
      </c>
      <c r="M4">
        <f t="shared" si="0"/>
        <v>-50</v>
      </c>
      <c r="N4">
        <f t="shared" si="1"/>
        <v>-11250</v>
      </c>
      <c r="O4">
        <f t="shared" si="2"/>
        <v>-33750</v>
      </c>
    </row>
    <row r="5" spans="1:16" x14ac:dyDescent="0.25">
      <c r="A5">
        <v>-39120</v>
      </c>
      <c r="C5">
        <v>-39600</v>
      </c>
      <c r="E5">
        <v>95700</v>
      </c>
      <c r="G5">
        <v>-12</v>
      </c>
      <c r="I5">
        <v>103</v>
      </c>
      <c r="J5">
        <v>111</v>
      </c>
      <c r="K5">
        <v>214</v>
      </c>
      <c r="L5">
        <v>0</v>
      </c>
      <c r="M5">
        <f t="shared" si="0"/>
        <v>-214</v>
      </c>
      <c r="N5">
        <f t="shared" si="1"/>
        <v>-48150</v>
      </c>
      <c r="O5">
        <f t="shared" si="2"/>
        <v>-144450</v>
      </c>
    </row>
    <row r="6" spans="1:16" x14ac:dyDescent="0.25">
      <c r="A6">
        <v>25920</v>
      </c>
      <c r="C6">
        <v>110760</v>
      </c>
      <c r="E6">
        <v>-224250</v>
      </c>
      <c r="G6">
        <v>513</v>
      </c>
      <c r="I6">
        <v>118</v>
      </c>
      <c r="J6">
        <v>101</v>
      </c>
      <c r="K6">
        <v>219</v>
      </c>
      <c r="L6">
        <v>517</v>
      </c>
      <c r="M6">
        <f t="shared" si="0"/>
        <v>298</v>
      </c>
      <c r="N6">
        <f t="shared" si="1"/>
        <v>67050</v>
      </c>
      <c r="O6">
        <f t="shared" si="2"/>
        <v>201150</v>
      </c>
    </row>
    <row r="9" spans="1:16" x14ac:dyDescent="0.25">
      <c r="A9">
        <v>-77600</v>
      </c>
      <c r="C9">
        <v>-9340</v>
      </c>
      <c r="E9">
        <v>106079</v>
      </c>
      <c r="N9">
        <v>-22050</v>
      </c>
    </row>
    <row r="12" spans="1:16" x14ac:dyDescent="0.25">
      <c r="I12">
        <v>220</v>
      </c>
      <c r="J12">
        <v>160</v>
      </c>
    </row>
    <row r="13" spans="1:16" x14ac:dyDescent="0.25">
      <c r="I13">
        <v>9000</v>
      </c>
      <c r="J13">
        <v>9050</v>
      </c>
      <c r="L13">
        <v>9700</v>
      </c>
      <c r="O13">
        <v>245</v>
      </c>
      <c r="P13">
        <f>L13-O13</f>
        <v>9455</v>
      </c>
    </row>
    <row r="14" spans="1:16" x14ac:dyDescent="0.25">
      <c r="L14">
        <v>9800</v>
      </c>
      <c r="O14">
        <v>308</v>
      </c>
      <c r="P14">
        <f>L14-O14</f>
        <v>9492</v>
      </c>
    </row>
    <row r="15" spans="1:16" x14ac:dyDescent="0.25">
      <c r="I15">
        <v>9220</v>
      </c>
      <c r="J15">
        <v>9210</v>
      </c>
      <c r="L15">
        <v>9800</v>
      </c>
      <c r="M15">
        <v>170</v>
      </c>
      <c r="N15">
        <v>138</v>
      </c>
      <c r="O15">
        <v>308</v>
      </c>
      <c r="P15">
        <v>10108</v>
      </c>
    </row>
    <row r="16" spans="1:16" x14ac:dyDescent="0.25">
      <c r="L16">
        <v>9850</v>
      </c>
      <c r="M16">
        <v>140</v>
      </c>
      <c r="N16">
        <v>105</v>
      </c>
      <c r="O16">
        <v>245</v>
      </c>
      <c r="P16">
        <v>10095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activeCell="R23" sqref="R23"/>
    </sheetView>
  </sheetViews>
  <sheetFormatPr defaultColWidth="6.28515625" defaultRowHeight="15" x14ac:dyDescent="0.25"/>
  <cols>
    <col min="1" max="1" width="7" style="1" bestFit="1" customWidth="1"/>
    <col min="2" max="2" width="6.28515625" style="1"/>
    <col min="3" max="3" width="6.7109375" style="1" bestFit="1" customWidth="1"/>
    <col min="4" max="8" width="6.28515625" style="1"/>
    <col min="9" max="9" width="6.7109375" style="1" bestFit="1" customWidth="1"/>
    <col min="10" max="14" width="6.28515625" style="1"/>
    <col min="15" max="15" width="6.7109375" style="1" bestFit="1" customWidth="1"/>
    <col min="16" max="17" width="6.28515625" style="1"/>
    <col min="18" max="18" width="7" style="1" bestFit="1" customWidth="1"/>
    <col min="19" max="19" width="5.5703125" style="1" customWidth="1"/>
    <col min="20" max="23" width="6.28515625" style="1"/>
    <col min="24" max="24" width="8" style="1" bestFit="1" customWidth="1"/>
    <col min="25" max="25" width="6.7109375" style="1" bestFit="1" customWidth="1"/>
    <col min="26" max="26" width="6.28515625" style="1"/>
    <col min="27" max="27" width="6.7109375" style="1" bestFit="1" customWidth="1"/>
    <col min="28" max="16384" width="6.28515625" style="1"/>
  </cols>
  <sheetData>
    <row r="1" spans="1:27" x14ac:dyDescent="0.25">
      <c r="A1" s="1" t="s">
        <v>0</v>
      </c>
      <c r="B1" s="1" t="s">
        <v>5</v>
      </c>
      <c r="C1" s="1" t="s">
        <v>2</v>
      </c>
      <c r="D1" s="1" t="s">
        <v>6</v>
      </c>
      <c r="E1" s="1" t="s">
        <v>7</v>
      </c>
      <c r="F1" s="1" t="s">
        <v>2</v>
      </c>
      <c r="G1" s="1" t="s">
        <v>8</v>
      </c>
      <c r="H1" s="1" t="s">
        <v>2</v>
      </c>
      <c r="I1" s="1" t="s">
        <v>3</v>
      </c>
      <c r="K1" s="1" t="s">
        <v>9</v>
      </c>
      <c r="L1" s="1" t="s">
        <v>2</v>
      </c>
      <c r="M1" s="1" t="s">
        <v>10</v>
      </c>
      <c r="N1" s="1" t="s">
        <v>2</v>
      </c>
      <c r="O1" s="1" t="s">
        <v>3</v>
      </c>
      <c r="Q1" s="1" t="s">
        <v>1</v>
      </c>
      <c r="R1" s="1" t="s">
        <v>2</v>
      </c>
      <c r="S1" s="1" t="s">
        <v>6</v>
      </c>
      <c r="T1" s="1" t="s">
        <v>11</v>
      </c>
      <c r="U1" s="1" t="s">
        <v>2</v>
      </c>
      <c r="V1" s="1" t="s">
        <v>12</v>
      </c>
      <c r="W1" s="1" t="s">
        <v>2</v>
      </c>
      <c r="X1" s="1" t="s">
        <v>3</v>
      </c>
      <c r="Y1" s="1" t="s">
        <v>4</v>
      </c>
      <c r="AA1" s="1">
        <v>-11880</v>
      </c>
    </row>
    <row r="2" spans="1:27" x14ac:dyDescent="0.25">
      <c r="A2" s="2">
        <v>42772</v>
      </c>
      <c r="B2" s="1">
        <v>20420</v>
      </c>
      <c r="C2" s="1">
        <f>B2-20420</f>
        <v>0</v>
      </c>
      <c r="E2" s="1">
        <v>321</v>
      </c>
      <c r="F2" s="1">
        <f>E2-321</f>
        <v>0</v>
      </c>
      <c r="G2" s="1">
        <v>260</v>
      </c>
      <c r="H2" s="1">
        <f>G2-260</f>
        <v>0</v>
      </c>
      <c r="I2" s="1">
        <f>(H2+F2)*120</f>
        <v>0</v>
      </c>
      <c r="K2" s="1">
        <v>46</v>
      </c>
      <c r="L2" s="1">
        <f>K2-46</f>
        <v>0</v>
      </c>
      <c r="M2" s="1">
        <v>53</v>
      </c>
      <c r="N2" s="1">
        <f>M2-53</f>
        <v>0</v>
      </c>
      <c r="O2" s="1">
        <f>(N2+L2)*120</f>
        <v>0</v>
      </c>
      <c r="Q2" s="1">
        <v>8792</v>
      </c>
      <c r="R2" s="1">
        <f>Q2-8792</f>
        <v>0</v>
      </c>
      <c r="T2" s="1">
        <v>50</v>
      </c>
      <c r="U2" s="1">
        <f>50-T2</f>
        <v>0</v>
      </c>
      <c r="V2" s="1">
        <v>48</v>
      </c>
      <c r="W2" s="1">
        <f>48-V2</f>
        <v>0</v>
      </c>
      <c r="X2" s="1">
        <f>(W2+U2)*675</f>
        <v>0</v>
      </c>
      <c r="Y2" s="1">
        <f>X2+O2+I2</f>
        <v>0</v>
      </c>
      <c r="AA2" s="1">
        <v>-14040</v>
      </c>
    </row>
    <row r="3" spans="1:27" x14ac:dyDescent="0.25">
      <c r="A3" s="2">
        <v>42772</v>
      </c>
      <c r="B3" s="1">
        <v>20372</v>
      </c>
      <c r="C3" s="1">
        <f>B3-20420</f>
        <v>-48</v>
      </c>
      <c r="D3" s="1">
        <f>C3*100/20420</f>
        <v>-0.23506366307541626</v>
      </c>
      <c r="E3" s="1">
        <v>302</v>
      </c>
      <c r="F3" s="1">
        <f>E3-321</f>
        <v>-19</v>
      </c>
      <c r="G3" s="1">
        <v>275</v>
      </c>
      <c r="H3" s="1">
        <f>G3-260</f>
        <v>15</v>
      </c>
      <c r="I3" s="1">
        <f>(H3+F3)*120</f>
        <v>-480</v>
      </c>
      <c r="K3" s="1">
        <v>36</v>
      </c>
      <c r="L3" s="1">
        <f>K3-46</f>
        <v>-10</v>
      </c>
      <c r="M3" s="1">
        <v>54</v>
      </c>
      <c r="N3" s="1">
        <f>M3-53</f>
        <v>1</v>
      </c>
      <c r="O3" s="1">
        <f>(N3+L3)*120</f>
        <v>-1080</v>
      </c>
      <c r="Q3" s="1">
        <v>8805</v>
      </c>
      <c r="R3" s="1">
        <f>Q3-8792</f>
        <v>13</v>
      </c>
      <c r="S3" s="1">
        <f>R3*100/8792</f>
        <v>0.14786169244767972</v>
      </c>
      <c r="T3" s="1">
        <v>53</v>
      </c>
      <c r="U3" s="1">
        <f>50-T3</f>
        <v>-3</v>
      </c>
      <c r="V3" s="1">
        <v>49</v>
      </c>
      <c r="W3" s="1">
        <f>48-V3</f>
        <v>-1</v>
      </c>
      <c r="X3" s="1">
        <f>(W3+U3)*675</f>
        <v>-2700</v>
      </c>
      <c r="Y3" s="1">
        <f>X3+O3+I3</f>
        <v>-4260</v>
      </c>
      <c r="AA3" s="1">
        <v>-24480</v>
      </c>
    </row>
    <row r="4" spans="1:27" x14ac:dyDescent="0.25">
      <c r="A4" s="2">
        <v>42773</v>
      </c>
      <c r="B4" s="1">
        <v>20316</v>
      </c>
      <c r="C4" s="1">
        <f>B4-20420</f>
        <v>-104</v>
      </c>
      <c r="D4" s="1">
        <f>C4*100/20420</f>
        <v>-0.50930460333006855</v>
      </c>
      <c r="E4" s="1">
        <v>265</v>
      </c>
      <c r="F4" s="1">
        <f>E4-321</f>
        <v>-56</v>
      </c>
      <c r="G4" s="1">
        <v>290</v>
      </c>
      <c r="H4" s="1">
        <f>G4-260</f>
        <v>30</v>
      </c>
      <c r="I4" s="1">
        <f>(H4+F4)*120</f>
        <v>-3120</v>
      </c>
      <c r="K4" s="1">
        <v>22</v>
      </c>
      <c r="L4" s="1">
        <f>K4-46</f>
        <v>-24</v>
      </c>
      <c r="M4" s="1">
        <v>55</v>
      </c>
      <c r="N4" s="1">
        <f>M4-53</f>
        <v>2</v>
      </c>
      <c r="O4" s="1">
        <f>(N4+L4)*120</f>
        <v>-2640</v>
      </c>
      <c r="Q4" s="1">
        <v>8771</v>
      </c>
      <c r="R4" s="1">
        <f>Q4-8792</f>
        <v>-21</v>
      </c>
      <c r="S4" s="1">
        <f>R4*100/8792</f>
        <v>-0.23885350318471338</v>
      </c>
      <c r="T4" s="1">
        <v>41</v>
      </c>
      <c r="U4" s="1">
        <f>50-T4</f>
        <v>9</v>
      </c>
      <c r="V4" s="1">
        <v>52</v>
      </c>
      <c r="W4" s="1">
        <f>48-V4</f>
        <v>-4</v>
      </c>
      <c r="X4" s="1">
        <f>(W4+U4)*675</f>
        <v>3375</v>
      </c>
      <c r="Y4" s="1">
        <f>X4+O4+I4</f>
        <v>-2385</v>
      </c>
      <c r="AA4" s="1">
        <v>38812</v>
      </c>
    </row>
    <row r="5" spans="1:27" x14ac:dyDescent="0.25">
      <c r="A5" s="2">
        <v>42774</v>
      </c>
      <c r="B5" s="1">
        <v>20324</v>
      </c>
      <c r="C5" s="1">
        <f>B5-20420</f>
        <v>-96</v>
      </c>
      <c r="D5" s="1">
        <f>C5*100/20420</f>
        <v>-0.47012732615083253</v>
      </c>
      <c r="E5" s="1">
        <v>255</v>
      </c>
      <c r="F5" s="1">
        <f>E5-321</f>
        <v>-66</v>
      </c>
      <c r="G5" s="1">
        <v>255</v>
      </c>
      <c r="H5" s="1">
        <f>G5-260</f>
        <v>-5</v>
      </c>
      <c r="I5" s="1">
        <f>(H5+F5)*120</f>
        <v>-8520</v>
      </c>
      <c r="K5" s="1">
        <v>1</v>
      </c>
      <c r="L5" s="1">
        <f>K5-46</f>
        <v>-45</v>
      </c>
      <c r="M5" s="1">
        <v>12</v>
      </c>
      <c r="N5" s="1">
        <f>M5-53</f>
        <v>-41</v>
      </c>
      <c r="O5" s="1">
        <f>(N5+L5)*120</f>
        <v>-10320</v>
      </c>
      <c r="Q5" s="1">
        <v>8775</v>
      </c>
      <c r="R5" s="1">
        <f>Q5-8792</f>
        <v>-17</v>
      </c>
      <c r="S5" s="1">
        <f>R5*100/8792</f>
        <v>-0.19335759781619655</v>
      </c>
      <c r="T5" s="1">
        <v>40</v>
      </c>
      <c r="U5" s="1">
        <f>50-T5</f>
        <v>10</v>
      </c>
      <c r="V5" s="1">
        <v>43</v>
      </c>
      <c r="W5" s="1">
        <f>48-V5</f>
        <v>5</v>
      </c>
      <c r="X5" s="1">
        <f>(W5+U5)*675</f>
        <v>10125</v>
      </c>
      <c r="Y5" s="1">
        <f>X5+O5+I5</f>
        <v>-8715</v>
      </c>
      <c r="AA5" s="1">
        <v>16200</v>
      </c>
    </row>
    <row r="6" spans="1:27" x14ac:dyDescent="0.25">
      <c r="A6" s="2"/>
      <c r="K6" s="1">
        <v>0</v>
      </c>
      <c r="L6" s="1">
        <f>K6-46</f>
        <v>-46</v>
      </c>
      <c r="M6" s="1">
        <v>0</v>
      </c>
      <c r="N6" s="1">
        <f>M6-53</f>
        <v>-53</v>
      </c>
      <c r="O6" s="3">
        <f>(N6+L6)*120</f>
        <v>-11880</v>
      </c>
      <c r="AA6" s="1">
        <v>7410</v>
      </c>
    </row>
    <row r="7" spans="1:27" x14ac:dyDescent="0.25">
      <c r="K7" s="1" t="s">
        <v>7</v>
      </c>
      <c r="M7" s="1" t="s">
        <v>13</v>
      </c>
    </row>
    <row r="8" spans="1:27" x14ac:dyDescent="0.25">
      <c r="K8" s="1">
        <v>70</v>
      </c>
      <c r="L8" s="1">
        <f>K8-70</f>
        <v>0</v>
      </c>
      <c r="M8" s="1">
        <v>56</v>
      </c>
      <c r="N8" s="1">
        <f>M8-56</f>
        <v>0</v>
      </c>
      <c r="O8" s="1">
        <f>(N8+L8)*120</f>
        <v>0</v>
      </c>
    </row>
    <row r="9" spans="1:27" x14ac:dyDescent="0.25">
      <c r="A9" s="2">
        <v>42776</v>
      </c>
      <c r="B9" s="1">
        <v>20214</v>
      </c>
      <c r="C9" s="1">
        <f>B9-20420</f>
        <v>-206</v>
      </c>
      <c r="D9" s="1">
        <f>C9*100/20420</f>
        <v>-1.0088148873653282</v>
      </c>
      <c r="E9" s="1">
        <v>163</v>
      </c>
      <c r="F9" s="1">
        <f>E9-321</f>
        <v>-158</v>
      </c>
      <c r="G9" s="1">
        <v>280</v>
      </c>
      <c r="H9" s="1">
        <f>G9-260</f>
        <v>20</v>
      </c>
      <c r="I9" s="1">
        <f>(H9+F9)*120</f>
        <v>-16560</v>
      </c>
      <c r="K9" s="1">
        <v>80</v>
      </c>
      <c r="L9" s="1">
        <f>K9-70</f>
        <v>10</v>
      </c>
      <c r="M9" s="1">
        <v>24</v>
      </c>
      <c r="N9" s="1">
        <f>M9-56</f>
        <v>-32</v>
      </c>
      <c r="O9" s="1">
        <f>(N9+L9)*120</f>
        <v>-2640</v>
      </c>
      <c r="Q9" s="1">
        <v>8793</v>
      </c>
      <c r="R9" s="1">
        <f>Q9-8792</f>
        <v>1</v>
      </c>
      <c r="S9" s="1">
        <f>R9*100/8792</f>
        <v>1.1373976342129208E-2</v>
      </c>
      <c r="T9" s="1">
        <v>30</v>
      </c>
      <c r="U9" s="1">
        <f>50-T9</f>
        <v>20</v>
      </c>
      <c r="V9" s="1">
        <v>35</v>
      </c>
      <c r="W9" s="1">
        <f>48-V9</f>
        <v>13</v>
      </c>
      <c r="X9" s="1">
        <f>(W9+U9)*675</f>
        <v>22275</v>
      </c>
      <c r="Y9" s="1">
        <f>X9+O9+I9</f>
        <v>3075</v>
      </c>
    </row>
    <row r="10" spans="1:27" x14ac:dyDescent="0.25">
      <c r="A10" s="2">
        <v>42781</v>
      </c>
      <c r="B10" s="1">
        <v>20160</v>
      </c>
      <c r="C10" s="1">
        <f>B10-20420</f>
        <v>-260</v>
      </c>
      <c r="D10" s="1">
        <f>C10*100/20420</f>
        <v>-1.2732615083251715</v>
      </c>
      <c r="E10" s="1">
        <v>93</v>
      </c>
      <c r="F10" s="1">
        <f>E10-321</f>
        <v>-228</v>
      </c>
      <c r="G10" s="1">
        <v>308</v>
      </c>
      <c r="H10" s="1">
        <f>G10-260</f>
        <v>48</v>
      </c>
      <c r="I10" s="1">
        <f>(H10+F10)*120</f>
        <v>-21600</v>
      </c>
      <c r="K10" s="1">
        <v>18</v>
      </c>
      <c r="L10" s="1">
        <f>K10-70</f>
        <v>-52</v>
      </c>
      <c r="M10" s="1">
        <v>9</v>
      </c>
      <c r="N10" s="1">
        <f>M10-56</f>
        <v>-47</v>
      </c>
      <c r="O10" s="1">
        <f>(N10+L10)*120</f>
        <v>-11880</v>
      </c>
      <c r="Q10" s="1">
        <v>8718</v>
      </c>
      <c r="R10" s="1">
        <f>Q10-8792</f>
        <v>-74</v>
      </c>
      <c r="S10" s="1">
        <f>R10*100/8792</f>
        <v>-0.84167424931756141</v>
      </c>
      <c r="T10" s="1">
        <v>12</v>
      </c>
      <c r="U10" s="1">
        <f>50-T10</f>
        <v>38</v>
      </c>
      <c r="V10" s="1">
        <v>51</v>
      </c>
      <c r="W10" s="1">
        <f>48-V10</f>
        <v>-3</v>
      </c>
      <c r="X10" s="1">
        <f>(W10+U10)*675</f>
        <v>23625</v>
      </c>
      <c r="Y10" s="1">
        <f>X10+O10+I10</f>
        <v>-9855</v>
      </c>
      <c r="AA10" s="3">
        <f>SUM(AA1:AA9)</f>
        <v>12022</v>
      </c>
    </row>
    <row r="11" spans="1:27" x14ac:dyDescent="0.25">
      <c r="A11" s="2">
        <v>42782</v>
      </c>
      <c r="B11" s="1">
        <v>20277</v>
      </c>
      <c r="C11" s="1">
        <f>B11-20420</f>
        <v>-143</v>
      </c>
      <c r="D11" s="1">
        <f>C11*100/20420</f>
        <v>-0.70029382957884423</v>
      </c>
      <c r="E11" s="1">
        <v>108</v>
      </c>
      <c r="F11" s="1">
        <f>E11-321</f>
        <v>-213</v>
      </c>
      <c r="G11" s="1">
        <v>207</v>
      </c>
      <c r="H11" s="1">
        <f>G11-260</f>
        <v>-53</v>
      </c>
      <c r="I11" s="1">
        <f>(H11+F11)*120</f>
        <v>-31920</v>
      </c>
      <c r="K11" s="1">
        <v>0</v>
      </c>
      <c r="L11" s="1">
        <f>K11-70</f>
        <v>-70</v>
      </c>
      <c r="M11" s="1">
        <v>9</v>
      </c>
      <c r="N11" s="1">
        <f>M11-56</f>
        <v>-47</v>
      </c>
      <c r="O11" s="3">
        <f>(N11+L11)*120</f>
        <v>-14040</v>
      </c>
      <c r="Q11" s="1">
        <v>8781</v>
      </c>
      <c r="R11" s="1">
        <f>Q11-8792</f>
        <v>-11</v>
      </c>
      <c r="S11" s="1">
        <f>R11*100/8792</f>
        <v>-0.1251137397634213</v>
      </c>
      <c r="T11" s="1">
        <v>15.5</v>
      </c>
      <c r="U11" s="4">
        <f>50-T11</f>
        <v>34.5</v>
      </c>
      <c r="V11" s="1">
        <v>25</v>
      </c>
      <c r="W11" s="1">
        <f>48-V11</f>
        <v>23</v>
      </c>
      <c r="X11" s="3">
        <f>(W11+U11)*675</f>
        <v>38812.5</v>
      </c>
      <c r="Y11" s="1">
        <f>X11+O11+I11</f>
        <v>-7147.5</v>
      </c>
    </row>
    <row r="12" spans="1:27" x14ac:dyDescent="0.25">
      <c r="K12" s="1" t="s">
        <v>14</v>
      </c>
      <c r="M12" s="1" t="s">
        <v>15</v>
      </c>
      <c r="T12" s="1" t="s">
        <v>16</v>
      </c>
      <c r="V12" s="1" t="s">
        <v>17</v>
      </c>
    </row>
    <row r="13" spans="1:27" x14ac:dyDescent="0.25">
      <c r="A13" s="2">
        <v>42782</v>
      </c>
      <c r="B13" s="1">
        <v>20251</v>
      </c>
      <c r="C13" s="1">
        <f>B13-20420</f>
        <v>-169</v>
      </c>
      <c r="D13" s="1">
        <f>C13*100/20420</f>
        <v>-0.82761998041136142</v>
      </c>
      <c r="E13" s="1">
        <v>101</v>
      </c>
      <c r="F13" s="1">
        <f>E13-321</f>
        <v>-220</v>
      </c>
      <c r="G13" s="1">
        <v>210</v>
      </c>
      <c r="H13" s="1">
        <f>G13-260</f>
        <v>-50</v>
      </c>
      <c r="I13" s="1">
        <f>(H13+F13)*120</f>
        <v>-32400</v>
      </c>
      <c r="K13" s="1">
        <v>38</v>
      </c>
      <c r="L13" s="1">
        <f>K13-38</f>
        <v>0</v>
      </c>
      <c r="M13" s="1">
        <v>61</v>
      </c>
      <c r="N13" s="1">
        <f>M13-61</f>
        <v>0</v>
      </c>
      <c r="O13" s="1">
        <f>(N13+L13)*120</f>
        <v>0</v>
      </c>
      <c r="Q13" s="1">
        <v>8781</v>
      </c>
      <c r="R13" s="1">
        <f>Q13-8792</f>
        <v>-11</v>
      </c>
      <c r="S13" s="1">
        <f>R13*100/8792</f>
        <v>-0.1251137397634213</v>
      </c>
      <c r="T13" s="1">
        <v>28</v>
      </c>
      <c r="U13" s="1">
        <f>28-T13</f>
        <v>0</v>
      </c>
      <c r="V13" s="1">
        <v>38</v>
      </c>
      <c r="W13" s="1">
        <f>38-V13</f>
        <v>0</v>
      </c>
      <c r="X13" s="1">
        <f>(W13+U13)*675</f>
        <v>0</v>
      </c>
      <c r="Y13" s="1">
        <f>X13+O13+I13</f>
        <v>-32400</v>
      </c>
    </row>
    <row r="14" spans="1:27" x14ac:dyDescent="0.25">
      <c r="A14" s="2">
        <v>42782</v>
      </c>
      <c r="B14" s="1">
        <v>20243</v>
      </c>
      <c r="C14" s="1">
        <f>B14-20420</f>
        <v>-177</v>
      </c>
      <c r="D14" s="1">
        <f>C14*100/20420</f>
        <v>-0.86679725759059745</v>
      </c>
      <c r="E14" s="1">
        <v>105</v>
      </c>
      <c r="F14" s="1">
        <f>E14-321</f>
        <v>-216</v>
      </c>
      <c r="G14" s="1">
        <v>202</v>
      </c>
      <c r="H14" s="1">
        <f>G14-260</f>
        <v>-58</v>
      </c>
      <c r="I14" s="1">
        <f>(H14+F14)*120</f>
        <v>-32880</v>
      </c>
      <c r="K14" s="1">
        <v>42</v>
      </c>
      <c r="L14" s="1">
        <f>K14-38</f>
        <v>4</v>
      </c>
      <c r="M14" s="1">
        <v>55</v>
      </c>
      <c r="N14" s="1">
        <f>M14-61</f>
        <v>-6</v>
      </c>
      <c r="O14" s="1">
        <f>(N14+L14)*120</f>
        <v>-240</v>
      </c>
      <c r="Q14" s="1">
        <v>8778</v>
      </c>
      <c r="R14" s="1">
        <f>Q14-8792</f>
        <v>-14</v>
      </c>
      <c r="S14" s="1">
        <f>R14*100/8792</f>
        <v>-0.15923566878980891</v>
      </c>
      <c r="T14" s="1">
        <v>27</v>
      </c>
      <c r="U14" s="1">
        <f>28-T14</f>
        <v>1</v>
      </c>
      <c r="V14" s="1">
        <v>40</v>
      </c>
      <c r="W14" s="1">
        <f>38-V14</f>
        <v>-2</v>
      </c>
      <c r="X14" s="1">
        <f>(W14+U14)*675</f>
        <v>-675</v>
      </c>
      <c r="Y14" s="1">
        <f>X14+O14+I14</f>
        <v>-33795</v>
      </c>
    </row>
    <row r="15" spans="1:27" x14ac:dyDescent="0.25">
      <c r="A15" s="2">
        <v>42783</v>
      </c>
      <c r="B15" s="1">
        <v>20550</v>
      </c>
      <c r="C15" s="1">
        <f>B15-20420</f>
        <v>130</v>
      </c>
      <c r="D15" s="1">
        <f>C15*100/20420</f>
        <v>0.63663075416258574</v>
      </c>
      <c r="E15" s="1">
        <v>227</v>
      </c>
      <c r="F15" s="1">
        <f>E15-321</f>
        <v>-94</v>
      </c>
      <c r="G15" s="1">
        <v>89</v>
      </c>
      <c r="H15" s="1">
        <f>G15-260</f>
        <v>-171</v>
      </c>
      <c r="I15" s="1">
        <f>(H15+F15)*120</f>
        <v>-31800</v>
      </c>
      <c r="K15" s="1">
        <v>115</v>
      </c>
      <c r="L15" s="1">
        <f>K15-38</f>
        <v>77</v>
      </c>
      <c r="M15" s="1">
        <v>21</v>
      </c>
      <c r="N15" s="1">
        <f>M15-61</f>
        <v>-40</v>
      </c>
      <c r="O15" s="1">
        <f>(N15+L15)*120</f>
        <v>4440</v>
      </c>
      <c r="Q15" s="1">
        <v>8816</v>
      </c>
      <c r="R15" s="1">
        <f>Q15-8792</f>
        <v>24</v>
      </c>
      <c r="S15" s="1">
        <f>R15*100/8792</f>
        <v>0.27297543221110099</v>
      </c>
      <c r="T15" s="1">
        <v>37</v>
      </c>
      <c r="U15" s="1">
        <f>28-T15</f>
        <v>-9</v>
      </c>
      <c r="V15" s="1">
        <v>23</v>
      </c>
      <c r="W15" s="1">
        <f>38-V15</f>
        <v>15</v>
      </c>
      <c r="X15" s="1">
        <f>(W15+U15)*675</f>
        <v>4050</v>
      </c>
      <c r="Y15" s="1">
        <f>X15+O15+I15</f>
        <v>-23310</v>
      </c>
    </row>
    <row r="16" spans="1:27" x14ac:dyDescent="0.25">
      <c r="A16" s="2">
        <v>42787</v>
      </c>
      <c r="B16" s="1">
        <v>20765</v>
      </c>
      <c r="C16" s="1">
        <f>B16-20420</f>
        <v>345</v>
      </c>
      <c r="D16" s="1">
        <f>C16*100/20420</f>
        <v>1.6895200783545543</v>
      </c>
      <c r="E16" s="1">
        <v>363</v>
      </c>
      <c r="F16" s="4">
        <f>E16-321</f>
        <v>42</v>
      </c>
      <c r="G16" s="1">
        <v>14</v>
      </c>
      <c r="H16" s="1">
        <f>G16-260</f>
        <v>-246</v>
      </c>
      <c r="I16" s="3">
        <f>(H16+F16)*120</f>
        <v>-24480</v>
      </c>
      <c r="K16" s="1">
        <v>188</v>
      </c>
      <c r="L16" s="1">
        <f>K16-38</f>
        <v>150</v>
      </c>
      <c r="M16" s="1">
        <v>3</v>
      </c>
      <c r="N16" s="1">
        <f>M16-61</f>
        <v>-58</v>
      </c>
      <c r="O16" s="1">
        <f>(N16+L16)*120</f>
        <v>11040</v>
      </c>
      <c r="Q16" s="1">
        <v>8886</v>
      </c>
      <c r="R16" s="1">
        <f>Q16-8792</f>
        <v>94</v>
      </c>
      <c r="S16" s="1">
        <f>R16*100/8792</f>
        <v>1.0691537761601455</v>
      </c>
      <c r="T16" s="1">
        <v>56</v>
      </c>
      <c r="U16" s="1">
        <f>28-T16</f>
        <v>-28</v>
      </c>
      <c r="V16" s="1">
        <v>5</v>
      </c>
      <c r="W16" s="1">
        <f>38-V16</f>
        <v>33</v>
      </c>
      <c r="X16" s="1">
        <f>(W16+U16)*675</f>
        <v>3375</v>
      </c>
      <c r="Y16" s="1">
        <f>X16+O16+I16</f>
        <v>-10065</v>
      </c>
    </row>
    <row r="17" spans="1:25" x14ac:dyDescent="0.25">
      <c r="E17" s="1" t="s">
        <v>18</v>
      </c>
      <c r="G17" s="1" t="s">
        <v>8</v>
      </c>
    </row>
    <row r="18" spans="1:25" x14ac:dyDescent="0.25">
      <c r="A18" s="2">
        <v>42787</v>
      </c>
      <c r="B18" s="1">
        <v>20765</v>
      </c>
      <c r="C18" s="1">
        <f>B18-20420</f>
        <v>345</v>
      </c>
      <c r="D18" s="1">
        <f>C18*100/20420</f>
        <v>1.6895200783545543</v>
      </c>
      <c r="E18" s="1">
        <v>266</v>
      </c>
      <c r="F18" s="4">
        <f>E18-266</f>
        <v>0</v>
      </c>
      <c r="G18" s="1">
        <v>14</v>
      </c>
      <c r="H18" s="1">
        <f>G18-14</f>
        <v>0</v>
      </c>
      <c r="I18" s="1">
        <f>(H18+F18)*120</f>
        <v>0</v>
      </c>
      <c r="K18" s="1">
        <v>188</v>
      </c>
      <c r="L18" s="1">
        <f>K18-38</f>
        <v>150</v>
      </c>
      <c r="M18" s="1">
        <v>3</v>
      </c>
      <c r="N18" s="1">
        <f>M18-61</f>
        <v>-58</v>
      </c>
      <c r="O18" s="1">
        <f>(N18+L18)*120</f>
        <v>11040</v>
      </c>
      <c r="Q18" s="1">
        <v>8886</v>
      </c>
      <c r="R18" s="1">
        <f>Q18-8792</f>
        <v>94</v>
      </c>
      <c r="S18" s="1">
        <f>R18*100/8792</f>
        <v>1.0691537761601455</v>
      </c>
      <c r="T18" s="1">
        <v>56</v>
      </c>
      <c r="U18" s="1">
        <f>28-T18</f>
        <v>-28</v>
      </c>
      <c r="V18" s="1">
        <v>5</v>
      </c>
      <c r="W18" s="1">
        <f>38-V18</f>
        <v>33</v>
      </c>
      <c r="X18" s="1">
        <f>(W18+U18)*675</f>
        <v>3375</v>
      </c>
      <c r="Y18" s="1">
        <f>X18+O18+I18</f>
        <v>14415</v>
      </c>
    </row>
    <row r="19" spans="1:25" x14ac:dyDescent="0.25">
      <c r="A19" s="2">
        <v>42787</v>
      </c>
      <c r="B19" s="1">
        <v>20860</v>
      </c>
      <c r="C19" s="1">
        <f>B19-20420</f>
        <v>440</v>
      </c>
      <c r="D19" s="1">
        <f>C19*100/20420</f>
        <v>2.1547502448579823</v>
      </c>
      <c r="E19" s="1">
        <v>358</v>
      </c>
      <c r="F19" s="4">
        <f>E19-266</f>
        <v>92</v>
      </c>
      <c r="G19" s="1">
        <v>8</v>
      </c>
      <c r="H19" s="1">
        <f>G19-14</f>
        <v>-6</v>
      </c>
      <c r="I19" s="1">
        <f>(H19+F19)*120</f>
        <v>10320</v>
      </c>
      <c r="K19" s="1">
        <v>269</v>
      </c>
      <c r="L19" s="1">
        <f>K19-38</f>
        <v>231</v>
      </c>
      <c r="M19" s="1">
        <v>0</v>
      </c>
      <c r="N19" s="1">
        <f>M19-61</f>
        <v>-61</v>
      </c>
      <c r="O19" s="1">
        <f>(N19+L19)*120</f>
        <v>20400</v>
      </c>
      <c r="Q19" s="1">
        <v>8908</v>
      </c>
      <c r="R19" s="1">
        <f>Q19-8792</f>
        <v>116</v>
      </c>
      <c r="S19" s="1">
        <f>R19*100/8792</f>
        <v>1.3193812556869882</v>
      </c>
      <c r="T19" s="1">
        <v>70</v>
      </c>
      <c r="U19" s="1">
        <f>28-T19</f>
        <v>-42</v>
      </c>
      <c r="V19" s="1">
        <v>4</v>
      </c>
      <c r="W19" s="1">
        <f>38-V19</f>
        <v>34</v>
      </c>
      <c r="X19" s="1">
        <f>(W19+U19)*675</f>
        <v>-5400</v>
      </c>
      <c r="Y19" s="1">
        <f>X19+O19+I19</f>
        <v>25320</v>
      </c>
    </row>
    <row r="20" spans="1:25" x14ac:dyDescent="0.25">
      <c r="A20" s="2">
        <v>42788</v>
      </c>
      <c r="B20" s="1">
        <v>20930</v>
      </c>
      <c r="C20" s="1">
        <f>B20-20420</f>
        <v>510</v>
      </c>
      <c r="D20" s="1">
        <f>C20*100/20420</f>
        <v>2.4975514201762978</v>
      </c>
      <c r="E20" s="1">
        <v>415</v>
      </c>
      <c r="F20" s="4">
        <f>E20-266</f>
        <v>149</v>
      </c>
      <c r="G20" s="1">
        <v>0</v>
      </c>
      <c r="H20" s="1">
        <f>G20-14</f>
        <v>-14</v>
      </c>
      <c r="I20" s="3">
        <f>(H20+F20)*120</f>
        <v>16200</v>
      </c>
      <c r="K20" s="1">
        <v>312</v>
      </c>
      <c r="L20" s="1">
        <f>K20-38</f>
        <v>274</v>
      </c>
      <c r="M20" s="1">
        <v>0</v>
      </c>
      <c r="N20" s="1">
        <f>M20-61</f>
        <v>-61</v>
      </c>
      <c r="O20" s="1">
        <f>(N20+L20)*120</f>
        <v>25560</v>
      </c>
      <c r="Q20" s="1">
        <v>8955</v>
      </c>
      <c r="R20" s="1">
        <f>Q20-8792</f>
        <v>163</v>
      </c>
      <c r="S20" s="1">
        <f>R20*100/8792</f>
        <v>1.8539581437670609</v>
      </c>
      <c r="T20" s="1">
        <v>106</v>
      </c>
      <c r="U20" s="1">
        <f>28-T20</f>
        <v>-78</v>
      </c>
      <c r="V20" s="1">
        <v>0</v>
      </c>
      <c r="W20" s="1">
        <f>38-V20</f>
        <v>38</v>
      </c>
      <c r="X20" s="1">
        <f>(W20+U20)*675</f>
        <v>-27000</v>
      </c>
      <c r="Y20" s="1">
        <f>X20+O20+I20</f>
        <v>14760</v>
      </c>
    </row>
    <row r="21" spans="1:25" x14ac:dyDescent="0.25">
      <c r="E21" s="1" t="s">
        <v>14</v>
      </c>
    </row>
    <row r="22" spans="1:25" x14ac:dyDescent="0.25">
      <c r="A22" s="2">
        <v>42788</v>
      </c>
      <c r="B22" s="1">
        <v>20930</v>
      </c>
      <c r="C22" s="1">
        <f>B22-20420</f>
        <v>510</v>
      </c>
      <c r="D22" s="1">
        <f>C22*100/20420</f>
        <v>2.4975514201762978</v>
      </c>
      <c r="E22" s="1">
        <v>325</v>
      </c>
      <c r="F22" s="4">
        <f>E22-325</f>
        <v>0</v>
      </c>
      <c r="I22" s="1">
        <f>(H22+F22)*120</f>
        <v>0</v>
      </c>
      <c r="K22" s="1">
        <v>312</v>
      </c>
      <c r="L22" s="1">
        <f>K22-38</f>
        <v>274</v>
      </c>
      <c r="M22" s="1">
        <v>0</v>
      </c>
      <c r="N22" s="1">
        <f>M22-61</f>
        <v>-61</v>
      </c>
      <c r="O22" s="1">
        <f>(N22+L22)*120</f>
        <v>25560</v>
      </c>
      <c r="Q22" s="1">
        <v>8955</v>
      </c>
      <c r="R22" s="1">
        <f>Q22-8792</f>
        <v>163</v>
      </c>
      <c r="S22" s="1">
        <f>R22*100/8792</f>
        <v>1.8539581437670609</v>
      </c>
      <c r="T22" s="1">
        <v>106</v>
      </c>
      <c r="U22" s="1">
        <f>28-T22</f>
        <v>-78</v>
      </c>
      <c r="V22" s="1">
        <v>0</v>
      </c>
      <c r="W22" s="1">
        <f>38-V22</f>
        <v>38</v>
      </c>
      <c r="X22" s="1">
        <f>(W22+U22)*675</f>
        <v>-27000</v>
      </c>
      <c r="Y22" s="1">
        <f>X22+O22+I22</f>
        <v>-1440</v>
      </c>
    </row>
    <row r="23" spans="1:25" x14ac:dyDescent="0.25">
      <c r="A23" s="2">
        <v>42788</v>
      </c>
      <c r="B23" s="1">
        <v>20873</v>
      </c>
      <c r="C23" s="1">
        <f>B23-20420</f>
        <v>453</v>
      </c>
      <c r="D23" s="1">
        <f>C23*100/20420</f>
        <v>2.2184133202742409</v>
      </c>
      <c r="E23" s="1">
        <v>271</v>
      </c>
      <c r="F23" s="4">
        <f>E23-325</f>
        <v>-54</v>
      </c>
      <c r="I23" s="1">
        <f>(H23+F23)*120</f>
        <v>-6480</v>
      </c>
      <c r="K23" s="1">
        <v>271</v>
      </c>
      <c r="L23" s="1">
        <f>K23-38</f>
        <v>233</v>
      </c>
      <c r="M23" s="1">
        <v>0</v>
      </c>
      <c r="N23" s="1">
        <f>M23-61</f>
        <v>-61</v>
      </c>
      <c r="O23" s="1">
        <f>(N23+L23)*120</f>
        <v>20640</v>
      </c>
      <c r="Q23" s="1">
        <v>8929</v>
      </c>
      <c r="R23" s="1">
        <f>Q23-8792</f>
        <v>137</v>
      </c>
      <c r="S23" s="1">
        <f>R23*100/8792</f>
        <v>1.5582347588717016</v>
      </c>
      <c r="T23" s="1">
        <v>76</v>
      </c>
      <c r="U23" s="1">
        <f>28-T23</f>
        <v>-48</v>
      </c>
      <c r="V23" s="1">
        <v>0</v>
      </c>
      <c r="W23" s="1">
        <f>38-V23</f>
        <v>38</v>
      </c>
      <c r="X23" s="1">
        <f>(W23+U23)*675</f>
        <v>-6750</v>
      </c>
      <c r="Y23" s="1">
        <f>X23+O23+I23</f>
        <v>7410</v>
      </c>
    </row>
    <row r="24" spans="1:25" x14ac:dyDescent="0.25">
      <c r="F2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workbookViewId="0">
      <selection activeCell="T2" sqref="T2"/>
    </sheetView>
  </sheetViews>
  <sheetFormatPr defaultColWidth="6.140625" defaultRowHeight="15" x14ac:dyDescent="0.25"/>
  <cols>
    <col min="1" max="1" width="7.140625" style="5" bestFit="1" customWidth="1"/>
    <col min="2" max="2" width="6" style="5" bestFit="1" customWidth="1"/>
    <col min="3" max="3" width="4.7109375" style="5" bestFit="1" customWidth="1"/>
    <col min="4" max="4" width="6" style="5" customWidth="1"/>
    <col min="5" max="5" width="5.5703125" style="5" bestFit="1" customWidth="1"/>
    <col min="6" max="6" width="4.7109375" style="5" bestFit="1" customWidth="1"/>
    <col min="7" max="7" width="4.5703125" style="5" bestFit="1" customWidth="1"/>
    <col min="8" max="8" width="4.7109375" style="5" bestFit="1" customWidth="1"/>
    <col min="9" max="9" width="6.7109375" style="5" bestFit="1" customWidth="1"/>
    <col min="10" max="10" width="6.140625" style="5"/>
    <col min="11" max="11" width="5.5703125" style="5" bestFit="1" customWidth="1"/>
    <col min="12" max="12" width="4.28515625" style="5" bestFit="1" customWidth="1"/>
    <col min="13" max="13" width="5.5703125" style="5" bestFit="1" customWidth="1"/>
    <col min="14" max="14" width="4.7109375" style="5" bestFit="1" customWidth="1"/>
    <col min="15" max="15" width="6.7109375" style="5" bestFit="1" customWidth="1"/>
    <col min="16" max="16" width="5.5703125" style="5" bestFit="1" customWidth="1"/>
    <col min="17" max="17" width="2.7109375" style="5" bestFit="1" customWidth="1"/>
    <col min="18" max="18" width="4.28515625" style="5" bestFit="1" customWidth="1"/>
    <col min="19" max="19" width="5" style="5" bestFit="1" customWidth="1"/>
    <col min="20" max="20" width="4.28515625" style="5" bestFit="1" customWidth="1"/>
    <col min="21" max="21" width="5.85546875" style="5" customWidth="1"/>
    <col min="22" max="22" width="4.5703125" style="5" bestFit="1" customWidth="1"/>
    <col min="23" max="23" width="4.28515625" style="5" bestFit="1" customWidth="1"/>
    <col min="24" max="24" width="5.5703125" style="5" bestFit="1" customWidth="1"/>
    <col min="25" max="25" width="4.28515625" style="5" bestFit="1" customWidth="1"/>
    <col min="26" max="26" width="6" style="5" bestFit="1" customWidth="1"/>
    <col min="27" max="27" width="6.7109375" style="5" bestFit="1" customWidth="1"/>
    <col min="28" max="28" width="6.140625" style="5"/>
    <col min="29" max="29" width="7.7109375" style="5" bestFit="1" customWidth="1"/>
    <col min="30" max="16384" width="6.140625" style="5"/>
  </cols>
  <sheetData>
    <row r="1" spans="1:29" x14ac:dyDescent="0.25">
      <c r="A1" s="1" t="s">
        <v>0</v>
      </c>
      <c r="B1" s="1" t="s">
        <v>5</v>
      </c>
      <c r="C1" s="1" t="s">
        <v>2</v>
      </c>
      <c r="D1" s="1" t="s">
        <v>6</v>
      </c>
      <c r="E1" s="1" t="s">
        <v>20</v>
      </c>
      <c r="F1" s="1" t="s">
        <v>2</v>
      </c>
      <c r="G1" s="1" t="s">
        <v>21</v>
      </c>
      <c r="H1" s="1" t="s">
        <v>2</v>
      </c>
      <c r="I1" s="1" t="s">
        <v>3</v>
      </c>
      <c r="J1" s="1"/>
      <c r="K1" s="1" t="s">
        <v>22</v>
      </c>
      <c r="L1" s="1" t="s">
        <v>2</v>
      </c>
      <c r="M1" s="1" t="s">
        <v>23</v>
      </c>
      <c r="N1" s="1" t="s">
        <v>2</v>
      </c>
      <c r="O1" s="1" t="s">
        <v>3</v>
      </c>
      <c r="P1" s="1" t="s">
        <v>26</v>
      </c>
      <c r="S1" s="1" t="s">
        <v>1</v>
      </c>
      <c r="T1" s="1" t="s">
        <v>2</v>
      </c>
      <c r="U1" s="1" t="s">
        <v>6</v>
      </c>
      <c r="V1" s="1" t="s">
        <v>24</v>
      </c>
      <c r="W1" s="1" t="s">
        <v>2</v>
      </c>
      <c r="X1" s="1" t="s">
        <v>25</v>
      </c>
      <c r="Y1" s="1" t="s">
        <v>2</v>
      </c>
      <c r="Z1" s="1" t="s">
        <v>3</v>
      </c>
      <c r="AA1" s="1" t="s">
        <v>4</v>
      </c>
      <c r="AB1" s="1"/>
      <c r="AC1" s="3" t="s">
        <v>19</v>
      </c>
    </row>
    <row r="2" spans="1:29" x14ac:dyDescent="0.25">
      <c r="A2" s="2">
        <v>42789</v>
      </c>
      <c r="B2" s="1">
        <v>20876</v>
      </c>
      <c r="C2" s="1">
        <f>B2-20876</f>
        <v>0</v>
      </c>
      <c r="D2" s="1">
        <f>C2*100/20876</f>
        <v>0</v>
      </c>
      <c r="E2" s="1">
        <v>340</v>
      </c>
      <c r="F2" s="1">
        <f>E2-340</f>
        <v>0</v>
      </c>
      <c r="G2" s="1">
        <v>465</v>
      </c>
      <c r="H2" s="1">
        <f>G2-465</f>
        <v>0</v>
      </c>
      <c r="I2" s="1">
        <f>(H2+F2)*120</f>
        <v>0</v>
      </c>
      <c r="J2" s="1"/>
      <c r="K2" s="1">
        <v>39</v>
      </c>
      <c r="L2" s="1">
        <f>K2-39</f>
        <v>0</v>
      </c>
      <c r="M2" s="1">
        <v>58</v>
      </c>
      <c r="N2" s="1">
        <f>M2-58</f>
        <v>0</v>
      </c>
      <c r="O2" s="1">
        <f>(N2+L2)*120</f>
        <v>0</v>
      </c>
      <c r="P2" s="1"/>
      <c r="S2" s="1">
        <v>8940</v>
      </c>
      <c r="T2" s="1">
        <f>S2-8940</f>
        <v>0</v>
      </c>
      <c r="U2" s="1">
        <f>T2*100/8940</f>
        <v>0</v>
      </c>
      <c r="V2" s="1">
        <v>111</v>
      </c>
      <c r="W2" s="1">
        <f>111-V2</f>
        <v>0</v>
      </c>
      <c r="X2" s="1">
        <v>92</v>
      </c>
      <c r="Y2" s="1">
        <f>92-X2</f>
        <v>0</v>
      </c>
      <c r="Z2" s="1">
        <f>(Y2+W2)*675</f>
        <v>0</v>
      </c>
      <c r="AA2" s="1">
        <f>Z2+O2+I2</f>
        <v>0</v>
      </c>
      <c r="AB2" s="1"/>
      <c r="AC2" s="1">
        <v>-9840</v>
      </c>
    </row>
    <row r="3" spans="1:29" x14ac:dyDescent="0.25">
      <c r="A3" s="6">
        <v>42793</v>
      </c>
      <c r="B3" s="5">
        <v>20598</v>
      </c>
      <c r="C3" s="1">
        <f>B3-20876</f>
        <v>-278</v>
      </c>
      <c r="D3" s="1">
        <f>C3*100/20876</f>
        <v>-1.3316727342402759</v>
      </c>
      <c r="E3" s="5">
        <v>244</v>
      </c>
      <c r="F3" s="1">
        <f>E3-340</f>
        <v>-96</v>
      </c>
      <c r="G3" s="5">
        <v>565</v>
      </c>
      <c r="H3" s="1">
        <f>G3-465</f>
        <v>100</v>
      </c>
      <c r="I3" s="1">
        <f>(H3+F3)*120</f>
        <v>480</v>
      </c>
      <c r="K3" s="5">
        <v>7</v>
      </c>
      <c r="L3" s="1">
        <f>K3-39</f>
        <v>-32</v>
      </c>
      <c r="M3" s="5">
        <v>106</v>
      </c>
      <c r="N3" s="1">
        <f>M3-58</f>
        <v>48</v>
      </c>
      <c r="O3" s="1">
        <f>(N3+L3)*120</f>
        <v>1920</v>
      </c>
      <c r="S3" s="5">
        <v>8895</v>
      </c>
      <c r="T3" s="1">
        <f>S3-8940</f>
        <v>-45</v>
      </c>
      <c r="U3" s="1">
        <f>T3*100/8940</f>
        <v>-0.50335570469798663</v>
      </c>
      <c r="V3" s="5">
        <v>91</v>
      </c>
      <c r="W3" s="1">
        <f>111-V3</f>
        <v>20</v>
      </c>
      <c r="X3" s="5">
        <v>100</v>
      </c>
      <c r="Y3" s="1">
        <f>92-X3</f>
        <v>-8</v>
      </c>
      <c r="Z3" s="1">
        <f>(Y3+W3)*675</f>
        <v>8100</v>
      </c>
      <c r="AA3" s="1">
        <f>Z3+O3+I3</f>
        <v>10500</v>
      </c>
      <c r="AC3" s="5">
        <v>25200</v>
      </c>
    </row>
    <row r="4" spans="1:29" x14ac:dyDescent="0.25">
      <c r="A4" s="6">
        <v>42794</v>
      </c>
      <c r="B4" s="5">
        <v>20607</v>
      </c>
      <c r="C4" s="1">
        <f>B4-20876</f>
        <v>-269</v>
      </c>
      <c r="D4" s="1">
        <f>C4*100/20876</f>
        <v>-1.2885610270166699</v>
      </c>
      <c r="E4" s="5">
        <v>247</v>
      </c>
      <c r="F4" s="1">
        <f>E4-340</f>
        <v>-93</v>
      </c>
      <c r="G4" s="5">
        <v>546</v>
      </c>
      <c r="H4" s="1">
        <f>G4-465</f>
        <v>81</v>
      </c>
      <c r="I4" s="1">
        <f>(H4+F4)*120</f>
        <v>-1440</v>
      </c>
      <c r="K4" s="5">
        <v>3</v>
      </c>
      <c r="L4" s="1">
        <f>K4-39</f>
        <v>-36</v>
      </c>
      <c r="M4" s="5">
        <v>78</v>
      </c>
      <c r="N4" s="1">
        <f>M4-58</f>
        <v>20</v>
      </c>
      <c r="O4" s="1">
        <f>(N4+L4)*120</f>
        <v>-1920</v>
      </c>
      <c r="S4" s="5">
        <v>8879</v>
      </c>
      <c r="T4" s="1">
        <f>S4-8940</f>
        <v>-61</v>
      </c>
      <c r="U4" s="1">
        <f>T4*100/8940</f>
        <v>-0.68232662192393734</v>
      </c>
      <c r="V4" s="5">
        <v>88</v>
      </c>
      <c r="W4" s="1">
        <f>111-V4</f>
        <v>23</v>
      </c>
      <c r="X4" s="5">
        <v>104</v>
      </c>
      <c r="Y4" s="1">
        <f>92-X4</f>
        <v>-12</v>
      </c>
      <c r="Z4" s="1">
        <f>(Y4+W4)*675</f>
        <v>7425</v>
      </c>
      <c r="AA4" s="1">
        <f>Z4+O4+I4</f>
        <v>4065</v>
      </c>
      <c r="AC4" s="5">
        <v>-14400</v>
      </c>
    </row>
    <row r="5" spans="1:29" x14ac:dyDescent="0.25">
      <c r="A5" s="6">
        <v>42795</v>
      </c>
      <c r="B5" s="5">
        <v>20783</v>
      </c>
      <c r="C5" s="1">
        <f>B5-20876</f>
        <v>-93</v>
      </c>
      <c r="D5" s="1">
        <f>C5*100/20876</f>
        <v>-0.44548764131059587</v>
      </c>
      <c r="E5" s="5">
        <v>295</v>
      </c>
      <c r="F5" s="1">
        <f>E5-340</f>
        <v>-45</v>
      </c>
      <c r="G5" s="5">
        <v>455</v>
      </c>
      <c r="H5" s="1">
        <f>G5-465</f>
        <v>-10</v>
      </c>
      <c r="I5" s="1">
        <f>(H5+F5)*120</f>
        <v>-6600</v>
      </c>
      <c r="K5" s="5">
        <v>1</v>
      </c>
      <c r="L5" s="1">
        <f>K5-39</f>
        <v>-38</v>
      </c>
      <c r="M5" s="5">
        <v>11</v>
      </c>
      <c r="N5" s="1">
        <f>M5-58</f>
        <v>-47</v>
      </c>
      <c r="O5" s="1">
        <f>(N5+L5+Q5)*120</f>
        <v>-10200</v>
      </c>
      <c r="P5" s="5">
        <v>6</v>
      </c>
      <c r="Q5" s="1">
        <f>P5-6</f>
        <v>0</v>
      </c>
      <c r="S5" s="5">
        <v>8945</v>
      </c>
      <c r="T5" s="1">
        <f>S5-8940</f>
        <v>5</v>
      </c>
      <c r="U5" s="1">
        <f>T5*100/8940</f>
        <v>5.5928411633109618E-2</v>
      </c>
      <c r="V5" s="5">
        <v>111</v>
      </c>
      <c r="W5" s="1">
        <f>111-V5</f>
        <v>0</v>
      </c>
      <c r="X5" s="5">
        <v>82</v>
      </c>
      <c r="Y5" s="1">
        <f>92-X5</f>
        <v>10</v>
      </c>
      <c r="Z5" s="1">
        <f>(Y5+W5)*675</f>
        <v>6750</v>
      </c>
      <c r="AA5" s="1">
        <f>Z5+O5+I5</f>
        <v>-10050</v>
      </c>
      <c r="AC5" s="5">
        <v>-4640</v>
      </c>
    </row>
    <row r="6" spans="1:29" x14ac:dyDescent="0.25">
      <c r="A6" s="6">
        <v>42796</v>
      </c>
      <c r="B6" s="5">
        <v>20525</v>
      </c>
      <c r="C6" s="5">
        <f>B6-20876</f>
        <v>-351</v>
      </c>
      <c r="D6" s="5">
        <f>C6*100/20876</f>
        <v>-1.6813565817206362</v>
      </c>
      <c r="E6" s="5">
        <v>196</v>
      </c>
      <c r="F6" s="5">
        <f>E6-340</f>
        <v>-144</v>
      </c>
      <c r="G6" s="5">
        <v>589</v>
      </c>
      <c r="H6" s="5">
        <f>G6-465</f>
        <v>124</v>
      </c>
      <c r="I6" s="5">
        <f>(H6+F6)*120</f>
        <v>-2400</v>
      </c>
      <c r="K6" s="5">
        <v>1</v>
      </c>
      <c r="L6" s="5">
        <f>K6-39</f>
        <v>-38</v>
      </c>
      <c r="M6" s="5">
        <v>20</v>
      </c>
      <c r="N6" s="5">
        <f>M6-58</f>
        <v>-38</v>
      </c>
      <c r="O6" s="3">
        <f>(N6+L6+Q6)*120</f>
        <v>-9840</v>
      </c>
      <c r="P6" s="5">
        <v>0</v>
      </c>
      <c r="Q6" s="1">
        <f>P6-6</f>
        <v>-6</v>
      </c>
      <c r="S6" s="5">
        <v>8882</v>
      </c>
      <c r="T6" s="5">
        <f>S6-8940</f>
        <v>-58</v>
      </c>
      <c r="U6" s="5">
        <f>T6*100/8940</f>
        <v>-0.64876957494407161</v>
      </c>
      <c r="V6" s="5">
        <v>80</v>
      </c>
      <c r="W6" s="5">
        <f>111-V6</f>
        <v>31</v>
      </c>
      <c r="X6" s="5">
        <v>98</v>
      </c>
      <c r="Y6" s="5">
        <f>92-X6</f>
        <v>-6</v>
      </c>
      <c r="Z6" s="5">
        <f>(Y6+W6)*675</f>
        <v>16875</v>
      </c>
      <c r="AA6" s="5">
        <f>Z6+O6+I6</f>
        <v>4635</v>
      </c>
      <c r="AC6" s="5">
        <v>-11280</v>
      </c>
    </row>
    <row r="7" spans="1:29" x14ac:dyDescent="0.25">
      <c r="K7" s="5" t="s">
        <v>9</v>
      </c>
      <c r="M7" s="5" t="s">
        <v>27</v>
      </c>
      <c r="AC7" s="5">
        <v>-60000</v>
      </c>
    </row>
    <row r="8" spans="1:29" x14ac:dyDescent="0.25">
      <c r="K8" s="5">
        <v>77</v>
      </c>
      <c r="L8" s="1">
        <f>K8-77</f>
        <v>0</v>
      </c>
      <c r="M8" s="1">
        <v>43</v>
      </c>
      <c r="N8" s="1">
        <f>M8-43</f>
        <v>0</v>
      </c>
      <c r="O8" s="1">
        <f>(N8+L8)*120</f>
        <v>0</v>
      </c>
      <c r="AC8" s="5">
        <v>14040</v>
      </c>
    </row>
    <row r="9" spans="1:29" x14ac:dyDescent="0.25">
      <c r="A9" s="6">
        <v>42796</v>
      </c>
      <c r="B9" s="5">
        <v>20560</v>
      </c>
      <c r="C9" s="5">
        <f>B9-20876</f>
        <v>-316</v>
      </c>
      <c r="D9" s="5">
        <f>C9*100/20876</f>
        <v>-1.5136999425177238</v>
      </c>
      <c r="E9" s="5">
        <v>207</v>
      </c>
      <c r="F9" s="5">
        <f>E9-340</f>
        <v>-133</v>
      </c>
      <c r="G9" s="5">
        <v>582</v>
      </c>
      <c r="H9" s="5">
        <f>G9-465</f>
        <v>117</v>
      </c>
      <c r="I9" s="5">
        <f>(H9+F9)*120</f>
        <v>-1920</v>
      </c>
      <c r="K9" s="5">
        <v>79</v>
      </c>
      <c r="L9" s="1">
        <f>K9-77</f>
        <v>2</v>
      </c>
      <c r="M9" s="5">
        <v>46</v>
      </c>
      <c r="N9" s="1">
        <f>M9-43</f>
        <v>3</v>
      </c>
      <c r="O9" s="1">
        <f>(N9+L9)*120</f>
        <v>600</v>
      </c>
      <c r="S9" s="5">
        <v>8899</v>
      </c>
      <c r="T9" s="5">
        <f>S9-8940</f>
        <v>-41</v>
      </c>
      <c r="U9" s="5">
        <f>T9*100/8940</f>
        <v>-0.45861297539149887</v>
      </c>
      <c r="V9" s="5">
        <v>82</v>
      </c>
      <c r="W9" s="5">
        <f>111-V9</f>
        <v>29</v>
      </c>
      <c r="X9" s="5">
        <v>96</v>
      </c>
      <c r="Y9" s="5">
        <f>92-X9</f>
        <v>-4</v>
      </c>
      <c r="Z9" s="5">
        <f>(Y9+W9)*675</f>
        <v>16875</v>
      </c>
      <c r="AA9" s="5">
        <f>Z9+O9+I9</f>
        <v>15555</v>
      </c>
      <c r="AC9" s="5">
        <v>94498</v>
      </c>
    </row>
    <row r="10" spans="1:29" x14ac:dyDescent="0.25">
      <c r="A10" s="6">
        <v>42797</v>
      </c>
      <c r="B10" s="5">
        <v>20495</v>
      </c>
      <c r="C10" s="1">
        <f>B10-20876</f>
        <v>-381</v>
      </c>
      <c r="D10" s="1">
        <f>C10*100/20876</f>
        <v>-1.8250622724659897</v>
      </c>
      <c r="E10" s="5">
        <v>182</v>
      </c>
      <c r="F10" s="1">
        <f>E10-340</f>
        <v>-158</v>
      </c>
      <c r="G10" s="5">
        <v>594</v>
      </c>
      <c r="H10" s="1">
        <f>G10-465</f>
        <v>129</v>
      </c>
      <c r="I10" s="1">
        <f>(H10+F10)*120</f>
        <v>-3480</v>
      </c>
      <c r="K10" s="5">
        <v>51</v>
      </c>
      <c r="L10" s="1">
        <f>K10-77</f>
        <v>-26</v>
      </c>
      <c r="M10" s="5">
        <v>39</v>
      </c>
      <c r="N10" s="1">
        <f>M10-43</f>
        <v>-4</v>
      </c>
      <c r="O10" s="1">
        <f>(N10+L10)*120</f>
        <v>-3600</v>
      </c>
      <c r="S10" s="5">
        <v>8897</v>
      </c>
      <c r="T10" s="1">
        <f>S10-8940</f>
        <v>-43</v>
      </c>
      <c r="U10" s="1">
        <f>T10*100/8940</f>
        <v>-0.48098434004474272</v>
      </c>
      <c r="V10" s="5">
        <v>83</v>
      </c>
      <c r="W10" s="1">
        <f>111-V10</f>
        <v>28</v>
      </c>
      <c r="X10" s="5">
        <v>88</v>
      </c>
      <c r="Y10" s="1">
        <f>93-X10</f>
        <v>5</v>
      </c>
      <c r="Z10" s="1">
        <f>(Y10+W10)*675+Y10*75</f>
        <v>22650</v>
      </c>
      <c r="AA10" s="1">
        <f>Z10+O10+I10</f>
        <v>15570</v>
      </c>
    </row>
    <row r="11" spans="1:29" x14ac:dyDescent="0.25">
      <c r="A11" s="6">
        <v>42800</v>
      </c>
      <c r="B11" s="5">
        <v>20663</v>
      </c>
      <c r="C11" s="1">
        <f>B11-20876</f>
        <v>-213</v>
      </c>
      <c r="D11" s="1">
        <f>C11*100/20876</f>
        <v>-1.0203104042920099</v>
      </c>
      <c r="E11" s="5">
        <v>237</v>
      </c>
      <c r="F11" s="1">
        <f>E11-340</f>
        <v>-103</v>
      </c>
      <c r="G11" s="5">
        <v>494</v>
      </c>
      <c r="H11" s="1">
        <f>G11-465</f>
        <v>29</v>
      </c>
      <c r="I11" s="1">
        <f>(H11+F11)*120</f>
        <v>-8880</v>
      </c>
      <c r="K11" s="5">
        <v>81</v>
      </c>
      <c r="L11" s="1">
        <f>K11-77</f>
        <v>4</v>
      </c>
      <c r="M11" s="5">
        <v>11</v>
      </c>
      <c r="N11" s="1">
        <f>M11-43</f>
        <v>-32</v>
      </c>
      <c r="O11" s="1">
        <f>(N11+L11)*120</f>
        <v>-3360</v>
      </c>
      <c r="S11" s="5">
        <v>8947</v>
      </c>
      <c r="T11" s="1">
        <f>S11-8940</f>
        <v>7</v>
      </c>
      <c r="U11" s="1">
        <f>T11*100/8940</f>
        <v>7.829977628635347E-2</v>
      </c>
      <c r="V11" s="5">
        <v>87</v>
      </c>
      <c r="W11" s="1">
        <f>111-V11</f>
        <v>24</v>
      </c>
      <c r="X11" s="5">
        <v>81</v>
      </c>
      <c r="Y11" s="1">
        <f>93-X11</f>
        <v>12</v>
      </c>
      <c r="Z11" s="3">
        <f>(Y11+W11)*675+Y11*75</f>
        <v>25200</v>
      </c>
      <c r="AA11" s="1">
        <f>Z11+O11+I11</f>
        <v>12960</v>
      </c>
    </row>
    <row r="12" spans="1:29" x14ac:dyDescent="0.25">
      <c r="V12" s="5" t="s">
        <v>28</v>
      </c>
      <c r="X12" s="5" t="s">
        <v>29</v>
      </c>
    </row>
    <row r="13" spans="1:29" x14ac:dyDescent="0.25">
      <c r="V13" s="5">
        <v>51</v>
      </c>
      <c r="W13" s="1">
        <f t="shared" ref="W13:W18" si="0">51-V13</f>
        <v>0</v>
      </c>
      <c r="X13" s="5">
        <v>117</v>
      </c>
      <c r="Y13" s="1">
        <f t="shared" ref="Y13:Y18" si="1">117-X13</f>
        <v>0</v>
      </c>
      <c r="AC13" s="7">
        <f>SUM(AC2:AC12)</f>
        <v>33578</v>
      </c>
    </row>
    <row r="14" spans="1:29" x14ac:dyDescent="0.25">
      <c r="A14" s="6">
        <v>42800</v>
      </c>
      <c r="B14" s="5">
        <v>20663</v>
      </c>
      <c r="C14" s="1">
        <f>B14-20876</f>
        <v>-213</v>
      </c>
      <c r="D14" s="1">
        <f>C14*100/20876</f>
        <v>-1.0203104042920099</v>
      </c>
      <c r="E14" s="5">
        <v>237</v>
      </c>
      <c r="F14" s="1">
        <f>E14-340</f>
        <v>-103</v>
      </c>
      <c r="G14" s="5">
        <v>494</v>
      </c>
      <c r="H14" s="1">
        <f>G14-465</f>
        <v>29</v>
      </c>
      <c r="I14" s="1">
        <f>(H14+F14)*120</f>
        <v>-8880</v>
      </c>
      <c r="K14" s="5">
        <v>81</v>
      </c>
      <c r="L14" s="1">
        <f>K14-77</f>
        <v>4</v>
      </c>
      <c r="M14" s="5">
        <v>11</v>
      </c>
      <c r="N14" s="1">
        <f>M14-43</f>
        <v>-32</v>
      </c>
      <c r="O14" s="1">
        <f>(N14+L14)*120</f>
        <v>-3360</v>
      </c>
      <c r="S14" s="5">
        <v>8947</v>
      </c>
      <c r="T14" s="1">
        <f>S14-8940</f>
        <v>7</v>
      </c>
      <c r="U14" s="1">
        <f>T14*100/8940</f>
        <v>7.829977628635347E-2</v>
      </c>
      <c r="V14" s="5">
        <v>61</v>
      </c>
      <c r="W14" s="1">
        <f t="shared" si="0"/>
        <v>-10</v>
      </c>
      <c r="X14" s="5">
        <v>108</v>
      </c>
      <c r="Y14" s="1">
        <f t="shared" si="1"/>
        <v>9</v>
      </c>
      <c r="Z14" s="1">
        <f>(Y14+W14)*675</f>
        <v>-675</v>
      </c>
      <c r="AA14" s="1">
        <f>Z14+O14+I14</f>
        <v>-12915</v>
      </c>
    </row>
    <row r="15" spans="1:29" x14ac:dyDescent="0.25">
      <c r="A15" s="6">
        <v>42800</v>
      </c>
      <c r="B15" s="5">
        <v>20673</v>
      </c>
      <c r="C15" s="1">
        <f>B15-20876</f>
        <v>-203</v>
      </c>
      <c r="D15" s="1">
        <f>C15*100/20876</f>
        <v>-0.97240850737689211</v>
      </c>
      <c r="E15" s="5">
        <v>235</v>
      </c>
      <c r="F15" s="1">
        <f>E15-340</f>
        <v>-105</v>
      </c>
      <c r="G15" s="5">
        <v>500</v>
      </c>
      <c r="H15" s="1">
        <f>G15-465</f>
        <v>35</v>
      </c>
      <c r="I15" s="1">
        <f>(H15+F15)*120</f>
        <v>-8400</v>
      </c>
      <c r="K15" s="5">
        <v>73</v>
      </c>
      <c r="L15" s="1">
        <f>K15-77</f>
        <v>-4</v>
      </c>
      <c r="M15" s="5">
        <v>9</v>
      </c>
      <c r="N15" s="1">
        <f>M15-43</f>
        <v>-34</v>
      </c>
      <c r="O15" s="1">
        <f>(N15+L15)*120</f>
        <v>-4560</v>
      </c>
      <c r="S15" s="5">
        <v>8963</v>
      </c>
      <c r="T15" s="1">
        <f>S15-8940</f>
        <v>23</v>
      </c>
      <c r="U15" s="1">
        <f>T15*100/8940</f>
        <v>0.25727069351230425</v>
      </c>
      <c r="V15" s="5">
        <v>65</v>
      </c>
      <c r="W15" s="1">
        <f t="shared" si="0"/>
        <v>-14</v>
      </c>
      <c r="X15" s="5">
        <v>105</v>
      </c>
      <c r="Y15" s="1">
        <f t="shared" si="1"/>
        <v>12</v>
      </c>
      <c r="Z15" s="1">
        <f>(Y15+W15)*675</f>
        <v>-1350</v>
      </c>
      <c r="AA15" s="1">
        <f>Z15+O15+I15</f>
        <v>-14310</v>
      </c>
    </row>
    <row r="16" spans="1:29" x14ac:dyDescent="0.25">
      <c r="A16" s="6">
        <v>42801</v>
      </c>
      <c r="B16" s="5">
        <v>20633</v>
      </c>
      <c r="C16" s="1">
        <f>B16-20876</f>
        <v>-243</v>
      </c>
      <c r="D16" s="1">
        <f>C16*100/20876</f>
        <v>-1.1640160950373635</v>
      </c>
      <c r="E16" s="5">
        <v>221</v>
      </c>
      <c r="F16" s="1">
        <f>E16-340</f>
        <v>-119</v>
      </c>
      <c r="G16" s="5">
        <v>500</v>
      </c>
      <c r="H16" s="1">
        <f>G16-465</f>
        <v>35</v>
      </c>
      <c r="I16" s="1">
        <f>(H16+F16)*120</f>
        <v>-10080</v>
      </c>
      <c r="K16" s="5">
        <v>51</v>
      </c>
      <c r="L16" s="1">
        <f>K16-77</f>
        <v>-26</v>
      </c>
      <c r="M16" s="5">
        <v>6</v>
      </c>
      <c r="N16" s="1">
        <f>M16-43</f>
        <v>-37</v>
      </c>
      <c r="O16" s="1">
        <f>(N16+L16)*120</f>
        <v>-7560</v>
      </c>
      <c r="S16" s="5">
        <v>8944</v>
      </c>
      <c r="T16" s="1">
        <f>S16-8940</f>
        <v>4</v>
      </c>
      <c r="U16" s="1">
        <f>T16*100/8940</f>
        <v>4.4742729306487698E-2</v>
      </c>
      <c r="V16" s="5">
        <v>65</v>
      </c>
      <c r="W16" s="1">
        <f t="shared" si="0"/>
        <v>-14</v>
      </c>
      <c r="X16" s="5">
        <v>108</v>
      </c>
      <c r="Y16" s="1">
        <f t="shared" si="1"/>
        <v>9</v>
      </c>
      <c r="Z16" s="1">
        <f>(Y16+W16)*675</f>
        <v>-3375</v>
      </c>
      <c r="AA16" s="1">
        <f>Z16+O16+I16</f>
        <v>-21015</v>
      </c>
    </row>
    <row r="17" spans="1:27" x14ac:dyDescent="0.25">
      <c r="A17" s="6">
        <v>42802</v>
      </c>
      <c r="B17" s="5">
        <v>20698</v>
      </c>
      <c r="C17" s="1">
        <f>B17-20876</f>
        <v>-178</v>
      </c>
      <c r="D17" s="1">
        <f>C17*100/20876</f>
        <v>-0.85265376508909752</v>
      </c>
      <c r="E17" s="5">
        <v>251</v>
      </c>
      <c r="F17" s="1">
        <f>E17-340</f>
        <v>-89</v>
      </c>
      <c r="G17" s="5">
        <v>475</v>
      </c>
      <c r="H17" s="1">
        <f>G17-465</f>
        <v>10</v>
      </c>
      <c r="I17" s="1">
        <f>(H17+F17)*120</f>
        <v>-9480</v>
      </c>
      <c r="K17" s="5">
        <v>42</v>
      </c>
      <c r="L17" s="1">
        <f>K17-77</f>
        <v>-35</v>
      </c>
      <c r="M17" s="5">
        <v>2</v>
      </c>
      <c r="N17" s="1">
        <f>M17-43</f>
        <v>-41</v>
      </c>
      <c r="O17" s="1">
        <f>(N17+L17)*120</f>
        <v>-9120</v>
      </c>
      <c r="S17" s="5">
        <v>8926</v>
      </c>
      <c r="T17" s="1">
        <f>S17-8940</f>
        <v>-14</v>
      </c>
      <c r="U17" s="1">
        <f>T17*100/8940</f>
        <v>-0.15659955257270694</v>
      </c>
      <c r="V17" s="5">
        <v>61</v>
      </c>
      <c r="W17" s="5">
        <f t="shared" si="0"/>
        <v>-10</v>
      </c>
      <c r="X17" s="5">
        <v>120</v>
      </c>
      <c r="Y17" s="5">
        <f t="shared" si="1"/>
        <v>-3</v>
      </c>
      <c r="Z17" s="1">
        <f>(Y17+W17)*675</f>
        <v>-8775</v>
      </c>
      <c r="AA17" s="1">
        <f>Z17+O17+I17</f>
        <v>-27375</v>
      </c>
    </row>
    <row r="18" spans="1:27" x14ac:dyDescent="0.25">
      <c r="A18" s="6">
        <v>42803</v>
      </c>
      <c r="B18" s="5">
        <v>20717</v>
      </c>
      <c r="C18" s="5">
        <f>B18-20876</f>
        <v>-159</v>
      </c>
      <c r="D18" s="5">
        <f>C18*100/20876</f>
        <v>-0.76164016095037368</v>
      </c>
      <c r="E18" s="5">
        <v>252</v>
      </c>
      <c r="F18" s="5">
        <f>E18-340</f>
        <v>-88</v>
      </c>
      <c r="G18" s="5">
        <v>458</v>
      </c>
      <c r="H18" s="5">
        <f>G18-465</f>
        <v>-7</v>
      </c>
      <c r="I18" s="5">
        <f>(H18+F18)*120</f>
        <v>-11400</v>
      </c>
      <c r="K18" s="5">
        <v>0</v>
      </c>
      <c r="L18" s="1">
        <f>K18-77</f>
        <v>-77</v>
      </c>
      <c r="M18" s="5">
        <v>0</v>
      </c>
      <c r="N18" s="5">
        <f>M18-43</f>
        <v>-43</v>
      </c>
      <c r="O18" s="7">
        <f>(N18+L18)*120</f>
        <v>-14400</v>
      </c>
      <c r="S18" s="5">
        <v>8923</v>
      </c>
      <c r="T18" s="5">
        <f>S18-8940</f>
        <v>-17</v>
      </c>
      <c r="U18" s="5">
        <f>T18*100/8940</f>
        <v>-0.19015659955257272</v>
      </c>
      <c r="V18" s="5">
        <v>60</v>
      </c>
      <c r="W18" s="5">
        <f t="shared" si="0"/>
        <v>-9</v>
      </c>
      <c r="X18" s="5">
        <v>122</v>
      </c>
      <c r="Y18" s="5">
        <f t="shared" si="1"/>
        <v>-5</v>
      </c>
      <c r="Z18" s="5">
        <f>(Y18+W18)*675</f>
        <v>-9450</v>
      </c>
      <c r="AA18" s="5">
        <f>Z18+O18+I18</f>
        <v>-35250</v>
      </c>
    </row>
    <row r="19" spans="1:27" x14ac:dyDescent="0.25">
      <c r="K19" s="5" t="s">
        <v>20</v>
      </c>
      <c r="M19" s="5" t="s">
        <v>8</v>
      </c>
    </row>
    <row r="20" spans="1:27" x14ac:dyDescent="0.25">
      <c r="K20" s="5">
        <v>146</v>
      </c>
      <c r="L20" s="1">
        <f>K20-146</f>
        <v>0</v>
      </c>
      <c r="M20" s="5">
        <v>116</v>
      </c>
      <c r="N20" s="1">
        <f>M20-116</f>
        <v>0</v>
      </c>
    </row>
    <row r="21" spans="1:27" x14ac:dyDescent="0.25">
      <c r="A21" s="6">
        <v>42804</v>
      </c>
      <c r="B21" s="5">
        <v>20727</v>
      </c>
      <c r="C21" s="5">
        <f>B21-20876</f>
        <v>-149</v>
      </c>
      <c r="D21" s="5">
        <f>C21*100/20876</f>
        <v>-0.71373826403525575</v>
      </c>
      <c r="E21" s="5">
        <v>241</v>
      </c>
      <c r="F21" s="5">
        <f>E21-340</f>
        <v>-99</v>
      </c>
      <c r="G21" s="5">
        <v>448</v>
      </c>
      <c r="H21" s="5">
        <f>G21-465</f>
        <v>-17</v>
      </c>
      <c r="I21" s="5">
        <f>(H21+F21)*120</f>
        <v>-13920</v>
      </c>
      <c r="K21" s="5">
        <v>131</v>
      </c>
      <c r="L21" s="1">
        <f>K21-146</f>
        <v>-15</v>
      </c>
      <c r="M21" s="5">
        <v>86</v>
      </c>
      <c r="N21" s="1">
        <f>M21-116</f>
        <v>-30</v>
      </c>
      <c r="O21" s="1">
        <f>(N21+L21)*80</f>
        <v>-3600</v>
      </c>
      <c r="S21" s="5">
        <v>8934</v>
      </c>
      <c r="T21" s="5">
        <f>S21-8940</f>
        <v>-6</v>
      </c>
      <c r="U21" s="5">
        <f>T21*100/8940</f>
        <v>-6.7114093959731544E-2</v>
      </c>
      <c r="V21" s="5">
        <v>56</v>
      </c>
      <c r="W21" s="5">
        <f>51-V21</f>
        <v>-5</v>
      </c>
      <c r="X21" s="5">
        <v>116</v>
      </c>
      <c r="Y21" s="5">
        <f>117-X21</f>
        <v>1</v>
      </c>
      <c r="Z21" s="5">
        <f>(Y21+W21)*675</f>
        <v>-2700</v>
      </c>
      <c r="AA21" s="5">
        <f>Z21+O21+I21</f>
        <v>-20220</v>
      </c>
    </row>
    <row r="22" spans="1:27" x14ac:dyDescent="0.25">
      <c r="A22" s="6">
        <v>42808</v>
      </c>
      <c r="B22" s="5">
        <v>21066</v>
      </c>
      <c r="C22" s="5">
        <f>B22-20876</f>
        <v>190</v>
      </c>
      <c r="D22" s="5">
        <f>C22*100/20876</f>
        <v>0.91013604138723891</v>
      </c>
      <c r="E22" s="5">
        <v>333</v>
      </c>
      <c r="F22" s="5">
        <f>E22-340</f>
        <v>-7</v>
      </c>
      <c r="G22" s="5">
        <v>209</v>
      </c>
      <c r="H22" s="5">
        <f>G22-465</f>
        <v>-256</v>
      </c>
      <c r="I22" s="5">
        <f>(H22+F22)*120</f>
        <v>-31560</v>
      </c>
      <c r="K22" s="5">
        <v>156</v>
      </c>
      <c r="L22" s="1">
        <f>K22-146</f>
        <v>10</v>
      </c>
      <c r="M22" s="5">
        <v>3</v>
      </c>
      <c r="N22" s="1">
        <f>M22-116</f>
        <v>-113</v>
      </c>
      <c r="O22" s="1">
        <f>(N22+L22)*80</f>
        <v>-8240</v>
      </c>
      <c r="S22" s="5">
        <v>9075</v>
      </c>
      <c r="T22" s="5">
        <f>S22-8940</f>
        <v>135</v>
      </c>
      <c r="U22" s="5">
        <f>T22*100/8940</f>
        <v>1.5100671140939597</v>
      </c>
      <c r="V22" s="5">
        <v>80</v>
      </c>
      <c r="W22" s="5">
        <f>51-V22</f>
        <v>-29</v>
      </c>
      <c r="X22" s="5">
        <v>35</v>
      </c>
      <c r="Y22" s="5">
        <f>117-X22</f>
        <v>82</v>
      </c>
      <c r="Z22" s="5">
        <f>(Y22+W22)*675</f>
        <v>35775</v>
      </c>
      <c r="AA22" s="5">
        <f>Z22+O22+I22</f>
        <v>-4025</v>
      </c>
    </row>
    <row r="23" spans="1:27" x14ac:dyDescent="0.25">
      <c r="A23" s="6">
        <v>42810</v>
      </c>
      <c r="B23" s="5">
        <v>21249</v>
      </c>
      <c r="C23" s="5">
        <f>B23-20876</f>
        <v>373</v>
      </c>
      <c r="D23" s="5">
        <f>C23*100/20876</f>
        <v>1.7867407549338954</v>
      </c>
      <c r="E23" s="5">
        <v>424</v>
      </c>
      <c r="F23" s="5">
        <f>E23-340</f>
        <v>84</v>
      </c>
      <c r="G23" s="5">
        <v>106</v>
      </c>
      <c r="H23" s="5">
        <f>G23-465</f>
        <v>-359</v>
      </c>
      <c r="I23" s="5">
        <f>(H23+F23)*120</f>
        <v>-33000</v>
      </c>
      <c r="K23" s="5">
        <v>204</v>
      </c>
      <c r="L23" s="1">
        <f>K23-146</f>
        <v>58</v>
      </c>
      <c r="M23" s="5">
        <v>0</v>
      </c>
      <c r="N23" s="1">
        <f>M23-116</f>
        <v>-116</v>
      </c>
      <c r="O23" s="3">
        <f>(N23+L23)*80</f>
        <v>-4640</v>
      </c>
      <c r="S23" s="5">
        <v>9153</v>
      </c>
      <c r="T23" s="5">
        <f>S23-8940</f>
        <v>213</v>
      </c>
      <c r="U23" s="5">
        <f>T23*100/8940</f>
        <v>2.3825503355704698</v>
      </c>
      <c r="V23" s="5">
        <v>118</v>
      </c>
      <c r="W23" s="5">
        <f>51-V23</f>
        <v>-67</v>
      </c>
      <c r="X23" s="5">
        <v>16</v>
      </c>
      <c r="Y23" s="5">
        <f>117-X23</f>
        <v>101</v>
      </c>
      <c r="Z23" s="5">
        <f>(Y23+W23)*675</f>
        <v>22950</v>
      </c>
      <c r="AA23" s="5">
        <f>Z23+O23+I23</f>
        <v>-14690</v>
      </c>
    </row>
    <row r="24" spans="1:27" x14ac:dyDescent="0.25">
      <c r="K24" s="5" t="s">
        <v>30</v>
      </c>
      <c r="M24" s="5" t="s">
        <v>31</v>
      </c>
    </row>
    <row r="25" spans="1:27" x14ac:dyDescent="0.25">
      <c r="A25" s="6">
        <v>42810</v>
      </c>
      <c r="B25" s="5">
        <v>21249</v>
      </c>
      <c r="C25" s="5">
        <f t="shared" ref="C25:C30" si="2">B25-20876</f>
        <v>373</v>
      </c>
      <c r="D25" s="5">
        <f t="shared" ref="D25:D30" si="3">C25*100/20876</f>
        <v>1.7867407549338954</v>
      </c>
      <c r="E25" s="5">
        <v>424</v>
      </c>
      <c r="F25" s="5">
        <f t="shared" ref="F25:F30" si="4">E25-340</f>
        <v>84</v>
      </c>
      <c r="G25" s="5">
        <v>106</v>
      </c>
      <c r="H25" s="5">
        <f t="shared" ref="H25:H30" si="5">G25-465</f>
        <v>-359</v>
      </c>
      <c r="I25" s="5">
        <f t="shared" ref="I25:I30" si="6">(H25+F25)*120</f>
        <v>-33000</v>
      </c>
      <c r="K25" s="5">
        <v>65</v>
      </c>
      <c r="L25" s="1">
        <f t="shared" ref="L25:L30" si="7">K25-65</f>
        <v>0</v>
      </c>
      <c r="M25" s="5">
        <v>32</v>
      </c>
      <c r="N25" s="1">
        <f t="shared" ref="N25:N30" si="8">M25-32</f>
        <v>0</v>
      </c>
      <c r="O25" s="1">
        <f t="shared" ref="O25:O30" si="9">(N25+L25)*120</f>
        <v>0</v>
      </c>
      <c r="S25" s="5">
        <v>9153</v>
      </c>
      <c r="T25" s="5">
        <f t="shared" ref="T25:T30" si="10">S25-8940</f>
        <v>213</v>
      </c>
      <c r="U25" s="5">
        <f t="shared" ref="U25:U30" si="11">T25*100/8940</f>
        <v>2.3825503355704698</v>
      </c>
      <c r="V25" s="5">
        <v>118</v>
      </c>
      <c r="W25" s="5">
        <f t="shared" ref="W25:W30" si="12">51-V25</f>
        <v>-67</v>
      </c>
      <c r="X25" s="5">
        <v>16</v>
      </c>
      <c r="Y25" s="5">
        <f t="shared" ref="Y25:Y30" si="13">117-X25</f>
        <v>101</v>
      </c>
      <c r="Z25" s="5">
        <f t="shared" ref="Z25:Z30" si="14">(Y25+W25)*675</f>
        <v>22950</v>
      </c>
      <c r="AA25" s="5">
        <f t="shared" ref="AA25:AA30" si="15">Z25+O25+I25</f>
        <v>-10050</v>
      </c>
    </row>
    <row r="26" spans="1:27" x14ac:dyDescent="0.25">
      <c r="A26" s="6">
        <v>42811</v>
      </c>
      <c r="B26" s="5">
        <v>21175</v>
      </c>
      <c r="C26" s="5">
        <f t="shared" si="2"/>
        <v>299</v>
      </c>
      <c r="D26" s="5">
        <f t="shared" si="3"/>
        <v>1.4322667177620234</v>
      </c>
      <c r="E26" s="5">
        <v>350</v>
      </c>
      <c r="F26" s="5">
        <f t="shared" si="4"/>
        <v>10</v>
      </c>
      <c r="G26" s="5">
        <v>122</v>
      </c>
      <c r="H26" s="5">
        <f t="shared" si="5"/>
        <v>-343</v>
      </c>
      <c r="I26" s="5">
        <f t="shared" si="6"/>
        <v>-39960</v>
      </c>
      <c r="K26" s="5">
        <v>26</v>
      </c>
      <c r="L26" s="1">
        <f t="shared" si="7"/>
        <v>-39</v>
      </c>
      <c r="M26" s="5">
        <v>33</v>
      </c>
      <c r="N26" s="1">
        <f t="shared" si="8"/>
        <v>1</v>
      </c>
      <c r="O26" s="1">
        <f t="shared" si="9"/>
        <v>-4560</v>
      </c>
      <c r="S26" s="5">
        <v>9160</v>
      </c>
      <c r="T26" s="5">
        <f t="shared" si="10"/>
        <v>220</v>
      </c>
      <c r="U26" s="5">
        <f t="shared" si="11"/>
        <v>2.4608501118568231</v>
      </c>
      <c r="V26" s="5">
        <v>108</v>
      </c>
      <c r="W26" s="5">
        <f t="shared" si="12"/>
        <v>-57</v>
      </c>
      <c r="X26" s="5">
        <v>15</v>
      </c>
      <c r="Y26" s="5">
        <f t="shared" si="13"/>
        <v>102</v>
      </c>
      <c r="Z26" s="5">
        <f t="shared" si="14"/>
        <v>30375</v>
      </c>
      <c r="AA26" s="5">
        <f t="shared" si="15"/>
        <v>-14145</v>
      </c>
    </row>
    <row r="27" spans="1:27" x14ac:dyDescent="0.25">
      <c r="A27" s="6">
        <v>42814</v>
      </c>
      <c r="B27" s="5">
        <v>21110</v>
      </c>
      <c r="C27" s="5">
        <f t="shared" si="2"/>
        <v>234</v>
      </c>
      <c r="D27" s="5">
        <f t="shared" si="3"/>
        <v>1.1209043878137575</v>
      </c>
      <c r="E27" s="5">
        <v>293</v>
      </c>
      <c r="F27" s="5">
        <f t="shared" si="4"/>
        <v>-47</v>
      </c>
      <c r="G27" s="5">
        <v>114</v>
      </c>
      <c r="H27" s="5">
        <f t="shared" si="5"/>
        <v>-351</v>
      </c>
      <c r="I27" s="5">
        <f t="shared" si="6"/>
        <v>-47760</v>
      </c>
      <c r="K27" s="5">
        <v>9</v>
      </c>
      <c r="L27" s="1">
        <f t="shared" si="7"/>
        <v>-56</v>
      </c>
      <c r="M27" s="5">
        <v>23</v>
      </c>
      <c r="N27" s="1">
        <f t="shared" si="8"/>
        <v>-9</v>
      </c>
      <c r="O27" s="1">
        <f t="shared" si="9"/>
        <v>-7800</v>
      </c>
      <c r="S27" s="5">
        <v>9127</v>
      </c>
      <c r="T27" s="5">
        <f t="shared" si="10"/>
        <v>187</v>
      </c>
      <c r="U27" s="5">
        <f t="shared" si="11"/>
        <v>2.0917225950782998</v>
      </c>
      <c r="V27" s="5">
        <v>95</v>
      </c>
      <c r="W27" s="5">
        <f t="shared" si="12"/>
        <v>-44</v>
      </c>
      <c r="X27" s="5">
        <v>12</v>
      </c>
      <c r="Y27" s="5">
        <f t="shared" si="13"/>
        <v>105</v>
      </c>
      <c r="Z27" s="5">
        <f t="shared" si="14"/>
        <v>41175</v>
      </c>
      <c r="AA27" s="5">
        <f t="shared" si="15"/>
        <v>-14385</v>
      </c>
    </row>
    <row r="28" spans="1:27" x14ac:dyDescent="0.25">
      <c r="A28" s="6">
        <v>42815</v>
      </c>
      <c r="B28" s="5">
        <v>21019</v>
      </c>
      <c r="C28" s="5">
        <f t="shared" si="2"/>
        <v>143</v>
      </c>
      <c r="D28" s="5">
        <f t="shared" si="3"/>
        <v>0.68499712588618511</v>
      </c>
      <c r="E28" s="5">
        <v>233</v>
      </c>
      <c r="F28" s="5">
        <f t="shared" si="4"/>
        <v>-107</v>
      </c>
      <c r="G28" s="5">
        <v>125</v>
      </c>
      <c r="H28" s="5">
        <f t="shared" si="5"/>
        <v>-340</v>
      </c>
      <c r="I28" s="5">
        <f t="shared" si="6"/>
        <v>-53640</v>
      </c>
      <c r="K28" s="5">
        <v>4</v>
      </c>
      <c r="L28" s="1">
        <f t="shared" si="7"/>
        <v>-61</v>
      </c>
      <c r="M28" s="5">
        <v>20</v>
      </c>
      <c r="N28" s="1">
        <f t="shared" si="8"/>
        <v>-12</v>
      </c>
      <c r="O28" s="1">
        <f t="shared" si="9"/>
        <v>-8760</v>
      </c>
      <c r="S28" s="5">
        <v>9126</v>
      </c>
      <c r="T28" s="5">
        <f t="shared" si="10"/>
        <v>186</v>
      </c>
      <c r="U28" s="5">
        <f t="shared" si="11"/>
        <v>2.0805369127516777</v>
      </c>
      <c r="V28" s="5">
        <v>92</v>
      </c>
      <c r="W28" s="5">
        <f t="shared" si="12"/>
        <v>-41</v>
      </c>
      <c r="X28" s="5">
        <v>10</v>
      </c>
      <c r="Y28" s="5">
        <f t="shared" si="13"/>
        <v>107</v>
      </c>
      <c r="Z28" s="5">
        <f t="shared" si="14"/>
        <v>44550</v>
      </c>
      <c r="AA28" s="5">
        <f t="shared" si="15"/>
        <v>-17850</v>
      </c>
    </row>
    <row r="29" spans="1:27" x14ac:dyDescent="0.25">
      <c r="A29" s="6">
        <v>42816</v>
      </c>
      <c r="B29" s="5">
        <v>20781</v>
      </c>
      <c r="C29" s="5">
        <f t="shared" si="2"/>
        <v>-95</v>
      </c>
      <c r="D29" s="5">
        <f t="shared" si="3"/>
        <v>-0.45506802069361946</v>
      </c>
      <c r="E29" s="5">
        <v>102</v>
      </c>
      <c r="F29" s="5">
        <f t="shared" si="4"/>
        <v>-238</v>
      </c>
      <c r="G29" s="5">
        <v>255</v>
      </c>
      <c r="H29" s="5">
        <f t="shared" si="5"/>
        <v>-210</v>
      </c>
      <c r="I29" s="5">
        <f t="shared" si="6"/>
        <v>-53760</v>
      </c>
      <c r="K29" s="5">
        <v>0</v>
      </c>
      <c r="L29" s="5">
        <f t="shared" si="7"/>
        <v>-65</v>
      </c>
      <c r="M29" s="5">
        <v>115</v>
      </c>
      <c r="N29" s="5">
        <f t="shared" si="8"/>
        <v>83</v>
      </c>
      <c r="O29" s="5">
        <f t="shared" si="9"/>
        <v>2160</v>
      </c>
      <c r="S29" s="5">
        <v>9030</v>
      </c>
      <c r="T29" s="5">
        <f t="shared" si="10"/>
        <v>90</v>
      </c>
      <c r="U29" s="5">
        <f t="shared" si="11"/>
        <v>1.0067114093959733</v>
      </c>
      <c r="V29" s="5">
        <v>37</v>
      </c>
      <c r="W29" s="5">
        <f t="shared" si="12"/>
        <v>14</v>
      </c>
      <c r="X29" s="5">
        <v>27</v>
      </c>
      <c r="Y29" s="5">
        <f t="shared" si="13"/>
        <v>90</v>
      </c>
      <c r="Z29" s="5">
        <f t="shared" si="14"/>
        <v>70200</v>
      </c>
      <c r="AA29" s="5">
        <f t="shared" si="15"/>
        <v>18600</v>
      </c>
    </row>
    <row r="30" spans="1:27" x14ac:dyDescent="0.25">
      <c r="A30" s="6">
        <v>42817</v>
      </c>
      <c r="B30" s="5">
        <v>20885</v>
      </c>
      <c r="C30" s="5">
        <f t="shared" si="2"/>
        <v>9</v>
      </c>
      <c r="D30" s="5">
        <f t="shared" si="3"/>
        <v>4.3111707223606056E-2</v>
      </c>
      <c r="E30" s="5">
        <v>111</v>
      </c>
      <c r="F30" s="5">
        <f t="shared" si="4"/>
        <v>-229</v>
      </c>
      <c r="G30" s="5">
        <v>160</v>
      </c>
      <c r="H30" s="5">
        <f t="shared" si="5"/>
        <v>-305</v>
      </c>
      <c r="I30" s="5">
        <f t="shared" si="6"/>
        <v>-64080</v>
      </c>
      <c r="K30" s="5">
        <v>0</v>
      </c>
      <c r="L30" s="5">
        <f t="shared" si="7"/>
        <v>-65</v>
      </c>
      <c r="M30" s="5">
        <v>3</v>
      </c>
      <c r="N30" s="5">
        <f t="shared" si="8"/>
        <v>-29</v>
      </c>
      <c r="O30" s="7">
        <f t="shared" si="9"/>
        <v>-11280</v>
      </c>
      <c r="S30" s="5">
        <v>9083</v>
      </c>
      <c r="T30" s="5">
        <f t="shared" si="10"/>
        <v>143</v>
      </c>
      <c r="U30" s="5">
        <f t="shared" si="11"/>
        <v>1.5995525727069351</v>
      </c>
      <c r="V30" s="5">
        <v>53</v>
      </c>
      <c r="W30" s="5">
        <f t="shared" si="12"/>
        <v>-2</v>
      </c>
      <c r="X30" s="5">
        <v>12</v>
      </c>
      <c r="Y30" s="5">
        <f t="shared" si="13"/>
        <v>105</v>
      </c>
      <c r="Z30" s="5">
        <f t="shared" si="14"/>
        <v>69525</v>
      </c>
      <c r="AA30" s="5">
        <f t="shared" si="15"/>
        <v>-5835</v>
      </c>
    </row>
    <row r="31" spans="1:27" x14ac:dyDescent="0.25">
      <c r="K31" s="7" t="s">
        <v>26</v>
      </c>
      <c r="L31" s="7"/>
      <c r="M31" s="7" t="s">
        <v>32</v>
      </c>
    </row>
    <row r="32" spans="1:27" x14ac:dyDescent="0.25">
      <c r="K32" s="5">
        <v>80</v>
      </c>
      <c r="L32" s="5">
        <f>K32-80</f>
        <v>0</v>
      </c>
      <c r="M32" s="5">
        <v>20</v>
      </c>
      <c r="N32" s="5">
        <f>M32-20</f>
        <v>0</v>
      </c>
      <c r="O32" s="5">
        <f>(N32+L32)*120</f>
        <v>0</v>
      </c>
    </row>
    <row r="33" spans="1:27" x14ac:dyDescent="0.25">
      <c r="A33" s="6">
        <v>42817</v>
      </c>
      <c r="B33" s="5">
        <v>20882</v>
      </c>
      <c r="C33" s="5">
        <f>B33-20876</f>
        <v>6</v>
      </c>
      <c r="D33" s="5">
        <f>C33*100/20876</f>
        <v>2.8741138149070703E-2</v>
      </c>
      <c r="E33" s="5">
        <v>113</v>
      </c>
      <c r="F33" s="5">
        <f>E33-340</f>
        <v>-227</v>
      </c>
      <c r="G33" s="5">
        <v>164</v>
      </c>
      <c r="H33" s="5">
        <f>G33-465</f>
        <v>-301</v>
      </c>
      <c r="I33" s="5">
        <f>(H33+F33)*120</f>
        <v>-63360</v>
      </c>
      <c r="K33" s="5">
        <v>74</v>
      </c>
      <c r="L33" s="5">
        <f>K33-80</f>
        <v>-6</v>
      </c>
      <c r="M33" s="5">
        <v>21</v>
      </c>
      <c r="N33" s="5">
        <f>M33-20</f>
        <v>1</v>
      </c>
      <c r="O33" s="5">
        <f>(N33+L33)*120</f>
        <v>-600</v>
      </c>
      <c r="S33" s="5">
        <v>9080</v>
      </c>
      <c r="T33" s="5">
        <f>S33-8940</f>
        <v>140</v>
      </c>
      <c r="U33" s="5">
        <f>T33*100/8940</f>
        <v>1.5659955257270695</v>
      </c>
      <c r="V33" s="5">
        <v>54</v>
      </c>
      <c r="W33" s="5">
        <f>51-V33</f>
        <v>-3</v>
      </c>
      <c r="X33" s="5">
        <v>11</v>
      </c>
      <c r="Y33" s="5">
        <f>117-X33</f>
        <v>106</v>
      </c>
      <c r="Z33" s="5">
        <f>(Y33+W33)*675</f>
        <v>69525</v>
      </c>
      <c r="AA33" s="5">
        <f>Z33+O33+I33</f>
        <v>5565</v>
      </c>
    </row>
    <row r="34" spans="1:27" x14ac:dyDescent="0.25">
      <c r="A34" s="6">
        <v>42818</v>
      </c>
      <c r="B34" s="5">
        <v>21124</v>
      </c>
      <c r="C34" s="5">
        <f>B34-20876</f>
        <v>248</v>
      </c>
      <c r="D34" s="5">
        <f>C34*100/20876</f>
        <v>1.1879670434949223</v>
      </c>
      <c r="E34" s="5">
        <v>216</v>
      </c>
      <c r="F34" s="5">
        <f>E34-340</f>
        <v>-124</v>
      </c>
      <c r="G34" s="5">
        <v>76</v>
      </c>
      <c r="H34" s="5">
        <f>G34-465</f>
        <v>-389</v>
      </c>
      <c r="I34" s="5">
        <f>(H34+F34)*120</f>
        <v>-61560</v>
      </c>
      <c r="K34" s="5">
        <v>155</v>
      </c>
      <c r="L34" s="5">
        <f>K34-80</f>
        <v>75</v>
      </c>
      <c r="M34" s="5">
        <v>8</v>
      </c>
      <c r="N34" s="5">
        <f>M34-20</f>
        <v>-12</v>
      </c>
      <c r="O34" s="5">
        <f>(N34+L34)*120</f>
        <v>7560</v>
      </c>
      <c r="S34" s="5">
        <v>9099</v>
      </c>
      <c r="T34" s="5">
        <f>S34-8940</f>
        <v>159</v>
      </c>
      <c r="U34" s="5">
        <f>T34*100/8940</f>
        <v>1.7785234899328859</v>
      </c>
      <c r="V34" s="5">
        <v>52</v>
      </c>
      <c r="W34" s="5">
        <f>51-V34</f>
        <v>-1</v>
      </c>
      <c r="X34" s="5">
        <v>8</v>
      </c>
      <c r="Y34" s="5">
        <f>117-X34</f>
        <v>109</v>
      </c>
      <c r="Z34" s="5">
        <f>(Y34+W34)*675</f>
        <v>72900</v>
      </c>
      <c r="AA34" s="5">
        <f>Z34+O34+I34</f>
        <v>18900</v>
      </c>
    </row>
    <row r="35" spans="1:27" x14ac:dyDescent="0.25">
      <c r="A35" s="6">
        <v>42819</v>
      </c>
      <c r="B35" s="5">
        <v>21056</v>
      </c>
      <c r="C35" s="5">
        <f>B35-20876</f>
        <v>180</v>
      </c>
      <c r="D35" s="5">
        <f>C35*100/20876</f>
        <v>0.8622341444721211</v>
      </c>
      <c r="E35" s="5">
        <v>168</v>
      </c>
      <c r="F35" s="5">
        <f>E35-340</f>
        <v>-172</v>
      </c>
      <c r="G35" s="5">
        <v>76</v>
      </c>
      <c r="H35" s="5">
        <f>G35-465</f>
        <v>-389</v>
      </c>
      <c r="I35" s="5">
        <f>(H35+F35)*120</f>
        <v>-67320</v>
      </c>
      <c r="K35" s="5">
        <v>112</v>
      </c>
      <c r="L35" s="5">
        <f>K35-80</f>
        <v>32</v>
      </c>
      <c r="M35" s="5">
        <v>6</v>
      </c>
      <c r="N35" s="5">
        <f>M35-20</f>
        <v>-14</v>
      </c>
      <c r="O35" s="5">
        <f>(N35+L35)*120</f>
        <v>2160</v>
      </c>
      <c r="S35" s="5">
        <v>9045</v>
      </c>
      <c r="T35" s="5">
        <f>S35-8940</f>
        <v>105</v>
      </c>
      <c r="U35" s="5">
        <f>T35*100/8940</f>
        <v>1.174496644295302</v>
      </c>
      <c r="V35" s="5">
        <v>28</v>
      </c>
      <c r="W35" s="5">
        <f>51-V35</f>
        <v>23</v>
      </c>
      <c r="X35" s="5">
        <v>5</v>
      </c>
      <c r="Y35" s="5">
        <f>117-X35</f>
        <v>112</v>
      </c>
      <c r="Z35" s="5">
        <f>(Y35+W35)*675</f>
        <v>91125</v>
      </c>
      <c r="AA35" s="5">
        <f>Z35+O35+I35</f>
        <v>25965</v>
      </c>
    </row>
    <row r="36" spans="1:27" x14ac:dyDescent="0.25">
      <c r="A36" s="6">
        <v>42822</v>
      </c>
      <c r="B36" s="5">
        <v>21248</v>
      </c>
      <c r="C36" s="5">
        <f>B36-20876</f>
        <v>372</v>
      </c>
      <c r="D36" s="5">
        <f>C36*100/20876</f>
        <v>1.7819505652423835</v>
      </c>
      <c r="E36" s="5">
        <v>279</v>
      </c>
      <c r="F36" s="5">
        <f>E36-340</f>
        <v>-61</v>
      </c>
      <c r="G36" s="5">
        <v>26</v>
      </c>
      <c r="H36" s="5">
        <f>G36-465</f>
        <v>-439</v>
      </c>
      <c r="I36" s="7">
        <f>(H36+F36)*120</f>
        <v>-60000</v>
      </c>
      <c r="K36" s="5">
        <v>195</v>
      </c>
      <c r="L36" s="5">
        <f>K36-80</f>
        <v>115</v>
      </c>
      <c r="M36" s="5">
        <v>1</v>
      </c>
      <c r="N36" s="5">
        <f>M36-20</f>
        <v>-19</v>
      </c>
      <c r="O36" s="5">
        <f>(N36+L36)*120</f>
        <v>11520</v>
      </c>
      <c r="S36" s="5">
        <v>9108</v>
      </c>
      <c r="T36" s="5">
        <f>S36-8940</f>
        <v>168</v>
      </c>
      <c r="U36" s="5">
        <f>T36*100/8940</f>
        <v>1.8791946308724832</v>
      </c>
      <c r="V36" s="5">
        <v>44</v>
      </c>
      <c r="W36" s="5">
        <f>51-V36</f>
        <v>7</v>
      </c>
      <c r="X36" s="5">
        <v>1</v>
      </c>
      <c r="Y36" s="5">
        <f>117-X36</f>
        <v>116</v>
      </c>
      <c r="Z36" s="5">
        <f>(Y36+W36)*675</f>
        <v>83025</v>
      </c>
      <c r="AA36" s="5">
        <f>Z36+O36+I36</f>
        <v>34545</v>
      </c>
    </row>
    <row r="37" spans="1:27" x14ac:dyDescent="0.25">
      <c r="E37" s="7" t="s">
        <v>26</v>
      </c>
    </row>
    <row r="38" spans="1:27" x14ac:dyDescent="0.25">
      <c r="A38" s="6">
        <v>42822</v>
      </c>
      <c r="B38" s="5">
        <v>21225</v>
      </c>
      <c r="C38" s="5">
        <f>B38-20876</f>
        <v>349</v>
      </c>
      <c r="D38" s="5">
        <f>C38*100/20876</f>
        <v>1.6717762023376126</v>
      </c>
      <c r="E38" s="5">
        <v>185</v>
      </c>
      <c r="F38" s="5">
        <f>E38-196</f>
        <v>-11</v>
      </c>
      <c r="G38" s="5">
        <v>24</v>
      </c>
      <c r="H38" s="5">
        <f>G38-26</f>
        <v>-2</v>
      </c>
      <c r="I38" s="5">
        <f>(H38+F38)*120</f>
        <v>-1560</v>
      </c>
      <c r="K38" s="5">
        <v>195</v>
      </c>
      <c r="L38" s="5">
        <f>K38-80</f>
        <v>115</v>
      </c>
      <c r="M38" s="5">
        <v>1</v>
      </c>
      <c r="N38" s="5">
        <f>M38-20</f>
        <v>-19</v>
      </c>
      <c r="O38" s="5">
        <f>(N38+L38)*120</f>
        <v>11520</v>
      </c>
      <c r="S38" s="5">
        <v>9108</v>
      </c>
      <c r="T38" s="5">
        <f>S38-8940</f>
        <v>168</v>
      </c>
      <c r="U38" s="5">
        <f>T38*100/8940</f>
        <v>1.8791946308724832</v>
      </c>
      <c r="V38" s="5">
        <v>44</v>
      </c>
      <c r="W38" s="5">
        <f>51-V38</f>
        <v>7</v>
      </c>
      <c r="X38" s="5">
        <v>1</v>
      </c>
      <c r="Y38" s="5">
        <f>117-X38</f>
        <v>116</v>
      </c>
      <c r="Z38" s="5">
        <f>(Y38+W38)*675</f>
        <v>83025</v>
      </c>
      <c r="AA38" s="5">
        <f>Z38+O38+I38</f>
        <v>92985</v>
      </c>
    </row>
    <row r="39" spans="1:27" x14ac:dyDescent="0.25">
      <c r="A39" s="6">
        <v>42823</v>
      </c>
      <c r="B39" s="5">
        <v>21287</v>
      </c>
      <c r="C39" s="5">
        <f>B39-20876</f>
        <v>411</v>
      </c>
      <c r="D39" s="5">
        <f>C39*100/20876</f>
        <v>1.9687679632113431</v>
      </c>
      <c r="E39" s="5">
        <v>214</v>
      </c>
      <c r="F39" s="5">
        <f>E39-196</f>
        <v>18</v>
      </c>
      <c r="G39" s="5">
        <v>11</v>
      </c>
      <c r="H39" s="5">
        <f>G39-26</f>
        <v>-15</v>
      </c>
      <c r="I39" s="7">
        <f>(H39+F39)*120</f>
        <v>360</v>
      </c>
      <c r="K39" s="5">
        <v>214</v>
      </c>
      <c r="L39" s="5">
        <f>K39-80</f>
        <v>134</v>
      </c>
      <c r="M39" s="5">
        <v>0</v>
      </c>
      <c r="N39" s="5">
        <f>M39-20</f>
        <v>-20</v>
      </c>
      <c r="O39" s="7">
        <f>(N39+L39)*120</f>
        <v>13680</v>
      </c>
      <c r="S39" s="5">
        <v>9118</v>
      </c>
      <c r="T39" s="5">
        <f>S39-8940</f>
        <v>178</v>
      </c>
      <c r="U39" s="5">
        <f>T39*100/8940</f>
        <v>1.9910514541387025</v>
      </c>
      <c r="V39" s="5">
        <v>47</v>
      </c>
      <c r="W39" s="5">
        <f>51-V39</f>
        <v>4</v>
      </c>
      <c r="X39" s="5">
        <v>1</v>
      </c>
      <c r="Y39" s="5">
        <f>117-X39</f>
        <v>116</v>
      </c>
      <c r="Z39" s="5">
        <f>(Y39+W39)*675</f>
        <v>81000</v>
      </c>
      <c r="AA39" s="5">
        <f>Z39+O39+I39</f>
        <v>95040</v>
      </c>
    </row>
    <row r="40" spans="1:27" x14ac:dyDescent="0.25">
      <c r="E40" s="7" t="s">
        <v>22</v>
      </c>
      <c r="K40" s="7" t="s">
        <v>22</v>
      </c>
    </row>
    <row r="41" spans="1:27" x14ac:dyDescent="0.25">
      <c r="E41" s="5">
        <v>136</v>
      </c>
      <c r="F41" s="5">
        <f>E41-136</f>
        <v>0</v>
      </c>
      <c r="G41" s="5">
        <v>11</v>
      </c>
      <c r="H41" s="5">
        <f>G41-11</f>
        <v>0</v>
      </c>
      <c r="I41" s="5">
        <f>(H41+F41)*120</f>
        <v>0</v>
      </c>
      <c r="K41" s="5">
        <v>136</v>
      </c>
      <c r="L41" s="5">
        <f>K41-136</f>
        <v>0</v>
      </c>
      <c r="O41" s="5">
        <f>(N41+L41)*120</f>
        <v>0</v>
      </c>
    </row>
    <row r="42" spans="1:27" x14ac:dyDescent="0.25">
      <c r="A42" s="6">
        <v>42823</v>
      </c>
      <c r="B42" s="5">
        <v>21375</v>
      </c>
      <c r="C42" s="5">
        <f>B42-20876</f>
        <v>499</v>
      </c>
      <c r="D42" s="5">
        <f>C42*100/20876</f>
        <v>2.3903046560643801</v>
      </c>
      <c r="E42" s="5">
        <v>198</v>
      </c>
      <c r="F42" s="5">
        <f>E42-136</f>
        <v>62</v>
      </c>
      <c r="G42" s="5">
        <v>0</v>
      </c>
      <c r="H42" s="5">
        <f>G42-11</f>
        <v>-11</v>
      </c>
      <c r="I42" s="7">
        <f>(H42+F42)*120</f>
        <v>6120</v>
      </c>
      <c r="K42" s="5">
        <v>198</v>
      </c>
      <c r="L42" s="5">
        <f>K42-136</f>
        <v>62</v>
      </c>
      <c r="O42" s="7">
        <f>(N42+L42)*120</f>
        <v>7440</v>
      </c>
      <c r="S42" s="5">
        <v>9118</v>
      </c>
      <c r="T42" s="5">
        <f>S42-8940</f>
        <v>178</v>
      </c>
      <c r="U42" s="5">
        <f>T42*100/8940</f>
        <v>1.9910514541387025</v>
      </c>
      <c r="V42" s="5">
        <v>46</v>
      </c>
      <c r="W42" s="5">
        <f>51-V42</f>
        <v>5</v>
      </c>
      <c r="X42" s="5">
        <v>1.5</v>
      </c>
      <c r="Y42" s="5">
        <f>117-X42</f>
        <v>115.5</v>
      </c>
      <c r="Z42" s="5">
        <f>(Y42+W42)*675</f>
        <v>81337.5</v>
      </c>
      <c r="AA42" s="7">
        <f>Z42+O42+I42</f>
        <v>94897.5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workbookViewId="0">
      <selection activeCell="X2" activeCellId="1" sqref="V2 X2"/>
    </sheetView>
  </sheetViews>
  <sheetFormatPr defaultRowHeight="15" x14ac:dyDescent="0.25"/>
  <cols>
    <col min="1" max="1" width="7.140625" style="5" bestFit="1" customWidth="1"/>
    <col min="2" max="2" width="6" style="5" bestFit="1" customWidth="1"/>
    <col min="3" max="3" width="6.7109375" style="5" bestFit="1" customWidth="1"/>
    <col min="4" max="4" width="6.140625" style="5" customWidth="1"/>
    <col min="5" max="5" width="5.42578125" style="5" customWidth="1"/>
    <col min="6" max="6" width="4.7109375" style="5" bestFit="1" customWidth="1"/>
    <col min="7" max="7" width="4.5703125" style="5" bestFit="1" customWidth="1"/>
    <col min="8" max="8" width="4.7109375" style="5" bestFit="1" customWidth="1"/>
    <col min="9" max="9" width="6.7109375" style="5" bestFit="1" customWidth="1"/>
    <col min="10" max="10" width="9.140625" style="5"/>
    <col min="11" max="11" width="5.5703125" style="5" bestFit="1" customWidth="1"/>
    <col min="12" max="12" width="4.28515625" style="5" bestFit="1" customWidth="1"/>
    <col min="13" max="13" width="5.5703125" style="5" bestFit="1" customWidth="1"/>
    <col min="14" max="14" width="4.28515625" style="5" bestFit="1" customWidth="1"/>
    <col min="15" max="15" width="6.7109375" style="5" bestFit="1" customWidth="1"/>
    <col min="16" max="16" width="5.5703125" style="5" bestFit="1" customWidth="1"/>
    <col min="17" max="18" width="9.140625" style="5"/>
    <col min="19" max="19" width="5" style="5" bestFit="1" customWidth="1"/>
    <col min="20" max="20" width="4.28515625" style="5" bestFit="1" customWidth="1"/>
    <col min="21" max="21" width="6" style="5" customWidth="1"/>
    <col min="22" max="22" width="4.5703125" style="5" bestFit="1" customWidth="1"/>
    <col min="23" max="23" width="4.28515625" style="5" bestFit="1" customWidth="1"/>
    <col min="24" max="24" width="5.5703125" style="5" bestFit="1" customWidth="1"/>
    <col min="25" max="25" width="4.28515625" style="5" bestFit="1" customWidth="1"/>
    <col min="26" max="27" width="6.7109375" style="5" bestFit="1" customWidth="1"/>
    <col min="28" max="28" width="9.140625" style="5"/>
    <col min="29" max="29" width="7.7109375" style="5" bestFit="1" customWidth="1"/>
    <col min="30" max="16384" width="9.140625" style="5"/>
  </cols>
  <sheetData>
    <row r="1" spans="1:29" x14ac:dyDescent="0.25">
      <c r="A1" s="1" t="s">
        <v>0</v>
      </c>
      <c r="B1" s="1" t="s">
        <v>5</v>
      </c>
      <c r="C1" s="1" t="s">
        <v>2</v>
      </c>
      <c r="D1" s="1" t="s">
        <v>6</v>
      </c>
      <c r="E1" s="1" t="s">
        <v>33</v>
      </c>
      <c r="F1" s="1" t="s">
        <v>2</v>
      </c>
      <c r="G1" s="1" t="s">
        <v>34</v>
      </c>
      <c r="H1" s="1" t="s">
        <v>2</v>
      </c>
      <c r="I1" s="1" t="s">
        <v>3</v>
      </c>
      <c r="J1" s="1"/>
      <c r="K1" s="1" t="s">
        <v>35</v>
      </c>
      <c r="L1" s="1" t="s">
        <v>2</v>
      </c>
      <c r="M1" s="1" t="s">
        <v>36</v>
      </c>
      <c r="N1" s="1" t="s">
        <v>2</v>
      </c>
      <c r="O1" s="1" t="s">
        <v>3</v>
      </c>
      <c r="P1" s="1"/>
      <c r="S1" s="1" t="s">
        <v>1</v>
      </c>
      <c r="T1" s="1" t="s">
        <v>2</v>
      </c>
      <c r="U1" s="1" t="s">
        <v>6</v>
      </c>
      <c r="V1" s="1" t="s">
        <v>37</v>
      </c>
      <c r="W1" s="1" t="s">
        <v>2</v>
      </c>
      <c r="X1" s="1" t="s">
        <v>38</v>
      </c>
      <c r="Y1" s="1" t="s">
        <v>2</v>
      </c>
      <c r="Z1" s="1" t="s">
        <v>3</v>
      </c>
      <c r="AA1" s="1" t="s">
        <v>4</v>
      </c>
      <c r="AB1" s="1"/>
      <c r="AC1" s="3" t="s">
        <v>19</v>
      </c>
    </row>
    <row r="2" spans="1:29" x14ac:dyDescent="0.25">
      <c r="A2" s="2">
        <v>42823</v>
      </c>
      <c r="B2" s="1">
        <v>21399</v>
      </c>
      <c r="C2" s="1">
        <f t="shared" ref="C2:C8" si="0">B2-21399</f>
        <v>0</v>
      </c>
      <c r="D2" s="1">
        <f t="shared" ref="D2:D8" si="1">C2*100/21399</f>
        <v>0</v>
      </c>
      <c r="E2" s="1">
        <v>343</v>
      </c>
      <c r="F2" s="1">
        <f t="shared" ref="F2:F8" si="2">E2-343</f>
        <v>0</v>
      </c>
      <c r="G2" s="1">
        <v>320</v>
      </c>
      <c r="H2" s="1">
        <f t="shared" ref="H2:H8" si="3">G2-320</f>
        <v>0</v>
      </c>
      <c r="I2" s="1">
        <f t="shared" ref="I2:I8" si="4">(H2+F2)*120</f>
        <v>0</v>
      </c>
      <c r="J2" s="1"/>
      <c r="K2" s="1">
        <v>54</v>
      </c>
      <c r="L2" s="1">
        <f t="shared" ref="L2:L8" si="5">K2-54</f>
        <v>0</v>
      </c>
      <c r="M2" s="1">
        <v>60</v>
      </c>
      <c r="N2" s="1">
        <f t="shared" ref="N2:N8" si="6">M2-60</f>
        <v>0</v>
      </c>
      <c r="O2" s="1">
        <f t="shared" ref="O2:O8" si="7">(N2+L2)*120</f>
        <v>0</v>
      </c>
      <c r="P2" s="1"/>
      <c r="S2" s="1">
        <v>9149</v>
      </c>
      <c r="T2" s="1">
        <f t="shared" ref="T2:T8" si="8">S2-9149</f>
        <v>0</v>
      </c>
      <c r="U2" s="1">
        <f t="shared" ref="U2:U8" si="9">T2*100/9149</f>
        <v>0</v>
      </c>
      <c r="V2" s="1">
        <v>100</v>
      </c>
      <c r="W2" s="1">
        <f t="shared" ref="W2:W8" si="10">100-V2</f>
        <v>0</v>
      </c>
      <c r="X2" s="1">
        <v>67</v>
      </c>
      <c r="Y2" s="1">
        <f t="shared" ref="Y2:Y8" si="11">67-X2</f>
        <v>0</v>
      </c>
      <c r="Z2" s="1">
        <f t="shared" ref="Z2:Z8" si="12">(Y2+W2)*675</f>
        <v>0</v>
      </c>
      <c r="AA2" s="1">
        <f t="shared" ref="AA2:AA8" si="13">Z2+O2+I2</f>
        <v>0</v>
      </c>
      <c r="AB2" s="1"/>
      <c r="AC2" s="1">
        <v>-13680</v>
      </c>
    </row>
    <row r="3" spans="1:29" x14ac:dyDescent="0.25">
      <c r="A3" s="2">
        <v>42823</v>
      </c>
      <c r="B3" s="5">
        <v>21406</v>
      </c>
      <c r="C3" s="1">
        <f t="shared" si="0"/>
        <v>7</v>
      </c>
      <c r="D3" s="1">
        <f t="shared" si="1"/>
        <v>3.2711808963035653E-2</v>
      </c>
      <c r="E3" s="5">
        <v>354</v>
      </c>
      <c r="F3" s="1">
        <f t="shared" si="2"/>
        <v>11</v>
      </c>
      <c r="G3" s="5">
        <v>310</v>
      </c>
      <c r="H3" s="1">
        <f t="shared" si="3"/>
        <v>-10</v>
      </c>
      <c r="I3" s="1">
        <f t="shared" si="4"/>
        <v>120</v>
      </c>
      <c r="K3" s="5">
        <v>58</v>
      </c>
      <c r="L3" s="1">
        <f t="shared" si="5"/>
        <v>4</v>
      </c>
      <c r="M3" s="5">
        <v>52</v>
      </c>
      <c r="N3" s="1">
        <f t="shared" si="6"/>
        <v>-8</v>
      </c>
      <c r="O3" s="1">
        <f t="shared" si="7"/>
        <v>-480</v>
      </c>
      <c r="S3" s="5">
        <v>9144</v>
      </c>
      <c r="T3" s="1">
        <f t="shared" si="8"/>
        <v>-5</v>
      </c>
      <c r="U3" s="1">
        <f t="shared" si="9"/>
        <v>-5.4650781506175541E-2</v>
      </c>
      <c r="V3" s="5">
        <v>104</v>
      </c>
      <c r="W3" s="1">
        <f t="shared" si="10"/>
        <v>-4</v>
      </c>
      <c r="X3" s="5">
        <v>66</v>
      </c>
      <c r="Y3" s="1">
        <f t="shared" si="11"/>
        <v>1</v>
      </c>
      <c r="Z3" s="1">
        <f t="shared" si="12"/>
        <v>-2025</v>
      </c>
      <c r="AA3" s="1">
        <f t="shared" si="13"/>
        <v>-2385</v>
      </c>
      <c r="AC3" s="5">
        <v>-8160</v>
      </c>
    </row>
    <row r="4" spans="1:29" x14ac:dyDescent="0.25">
      <c r="A4" s="6">
        <v>42824</v>
      </c>
      <c r="B4" s="5">
        <v>21620</v>
      </c>
      <c r="C4" s="1">
        <f t="shared" si="0"/>
        <v>221</v>
      </c>
      <c r="D4" s="1">
        <f t="shared" si="1"/>
        <v>1.0327585401186972</v>
      </c>
      <c r="E4" s="5">
        <v>407</v>
      </c>
      <c r="F4" s="1">
        <f t="shared" si="2"/>
        <v>64</v>
      </c>
      <c r="G4" s="5">
        <v>282</v>
      </c>
      <c r="H4" s="1">
        <f t="shared" si="3"/>
        <v>-38</v>
      </c>
      <c r="I4" s="1">
        <f t="shared" si="4"/>
        <v>3120</v>
      </c>
      <c r="K4" s="5">
        <v>68</v>
      </c>
      <c r="L4" s="1">
        <f t="shared" si="5"/>
        <v>14</v>
      </c>
      <c r="M4" s="5">
        <v>36</v>
      </c>
      <c r="N4" s="1">
        <f t="shared" si="6"/>
        <v>-24</v>
      </c>
      <c r="O4" s="1">
        <f t="shared" si="7"/>
        <v>-1200</v>
      </c>
      <c r="S4" s="5">
        <v>9174</v>
      </c>
      <c r="T4" s="1">
        <f t="shared" si="8"/>
        <v>25</v>
      </c>
      <c r="U4" s="1">
        <f t="shared" si="9"/>
        <v>0.27325390753087769</v>
      </c>
      <c r="V4" s="5">
        <v>104</v>
      </c>
      <c r="W4" s="1">
        <f t="shared" si="10"/>
        <v>-4</v>
      </c>
      <c r="X4" s="5">
        <v>65</v>
      </c>
      <c r="Y4" s="1">
        <f t="shared" si="11"/>
        <v>2</v>
      </c>
      <c r="Z4" s="1">
        <f t="shared" si="12"/>
        <v>-1350</v>
      </c>
      <c r="AA4" s="1">
        <f t="shared" si="13"/>
        <v>570</v>
      </c>
      <c r="AC4" s="5">
        <v>-6720</v>
      </c>
    </row>
    <row r="5" spans="1:29" x14ac:dyDescent="0.25">
      <c r="A5" s="6">
        <v>42825</v>
      </c>
      <c r="B5" s="5">
        <v>21444</v>
      </c>
      <c r="C5" s="1">
        <f t="shared" si="0"/>
        <v>45</v>
      </c>
      <c r="D5" s="1">
        <f t="shared" si="1"/>
        <v>0.21029020047665778</v>
      </c>
      <c r="E5" s="5">
        <v>388</v>
      </c>
      <c r="F5" s="1">
        <f t="shared" si="2"/>
        <v>45</v>
      </c>
      <c r="G5" s="5">
        <v>305</v>
      </c>
      <c r="H5" s="1">
        <f t="shared" si="3"/>
        <v>-15</v>
      </c>
      <c r="I5" s="1">
        <f t="shared" si="4"/>
        <v>3600</v>
      </c>
      <c r="K5" s="5">
        <v>56</v>
      </c>
      <c r="L5" s="1">
        <f t="shared" si="5"/>
        <v>2</v>
      </c>
      <c r="M5" s="5">
        <v>34</v>
      </c>
      <c r="N5" s="1">
        <f t="shared" si="6"/>
        <v>-26</v>
      </c>
      <c r="O5" s="1">
        <f t="shared" si="7"/>
        <v>-2880</v>
      </c>
      <c r="S5" s="5">
        <v>9173</v>
      </c>
      <c r="T5" s="1">
        <f t="shared" si="8"/>
        <v>24</v>
      </c>
      <c r="U5" s="1">
        <f t="shared" si="9"/>
        <v>0.26232375122964258</v>
      </c>
      <c r="V5" s="5">
        <v>113</v>
      </c>
      <c r="W5" s="1">
        <f t="shared" si="10"/>
        <v>-13</v>
      </c>
      <c r="X5" s="5">
        <v>63</v>
      </c>
      <c r="Y5" s="1">
        <f t="shared" si="11"/>
        <v>4</v>
      </c>
      <c r="Z5" s="1">
        <f t="shared" si="12"/>
        <v>-6075</v>
      </c>
      <c r="AA5" s="1">
        <f t="shared" si="13"/>
        <v>-5355</v>
      </c>
      <c r="AC5" s="5">
        <v>-22920</v>
      </c>
    </row>
    <row r="6" spans="1:29" x14ac:dyDescent="0.25">
      <c r="A6" s="6">
        <v>42828</v>
      </c>
      <c r="B6" s="5">
        <v>21537</v>
      </c>
      <c r="C6" s="5">
        <f t="shared" si="0"/>
        <v>138</v>
      </c>
      <c r="D6" s="5">
        <f t="shared" si="1"/>
        <v>0.64488994812841727</v>
      </c>
      <c r="E6" s="5">
        <v>417</v>
      </c>
      <c r="F6" s="5">
        <f t="shared" si="2"/>
        <v>74</v>
      </c>
      <c r="G6" s="5">
        <v>242</v>
      </c>
      <c r="H6" s="5">
        <f t="shared" si="3"/>
        <v>-78</v>
      </c>
      <c r="I6" s="5">
        <f t="shared" si="4"/>
        <v>-480</v>
      </c>
      <c r="K6" s="5">
        <v>40</v>
      </c>
      <c r="L6" s="5">
        <f t="shared" si="5"/>
        <v>-14</v>
      </c>
      <c r="M6" s="5">
        <v>6</v>
      </c>
      <c r="N6" s="5">
        <f t="shared" si="6"/>
        <v>-54</v>
      </c>
      <c r="O6" s="5">
        <f t="shared" si="7"/>
        <v>-8160</v>
      </c>
      <c r="S6" s="5">
        <v>9242</v>
      </c>
      <c r="T6" s="5">
        <f t="shared" si="8"/>
        <v>93</v>
      </c>
      <c r="U6" s="5">
        <f t="shared" si="9"/>
        <v>1.016504536014865</v>
      </c>
      <c r="V6" s="5">
        <v>139</v>
      </c>
      <c r="W6" s="5">
        <f t="shared" si="10"/>
        <v>-39</v>
      </c>
      <c r="X6" s="5">
        <v>35</v>
      </c>
      <c r="Y6" s="5">
        <f t="shared" si="11"/>
        <v>32</v>
      </c>
      <c r="Z6" s="5">
        <f t="shared" si="12"/>
        <v>-4725</v>
      </c>
      <c r="AA6" s="5">
        <f t="shared" si="13"/>
        <v>-13365</v>
      </c>
      <c r="AC6" s="5">
        <v>58725</v>
      </c>
    </row>
    <row r="7" spans="1:29" x14ac:dyDescent="0.25">
      <c r="A7" s="6">
        <v>42830</v>
      </c>
      <c r="B7" s="5">
        <v>21652</v>
      </c>
      <c r="C7" s="5">
        <f t="shared" si="0"/>
        <v>253</v>
      </c>
      <c r="D7" s="5">
        <f t="shared" si="1"/>
        <v>1.1822982382354315</v>
      </c>
      <c r="E7" s="5">
        <v>455</v>
      </c>
      <c r="F7" s="5">
        <f t="shared" si="2"/>
        <v>112</v>
      </c>
      <c r="G7" s="5">
        <v>196</v>
      </c>
      <c r="H7" s="5">
        <f t="shared" si="3"/>
        <v>-124</v>
      </c>
      <c r="I7" s="5">
        <f t="shared" si="4"/>
        <v>-1440</v>
      </c>
      <c r="K7" s="5">
        <v>42</v>
      </c>
      <c r="L7" s="5">
        <f t="shared" si="5"/>
        <v>-12</v>
      </c>
      <c r="M7" s="5">
        <v>1</v>
      </c>
      <c r="N7" s="5">
        <f t="shared" si="6"/>
        <v>-59</v>
      </c>
      <c r="O7" s="5">
        <f t="shared" si="7"/>
        <v>-8520</v>
      </c>
      <c r="S7" s="5">
        <v>9265</v>
      </c>
      <c r="T7" s="5">
        <f t="shared" si="8"/>
        <v>116</v>
      </c>
      <c r="U7" s="5">
        <f t="shared" si="9"/>
        <v>1.2678981309432724</v>
      </c>
      <c r="V7" s="5">
        <v>143</v>
      </c>
      <c r="W7" s="5">
        <f t="shared" si="10"/>
        <v>-43</v>
      </c>
      <c r="X7" s="5">
        <v>31</v>
      </c>
      <c r="Y7" s="5">
        <f t="shared" si="11"/>
        <v>36</v>
      </c>
      <c r="Z7" s="5">
        <f t="shared" si="12"/>
        <v>-4725</v>
      </c>
      <c r="AA7" s="5">
        <f t="shared" si="13"/>
        <v>-14685</v>
      </c>
      <c r="AC7" s="5">
        <v>9360</v>
      </c>
    </row>
    <row r="8" spans="1:29" x14ac:dyDescent="0.25">
      <c r="A8" s="6">
        <v>42831</v>
      </c>
      <c r="B8" s="5">
        <v>21640</v>
      </c>
      <c r="C8" s="5">
        <f t="shared" si="0"/>
        <v>241</v>
      </c>
      <c r="D8" s="5">
        <f t="shared" si="1"/>
        <v>1.1262208514416561</v>
      </c>
      <c r="E8" s="5">
        <v>433</v>
      </c>
      <c r="F8" s="5">
        <f t="shared" si="2"/>
        <v>90</v>
      </c>
      <c r="G8" s="5">
        <v>180</v>
      </c>
      <c r="H8" s="5">
        <f t="shared" si="3"/>
        <v>-140</v>
      </c>
      <c r="I8" s="5">
        <f t="shared" si="4"/>
        <v>-6000</v>
      </c>
      <c r="K8" s="5">
        <v>0</v>
      </c>
      <c r="L8" s="5">
        <f t="shared" si="5"/>
        <v>-54</v>
      </c>
      <c r="M8" s="5">
        <v>0</v>
      </c>
      <c r="N8" s="5">
        <f t="shared" si="6"/>
        <v>-60</v>
      </c>
      <c r="O8" s="7">
        <f t="shared" si="7"/>
        <v>-13680</v>
      </c>
      <c r="S8" s="5">
        <v>9265</v>
      </c>
      <c r="T8" s="5">
        <f t="shared" si="8"/>
        <v>116</v>
      </c>
      <c r="U8" s="5">
        <f t="shared" si="9"/>
        <v>1.2678981309432724</v>
      </c>
      <c r="V8" s="5">
        <v>134</v>
      </c>
      <c r="W8" s="5">
        <f t="shared" si="10"/>
        <v>-34</v>
      </c>
      <c r="X8" s="5">
        <v>28</v>
      </c>
      <c r="Y8" s="5">
        <f t="shared" si="11"/>
        <v>39</v>
      </c>
      <c r="Z8" s="5">
        <f t="shared" si="12"/>
        <v>3375</v>
      </c>
      <c r="AA8" s="5">
        <f t="shared" si="13"/>
        <v>-16305</v>
      </c>
      <c r="AC8" s="5">
        <v>18915</v>
      </c>
    </row>
    <row r="9" spans="1:29" x14ac:dyDescent="0.25">
      <c r="K9" s="5" t="s">
        <v>39</v>
      </c>
      <c r="M9" s="5" t="s">
        <v>40</v>
      </c>
      <c r="AC9" s="5">
        <v>9240</v>
      </c>
    </row>
    <row r="10" spans="1:29" x14ac:dyDescent="0.25">
      <c r="K10" s="5">
        <v>36</v>
      </c>
      <c r="L10" s="5">
        <f t="shared" ref="L10:L16" si="14">K10-36</f>
        <v>0</v>
      </c>
      <c r="M10" s="5">
        <v>32</v>
      </c>
      <c r="N10" s="5">
        <f t="shared" ref="N10:N16" si="15">M10-32</f>
        <v>0</v>
      </c>
      <c r="AC10" s="5">
        <v>12690</v>
      </c>
    </row>
    <row r="11" spans="1:29" x14ac:dyDescent="0.25">
      <c r="A11" s="6">
        <v>42831</v>
      </c>
      <c r="B11" s="5">
        <v>21622</v>
      </c>
      <c r="C11" s="5">
        <f t="shared" ref="C11" si="16">B11-21399</f>
        <v>223</v>
      </c>
      <c r="D11" s="5">
        <f t="shared" ref="D11" si="17">C11*100/21399</f>
        <v>1.042104771250993</v>
      </c>
      <c r="E11" s="5">
        <v>405</v>
      </c>
      <c r="F11" s="5">
        <f t="shared" ref="F11:F14" si="18">E11-343</f>
        <v>62</v>
      </c>
      <c r="G11" s="5">
        <v>191</v>
      </c>
      <c r="H11" s="5">
        <f t="shared" ref="H11" si="19">G11-320</f>
        <v>-129</v>
      </c>
      <c r="I11" s="5">
        <f t="shared" ref="I11" si="20">(H11+F11)*120</f>
        <v>-8040</v>
      </c>
      <c r="K11" s="5">
        <v>25</v>
      </c>
      <c r="L11" s="5">
        <f t="shared" si="14"/>
        <v>-11</v>
      </c>
      <c r="M11" s="5">
        <v>36</v>
      </c>
      <c r="N11" s="5">
        <f t="shared" si="15"/>
        <v>4</v>
      </c>
      <c r="O11" s="5">
        <f t="shared" ref="O11" si="21">(N11+L11)*120</f>
        <v>-840</v>
      </c>
      <c r="S11" s="5">
        <v>9261</v>
      </c>
      <c r="T11" s="5">
        <f t="shared" ref="T11" si="22">S11-9149</f>
        <v>112</v>
      </c>
      <c r="U11" s="5">
        <f t="shared" ref="U11" si="23">T11*100/9149</f>
        <v>1.224177505738332</v>
      </c>
      <c r="V11" s="5">
        <v>126</v>
      </c>
      <c r="W11" s="5">
        <f t="shared" ref="W11:W13" si="24">100-V11</f>
        <v>-26</v>
      </c>
      <c r="X11" s="5">
        <v>31</v>
      </c>
      <c r="Y11" s="5">
        <f t="shared" ref="Y11" si="25">67-X11</f>
        <v>36</v>
      </c>
      <c r="Z11" s="5">
        <f t="shared" ref="Z11" si="26">(Y11+W11)*675</f>
        <v>6750</v>
      </c>
      <c r="AA11" s="5">
        <f t="shared" ref="AA11" si="27">Z11+O11+I11</f>
        <v>-2130</v>
      </c>
    </row>
    <row r="12" spans="1:29" x14ac:dyDescent="0.25">
      <c r="A12" s="6">
        <v>42832</v>
      </c>
      <c r="B12" s="5">
        <v>21431</v>
      </c>
      <c r="C12" s="5">
        <f t="shared" ref="C12" si="28">B12-21399</f>
        <v>32</v>
      </c>
      <c r="D12" s="5">
        <f t="shared" ref="D12" si="29">C12*100/21399</f>
        <v>0.14953969811673443</v>
      </c>
      <c r="E12" s="5">
        <v>293</v>
      </c>
      <c r="F12" s="5">
        <f t="shared" si="18"/>
        <v>-50</v>
      </c>
      <c r="G12" s="5">
        <v>255</v>
      </c>
      <c r="H12" s="5">
        <f t="shared" ref="H12" si="30">G12-320</f>
        <v>-65</v>
      </c>
      <c r="I12" s="5">
        <f t="shared" ref="I12" si="31">(H12+F12)*120</f>
        <v>-13800</v>
      </c>
      <c r="K12" s="5">
        <v>7</v>
      </c>
      <c r="L12" s="5">
        <f t="shared" si="14"/>
        <v>-29</v>
      </c>
      <c r="M12" s="5">
        <v>72</v>
      </c>
      <c r="N12" s="5">
        <f t="shared" si="15"/>
        <v>40</v>
      </c>
      <c r="O12" s="5">
        <f t="shared" ref="O12" si="32">(N12+L12)*120</f>
        <v>1320</v>
      </c>
      <c r="S12" s="5">
        <v>9196</v>
      </c>
      <c r="T12" s="5">
        <f t="shared" ref="T12" si="33">S12-9149</f>
        <v>47</v>
      </c>
      <c r="U12" s="5">
        <f t="shared" ref="U12" si="34">T12*100/9149</f>
        <v>0.51371734615805009</v>
      </c>
      <c r="V12" s="5">
        <v>97</v>
      </c>
      <c r="W12" s="5">
        <f t="shared" si="24"/>
        <v>3</v>
      </c>
      <c r="X12" s="5">
        <v>38</v>
      </c>
      <c r="Y12" s="5">
        <f t="shared" ref="Y12" si="35">67-X12</f>
        <v>29</v>
      </c>
      <c r="Z12" s="5">
        <f t="shared" ref="Z12" si="36">(Y12+W12)*675</f>
        <v>21600</v>
      </c>
      <c r="AA12" s="5">
        <f t="shared" ref="AA12" si="37">Z12+O12+I12</f>
        <v>9120</v>
      </c>
    </row>
    <row r="13" spans="1:29" x14ac:dyDescent="0.25">
      <c r="A13" s="6">
        <v>42835</v>
      </c>
      <c r="B13" s="5">
        <v>21535</v>
      </c>
      <c r="C13" s="5">
        <f t="shared" ref="C13" si="38">B13-21399</f>
        <v>136</v>
      </c>
      <c r="D13" s="5">
        <f t="shared" ref="D13" si="39">C13*100/21399</f>
        <v>0.63554371699612133</v>
      </c>
      <c r="E13" s="5">
        <v>347</v>
      </c>
      <c r="F13" s="5">
        <f t="shared" si="18"/>
        <v>4</v>
      </c>
      <c r="G13" s="5">
        <v>185</v>
      </c>
      <c r="H13" s="5">
        <f t="shared" ref="H13" si="40">G13-320</f>
        <v>-135</v>
      </c>
      <c r="I13" s="5">
        <f t="shared" ref="I13" si="41">(H13+F13)*120</f>
        <v>-15720</v>
      </c>
      <c r="K13" s="5">
        <v>6</v>
      </c>
      <c r="L13" s="5">
        <f t="shared" si="14"/>
        <v>-30</v>
      </c>
      <c r="M13" s="5">
        <v>27</v>
      </c>
      <c r="N13" s="5">
        <f t="shared" si="15"/>
        <v>-5</v>
      </c>
      <c r="O13" s="5">
        <f t="shared" ref="O13:O16" si="42">(N13+L13)*120</f>
        <v>-4200</v>
      </c>
      <c r="S13" s="5">
        <v>9177</v>
      </c>
      <c r="T13" s="5">
        <f t="shared" ref="T13" si="43">S13-9149</f>
        <v>28</v>
      </c>
      <c r="U13" s="5">
        <f t="shared" ref="U13" si="44">T13*100/9149</f>
        <v>0.30604437643458299</v>
      </c>
      <c r="V13" s="5">
        <v>87</v>
      </c>
      <c r="W13" s="5">
        <f t="shared" si="24"/>
        <v>13</v>
      </c>
      <c r="X13" s="5">
        <v>34</v>
      </c>
      <c r="Y13" s="5">
        <f t="shared" ref="Y13" si="45">67-X13</f>
        <v>33</v>
      </c>
      <c r="Z13" s="5">
        <f t="shared" ref="Z13" si="46">(Y13+W13)*675</f>
        <v>31050</v>
      </c>
      <c r="AA13" s="5">
        <f t="shared" ref="AA13" si="47">Z13+O13+I13</f>
        <v>11130</v>
      </c>
    </row>
    <row r="14" spans="1:29" x14ac:dyDescent="0.25">
      <c r="A14" s="6">
        <v>42836</v>
      </c>
      <c r="B14" s="5">
        <v>21736</v>
      </c>
      <c r="C14" s="5">
        <f t="shared" ref="C14:C16" si="48">B14-21399</f>
        <v>337</v>
      </c>
      <c r="D14" s="5">
        <f t="shared" ref="D14:D16" si="49">C14*100/21399</f>
        <v>1.5748399457918594</v>
      </c>
      <c r="E14" s="5">
        <v>479</v>
      </c>
      <c r="F14" s="5">
        <f t="shared" si="18"/>
        <v>136</v>
      </c>
      <c r="G14" s="5">
        <v>122</v>
      </c>
      <c r="H14" s="5">
        <f t="shared" ref="H14" si="50">G14-320</f>
        <v>-198</v>
      </c>
      <c r="I14" s="5">
        <f t="shared" ref="I14" si="51">(H14+F14)*120</f>
        <v>-7440</v>
      </c>
      <c r="K14" s="5">
        <v>19</v>
      </c>
      <c r="L14" s="5">
        <f t="shared" si="14"/>
        <v>-17</v>
      </c>
      <c r="M14" s="5">
        <v>5</v>
      </c>
      <c r="N14" s="5">
        <f t="shared" si="15"/>
        <v>-27</v>
      </c>
      <c r="O14" s="5">
        <f t="shared" si="42"/>
        <v>-5280</v>
      </c>
      <c r="S14" s="5">
        <v>9237</v>
      </c>
      <c r="T14" s="5">
        <f t="shared" ref="T14:T16" si="52">S14-9149</f>
        <v>88</v>
      </c>
      <c r="U14" s="5">
        <f t="shared" ref="U14:U16" si="53">T14*100/9149</f>
        <v>0.96185375450868948</v>
      </c>
      <c r="V14" s="5">
        <v>116</v>
      </c>
      <c r="W14" s="5">
        <f t="shared" ref="W14:W16" si="54">100-V14</f>
        <v>-16</v>
      </c>
      <c r="X14" s="5">
        <v>22</v>
      </c>
      <c r="Y14" s="5">
        <f t="shared" ref="Y14:Y16" si="55">67-X14</f>
        <v>45</v>
      </c>
      <c r="Z14" s="5">
        <f t="shared" ref="Z14:Z16" si="56">(Y14+W14)*675</f>
        <v>19575</v>
      </c>
      <c r="AA14" s="5">
        <f t="shared" ref="AA14:AA16" si="57">Z14+O14+I14</f>
        <v>6855</v>
      </c>
    </row>
    <row r="15" spans="1:29" x14ac:dyDescent="0.25">
      <c r="A15" s="6">
        <v>42837</v>
      </c>
      <c r="B15" s="5">
        <v>21711</v>
      </c>
      <c r="C15" s="5">
        <f t="shared" si="48"/>
        <v>312</v>
      </c>
      <c r="D15" s="5">
        <f t="shared" si="49"/>
        <v>1.4580120566381607</v>
      </c>
      <c r="E15" s="5">
        <v>441</v>
      </c>
      <c r="F15" s="5">
        <f t="shared" ref="F15:F16" si="58">E15-343</f>
        <v>98</v>
      </c>
      <c r="G15" s="5">
        <v>129</v>
      </c>
      <c r="H15" s="5">
        <f t="shared" ref="H15:H16" si="59">G15-320</f>
        <v>-191</v>
      </c>
      <c r="I15" s="5">
        <f t="shared" ref="I15:I16" si="60">(H15+F15)*120</f>
        <v>-11160</v>
      </c>
      <c r="K15" s="5">
        <v>9</v>
      </c>
      <c r="L15" s="5">
        <f t="shared" si="14"/>
        <v>-27</v>
      </c>
      <c r="M15" s="5">
        <v>4</v>
      </c>
      <c r="N15" s="5">
        <f t="shared" si="15"/>
        <v>-28</v>
      </c>
      <c r="O15" s="5">
        <f t="shared" si="42"/>
        <v>-6600</v>
      </c>
      <c r="S15" s="5">
        <v>9199</v>
      </c>
      <c r="T15" s="5">
        <f t="shared" si="52"/>
        <v>50</v>
      </c>
      <c r="U15" s="5">
        <f t="shared" si="53"/>
        <v>0.54650781506175539</v>
      </c>
      <c r="V15" s="5">
        <v>89</v>
      </c>
      <c r="W15" s="5">
        <f t="shared" si="54"/>
        <v>11</v>
      </c>
      <c r="X15" s="5">
        <v>29</v>
      </c>
      <c r="Y15" s="5">
        <f t="shared" si="55"/>
        <v>38</v>
      </c>
      <c r="Z15" s="5">
        <f t="shared" si="56"/>
        <v>33075</v>
      </c>
      <c r="AA15" s="5">
        <f t="shared" si="57"/>
        <v>15315</v>
      </c>
      <c r="AC15" s="7">
        <f>SUM(AC2:AC14)</f>
        <v>57450</v>
      </c>
    </row>
    <row r="16" spans="1:29" x14ac:dyDescent="0.25">
      <c r="A16" s="6">
        <v>42838</v>
      </c>
      <c r="B16" s="5">
        <v>21686</v>
      </c>
      <c r="C16" s="5">
        <f t="shared" si="48"/>
        <v>287</v>
      </c>
      <c r="D16" s="5">
        <f t="shared" si="49"/>
        <v>1.3411841674844618</v>
      </c>
      <c r="E16" s="5">
        <v>428</v>
      </c>
      <c r="F16" s="5">
        <f t="shared" si="58"/>
        <v>85</v>
      </c>
      <c r="G16" s="5">
        <v>108</v>
      </c>
      <c r="H16" s="5">
        <f t="shared" si="59"/>
        <v>-212</v>
      </c>
      <c r="I16" s="5">
        <f t="shared" si="60"/>
        <v>-15240</v>
      </c>
      <c r="K16" s="5">
        <v>0</v>
      </c>
      <c r="L16" s="5">
        <f t="shared" si="14"/>
        <v>-36</v>
      </c>
      <c r="M16" s="5">
        <v>0</v>
      </c>
      <c r="N16" s="5">
        <f t="shared" si="15"/>
        <v>-32</v>
      </c>
      <c r="O16" s="7">
        <f t="shared" si="42"/>
        <v>-8160</v>
      </c>
      <c r="S16" s="5">
        <v>9151</v>
      </c>
      <c r="T16" s="5">
        <f t="shared" si="52"/>
        <v>2</v>
      </c>
      <c r="U16" s="5">
        <f t="shared" si="53"/>
        <v>2.1860312602470216E-2</v>
      </c>
      <c r="V16" s="5">
        <v>66</v>
      </c>
      <c r="W16" s="5">
        <f t="shared" si="54"/>
        <v>34</v>
      </c>
      <c r="X16" s="5">
        <v>33</v>
      </c>
      <c r="Y16" s="5">
        <f t="shared" si="55"/>
        <v>34</v>
      </c>
      <c r="Z16" s="5">
        <f t="shared" si="56"/>
        <v>45900</v>
      </c>
      <c r="AA16" s="5">
        <f t="shared" si="57"/>
        <v>22500</v>
      </c>
    </row>
    <row r="17" spans="1:27" x14ac:dyDescent="0.25">
      <c r="K17" s="5" t="s">
        <v>41</v>
      </c>
      <c r="M17" s="5" t="s">
        <v>42</v>
      </c>
    </row>
    <row r="18" spans="1:27" x14ac:dyDescent="0.25">
      <c r="K18" s="5">
        <v>11</v>
      </c>
      <c r="L18" s="5">
        <f>K18-11</f>
        <v>0</v>
      </c>
      <c r="M18" s="5">
        <v>52</v>
      </c>
      <c r="N18" s="5">
        <f>M18-52</f>
        <v>0</v>
      </c>
      <c r="O18" s="5">
        <f t="shared" ref="O18" si="61">(N18+L18)*120</f>
        <v>0</v>
      </c>
    </row>
    <row r="19" spans="1:27" x14ac:dyDescent="0.25">
      <c r="A19" s="6">
        <v>42842</v>
      </c>
      <c r="B19" s="5">
        <v>21599</v>
      </c>
      <c r="C19" s="5">
        <f t="shared" ref="C19" si="62">B19-21399</f>
        <v>200</v>
      </c>
      <c r="D19" s="5">
        <f t="shared" ref="D19" si="63">C19*100/21399</f>
        <v>0.93462311322959013</v>
      </c>
      <c r="E19" s="5">
        <v>428</v>
      </c>
      <c r="F19" s="5">
        <f t="shared" ref="F19:F20" si="64">E19-343</f>
        <v>85</v>
      </c>
      <c r="G19" s="5">
        <v>108</v>
      </c>
      <c r="H19" s="5">
        <f t="shared" ref="H19" si="65">G19-320</f>
        <v>-212</v>
      </c>
      <c r="I19" s="5">
        <f t="shared" ref="I19" si="66">(H19+F19)*120</f>
        <v>-15240</v>
      </c>
      <c r="K19" s="5">
        <v>4</v>
      </c>
      <c r="L19" s="5">
        <f>K19-11</f>
        <v>-7</v>
      </c>
      <c r="M19" s="5">
        <v>58</v>
      </c>
      <c r="N19" s="5">
        <f>M19-52</f>
        <v>6</v>
      </c>
      <c r="O19" s="5">
        <f t="shared" ref="O19" si="67">(N19+L19)*120</f>
        <v>-120</v>
      </c>
      <c r="S19" s="5">
        <v>9127</v>
      </c>
      <c r="T19" s="5">
        <f t="shared" ref="T19:T20" si="68">S19-9149</f>
        <v>-22</v>
      </c>
      <c r="U19" s="5">
        <f t="shared" ref="U19:U20" si="69">T19*100/9149</f>
        <v>-0.24046343862717237</v>
      </c>
      <c r="V19" s="5">
        <v>47</v>
      </c>
      <c r="W19" s="5">
        <f t="shared" ref="W19:W20" si="70">100-V19</f>
        <v>53</v>
      </c>
      <c r="X19" s="5">
        <v>33</v>
      </c>
      <c r="Y19" s="5">
        <f t="shared" ref="Y19:Y20" si="71">67-X19</f>
        <v>34</v>
      </c>
      <c r="Z19" s="5">
        <f t="shared" ref="Z19:Z20" si="72">(Y19+W19)*675</f>
        <v>58725</v>
      </c>
      <c r="AA19" s="5">
        <f t="shared" ref="AA19:AA20" si="73">Z19+O19+I19</f>
        <v>43365</v>
      </c>
    </row>
    <row r="20" spans="1:27" x14ac:dyDescent="0.25">
      <c r="A20" s="6">
        <v>42843</v>
      </c>
      <c r="B20" s="5">
        <v>21965</v>
      </c>
      <c r="C20" s="5">
        <f t="shared" ref="C20" si="74">B20-21399</f>
        <v>566</v>
      </c>
      <c r="D20" s="5">
        <f t="shared" ref="D20" si="75">C20*100/21399</f>
        <v>2.6449834104397403</v>
      </c>
      <c r="E20" s="5">
        <v>598</v>
      </c>
      <c r="F20" s="5">
        <f t="shared" si="64"/>
        <v>255</v>
      </c>
      <c r="G20" s="5">
        <v>46</v>
      </c>
      <c r="H20" s="5">
        <f t="shared" ref="H20" si="76">G20-320</f>
        <v>-274</v>
      </c>
      <c r="I20" s="7">
        <f t="shared" ref="I20" si="77">(H20+F20)*120</f>
        <v>-2280</v>
      </c>
      <c r="K20" s="5">
        <v>34</v>
      </c>
      <c r="L20" s="5">
        <f>K20-11</f>
        <v>23</v>
      </c>
      <c r="M20" s="5">
        <v>12</v>
      </c>
      <c r="N20" s="5">
        <f>M20-52</f>
        <v>-40</v>
      </c>
      <c r="O20" s="5">
        <f t="shared" ref="O20" si="78">(N20+L20)*120</f>
        <v>-2040</v>
      </c>
      <c r="S20" s="5">
        <v>9212</v>
      </c>
      <c r="T20" s="5">
        <f t="shared" si="68"/>
        <v>63</v>
      </c>
      <c r="U20" s="5">
        <f t="shared" si="69"/>
        <v>0.68859984697781174</v>
      </c>
      <c r="V20" s="5">
        <v>81</v>
      </c>
      <c r="W20" s="5">
        <f t="shared" si="70"/>
        <v>19</v>
      </c>
      <c r="X20" s="5">
        <v>15</v>
      </c>
      <c r="Y20" s="5">
        <f t="shared" si="71"/>
        <v>52</v>
      </c>
      <c r="Z20" s="5">
        <f t="shared" si="72"/>
        <v>47925</v>
      </c>
      <c r="AA20" s="5">
        <f t="shared" si="73"/>
        <v>43605</v>
      </c>
    </row>
    <row r="21" spans="1:27" x14ac:dyDescent="0.25">
      <c r="E21" s="5" t="s">
        <v>30</v>
      </c>
    </row>
    <row r="22" spans="1:27" x14ac:dyDescent="0.25">
      <c r="E22" s="5">
        <v>517</v>
      </c>
      <c r="F22" s="5">
        <f>E22-517</f>
        <v>0</v>
      </c>
      <c r="G22" s="5">
        <v>46</v>
      </c>
      <c r="H22" s="5">
        <f>G22-46</f>
        <v>0</v>
      </c>
    </row>
    <row r="23" spans="1:27" x14ac:dyDescent="0.25">
      <c r="A23" s="6">
        <v>42843</v>
      </c>
      <c r="B23" s="5">
        <v>21671</v>
      </c>
      <c r="C23" s="5">
        <f t="shared" ref="C23:C24" si="79">B23-21399</f>
        <v>272</v>
      </c>
      <c r="D23" s="5">
        <f t="shared" ref="D23:D24" si="80">C23*100/21399</f>
        <v>1.2710874339922427</v>
      </c>
      <c r="E23" s="5">
        <v>335</v>
      </c>
      <c r="F23" s="5">
        <f>E23-517</f>
        <v>-182</v>
      </c>
      <c r="G23" s="5">
        <v>106</v>
      </c>
      <c r="H23" s="5">
        <f>G23-46</f>
        <v>60</v>
      </c>
      <c r="I23" s="5">
        <f t="shared" ref="I23:I24" si="81">(H23+F23)*120</f>
        <v>-14640</v>
      </c>
      <c r="K23" s="5">
        <v>3</v>
      </c>
      <c r="L23" s="5">
        <f>K23-11</f>
        <v>-8</v>
      </c>
      <c r="M23" s="5">
        <v>44</v>
      </c>
      <c r="N23" s="5">
        <f>M23-52</f>
        <v>-8</v>
      </c>
      <c r="O23" s="5">
        <f t="shared" ref="O23" si="82">(N23+L23)*120</f>
        <v>-1920</v>
      </c>
      <c r="S23" s="5">
        <v>9105</v>
      </c>
      <c r="T23" s="5">
        <f t="shared" ref="T23:T24" si="83">S23-9149</f>
        <v>-44</v>
      </c>
      <c r="U23" s="5">
        <f t="shared" ref="U23:U24" si="84">T23*100/9149</f>
        <v>-0.48092687725434474</v>
      </c>
      <c r="V23" s="5">
        <v>35</v>
      </c>
      <c r="W23" s="5">
        <f t="shared" ref="W23:W24" si="85">100-V23</f>
        <v>65</v>
      </c>
      <c r="X23" s="5">
        <v>48</v>
      </c>
      <c r="Y23" s="5">
        <f t="shared" ref="Y23:Y24" si="86">67-X23</f>
        <v>19</v>
      </c>
      <c r="Z23" s="5">
        <f t="shared" ref="Z23:Z24" si="87">(Y23+W23)*675</f>
        <v>56700</v>
      </c>
      <c r="AA23" s="5">
        <f t="shared" ref="AA23:AA24" si="88">Z23+O23+I23</f>
        <v>40140</v>
      </c>
    </row>
    <row r="24" spans="1:27" x14ac:dyDescent="0.25">
      <c r="A24" s="6">
        <v>42844</v>
      </c>
      <c r="B24" s="5">
        <v>21556</v>
      </c>
      <c r="C24" s="5">
        <f t="shared" si="79"/>
        <v>157</v>
      </c>
      <c r="D24" s="5">
        <f t="shared" si="80"/>
        <v>0.73367914388522826</v>
      </c>
      <c r="E24" s="5">
        <v>271</v>
      </c>
      <c r="F24" s="5">
        <f>E24-517</f>
        <v>-246</v>
      </c>
      <c r="G24" s="5">
        <v>96</v>
      </c>
      <c r="H24" s="5">
        <f>G24-46</f>
        <v>50</v>
      </c>
      <c r="I24" s="5">
        <f t="shared" si="81"/>
        <v>-23520</v>
      </c>
      <c r="K24" s="5">
        <v>1</v>
      </c>
      <c r="L24" s="5">
        <f>K24-11</f>
        <v>-10</v>
      </c>
      <c r="M24" s="5">
        <v>21</v>
      </c>
      <c r="N24" s="5">
        <f>M24-52</f>
        <v>-31</v>
      </c>
      <c r="O24" s="5">
        <f t="shared" ref="O24" si="89">(N24+L24)*120</f>
        <v>-4920</v>
      </c>
      <c r="S24" s="5">
        <v>9103</v>
      </c>
      <c r="T24" s="5">
        <f t="shared" si="83"/>
        <v>-46</v>
      </c>
      <c r="U24" s="5">
        <f t="shared" si="84"/>
        <v>-0.50278718985681492</v>
      </c>
      <c r="V24" s="5">
        <v>35</v>
      </c>
      <c r="W24" s="5">
        <f t="shared" si="85"/>
        <v>65</v>
      </c>
      <c r="X24" s="5">
        <v>28</v>
      </c>
      <c r="Y24" s="5">
        <f t="shared" si="86"/>
        <v>39</v>
      </c>
      <c r="Z24" s="5">
        <f t="shared" si="87"/>
        <v>70200</v>
      </c>
      <c r="AA24" s="5">
        <f t="shared" si="88"/>
        <v>41760</v>
      </c>
    </row>
    <row r="25" spans="1:27" x14ac:dyDescent="0.25">
      <c r="K25" s="5">
        <v>0</v>
      </c>
      <c r="L25" s="5">
        <f>K25-11</f>
        <v>-11</v>
      </c>
      <c r="M25" s="5">
        <v>7</v>
      </c>
      <c r="N25" s="5">
        <f>M25-52</f>
        <v>-45</v>
      </c>
      <c r="O25" s="7">
        <f t="shared" ref="O25" si="90">(N25+L25)*120</f>
        <v>-6720</v>
      </c>
    </row>
    <row r="26" spans="1:27" x14ac:dyDescent="0.25">
      <c r="K26" s="5" t="s">
        <v>43</v>
      </c>
      <c r="M26" s="5" t="s">
        <v>44</v>
      </c>
    </row>
    <row r="27" spans="1:27" x14ac:dyDescent="0.25">
      <c r="K27" s="5">
        <v>57</v>
      </c>
      <c r="L27" s="5">
        <f>K27-57</f>
        <v>0</v>
      </c>
      <c r="M27" s="5">
        <v>57</v>
      </c>
      <c r="N27" s="5">
        <f>M27-57</f>
        <v>0</v>
      </c>
    </row>
    <row r="28" spans="1:27" x14ac:dyDescent="0.25">
      <c r="A28" s="6">
        <v>42846</v>
      </c>
      <c r="B28" s="5">
        <v>21551</v>
      </c>
      <c r="C28" s="5">
        <f t="shared" ref="C28:C29" si="91">B28-21399</f>
        <v>152</v>
      </c>
      <c r="D28" s="5">
        <f t="shared" ref="D28:D29" si="92">C28*100/21399</f>
        <v>0.71031356605448848</v>
      </c>
      <c r="E28" s="5">
        <v>167</v>
      </c>
      <c r="F28" s="5">
        <f>E28-517</f>
        <v>-350</v>
      </c>
      <c r="G28" s="5">
        <v>82</v>
      </c>
      <c r="H28" s="5">
        <f>G28-46</f>
        <v>36</v>
      </c>
      <c r="I28" s="5">
        <f t="shared" ref="I28:I29" si="93">(H28+F28)*120</f>
        <v>-37680</v>
      </c>
      <c r="K28" s="5">
        <v>48</v>
      </c>
      <c r="L28" s="5">
        <f>K28-57</f>
        <v>-9</v>
      </c>
      <c r="M28" s="5">
        <v>37</v>
      </c>
      <c r="N28" s="5">
        <f>M28-57</f>
        <v>-20</v>
      </c>
      <c r="O28" s="5">
        <f t="shared" ref="O28:O29" si="94">(N28+L28)*120</f>
        <v>-3480</v>
      </c>
      <c r="S28" s="5">
        <v>9119</v>
      </c>
      <c r="T28" s="5">
        <f t="shared" ref="T28:T29" si="95">S28-9149</f>
        <v>-30</v>
      </c>
      <c r="U28" s="5">
        <f t="shared" ref="U28:U29" si="96">T28*100/9149</f>
        <v>-0.32790468903705322</v>
      </c>
      <c r="V28" s="5">
        <v>21</v>
      </c>
      <c r="W28" s="5">
        <f t="shared" ref="W28:W29" si="97">100-V28</f>
        <v>79</v>
      </c>
      <c r="X28" s="5">
        <v>21</v>
      </c>
      <c r="Y28" s="5">
        <f t="shared" ref="Y28:Y29" si="98">67-X28</f>
        <v>46</v>
      </c>
      <c r="Z28" s="5">
        <f t="shared" ref="Z28:Z29" si="99">(Y28+W28)*675</f>
        <v>84375</v>
      </c>
      <c r="AA28" s="5">
        <f t="shared" ref="AA28:AA29" si="100">Z28+O28+I28</f>
        <v>43215</v>
      </c>
    </row>
    <row r="29" spans="1:27" x14ac:dyDescent="0.25">
      <c r="A29" s="6">
        <v>42849</v>
      </c>
      <c r="B29" s="5">
        <v>21857</v>
      </c>
      <c r="C29" s="5">
        <f t="shared" si="91"/>
        <v>458</v>
      </c>
      <c r="D29" s="5">
        <f t="shared" si="92"/>
        <v>2.1402869292957614</v>
      </c>
      <c r="E29" s="5">
        <v>349</v>
      </c>
      <c r="F29" s="5">
        <f>E29-517</f>
        <v>-168</v>
      </c>
      <c r="G29" s="5">
        <v>23</v>
      </c>
      <c r="H29" s="5">
        <f>G29-46</f>
        <v>-23</v>
      </c>
      <c r="I29" s="7">
        <f t="shared" si="93"/>
        <v>-22920</v>
      </c>
      <c r="K29" s="5">
        <v>139</v>
      </c>
      <c r="L29" s="5">
        <f>K29-57</f>
        <v>82</v>
      </c>
      <c r="M29" s="5">
        <v>9</v>
      </c>
      <c r="N29" s="5">
        <f>M29-57</f>
        <v>-48</v>
      </c>
      <c r="O29" s="5">
        <f t="shared" si="94"/>
        <v>4080</v>
      </c>
      <c r="S29" s="5">
        <v>9218</v>
      </c>
      <c r="T29" s="5">
        <f t="shared" si="95"/>
        <v>69</v>
      </c>
      <c r="U29" s="5">
        <f t="shared" si="96"/>
        <v>0.75418078478522244</v>
      </c>
      <c r="V29" s="5">
        <v>52</v>
      </c>
      <c r="W29" s="5">
        <f t="shared" si="97"/>
        <v>48</v>
      </c>
      <c r="X29" s="5">
        <v>8</v>
      </c>
      <c r="Y29" s="5">
        <f t="shared" si="98"/>
        <v>59</v>
      </c>
      <c r="Z29" s="5">
        <f t="shared" si="99"/>
        <v>72225</v>
      </c>
      <c r="AA29" s="5">
        <f t="shared" si="100"/>
        <v>53385</v>
      </c>
    </row>
    <row r="30" spans="1:27" x14ac:dyDescent="0.25">
      <c r="E30" s="5" t="s">
        <v>45</v>
      </c>
      <c r="G30" s="5" t="s">
        <v>34</v>
      </c>
    </row>
    <row r="31" spans="1:27" x14ac:dyDescent="0.25">
      <c r="E31" s="5">
        <v>266</v>
      </c>
      <c r="F31" s="5">
        <f>E31-266</f>
        <v>0</v>
      </c>
      <c r="G31" s="5">
        <v>23</v>
      </c>
      <c r="H31" s="5">
        <f>G31-23</f>
        <v>0</v>
      </c>
    </row>
    <row r="32" spans="1:27" x14ac:dyDescent="0.25">
      <c r="A32" s="6">
        <v>42849</v>
      </c>
      <c r="B32" s="5">
        <v>21857</v>
      </c>
      <c r="C32" s="5">
        <f t="shared" ref="C32:C33" si="101">B32-21399</f>
        <v>458</v>
      </c>
      <c r="D32" s="5">
        <f t="shared" ref="D32:D33" si="102">C32*100/21399</f>
        <v>2.1402869292957614</v>
      </c>
      <c r="E32" s="5">
        <v>281</v>
      </c>
      <c r="F32" s="5">
        <f>E32-266</f>
        <v>15</v>
      </c>
      <c r="G32" s="5">
        <v>23</v>
      </c>
      <c r="H32" s="5">
        <f>G32-23</f>
        <v>0</v>
      </c>
      <c r="I32" s="5">
        <f t="shared" ref="I32:I33" si="103">(H32+F32)*120</f>
        <v>1800</v>
      </c>
      <c r="K32" s="5">
        <v>139</v>
      </c>
      <c r="L32" s="5">
        <f>K32-57</f>
        <v>82</v>
      </c>
      <c r="M32" s="5">
        <v>9</v>
      </c>
      <c r="N32" s="5">
        <f>M32-57</f>
        <v>-48</v>
      </c>
      <c r="O32" s="5">
        <f t="shared" ref="O32:O33" si="104">(N32+L32)*120</f>
        <v>4080</v>
      </c>
      <c r="S32" s="5">
        <v>9218</v>
      </c>
      <c r="T32" s="5">
        <f t="shared" ref="T32:T33" si="105">S32-9149</f>
        <v>69</v>
      </c>
      <c r="U32" s="5">
        <f t="shared" ref="U32:U33" si="106">T32*100/9149</f>
        <v>0.75418078478522244</v>
      </c>
      <c r="V32" s="5">
        <v>52</v>
      </c>
      <c r="W32" s="5">
        <f t="shared" ref="W32:W33" si="107">100-V32</f>
        <v>48</v>
      </c>
      <c r="X32" s="5">
        <v>8</v>
      </c>
      <c r="Y32" s="5">
        <f t="shared" ref="Y32:Y33" si="108">67-X32</f>
        <v>59</v>
      </c>
      <c r="Z32" s="5">
        <f t="shared" ref="Z32:Z33" si="109">(Y32+W32)*675</f>
        <v>72225</v>
      </c>
      <c r="AA32" s="5">
        <f t="shared" ref="AA32:AA33" si="110">Z32+O32+I32</f>
        <v>78105</v>
      </c>
    </row>
    <row r="33" spans="1:27" x14ac:dyDescent="0.25">
      <c r="A33" s="6">
        <v>42850</v>
      </c>
      <c r="B33" s="5">
        <v>21935</v>
      </c>
      <c r="C33" s="5">
        <f t="shared" si="101"/>
        <v>536</v>
      </c>
      <c r="D33" s="5">
        <f t="shared" si="102"/>
        <v>2.5047899434553016</v>
      </c>
      <c r="E33" s="5">
        <v>329</v>
      </c>
      <c r="F33" s="5">
        <f>E33-266</f>
        <v>63</v>
      </c>
      <c r="G33" s="5">
        <v>8</v>
      </c>
      <c r="H33" s="5">
        <f>G33-23</f>
        <v>-15</v>
      </c>
      <c r="I33" s="5">
        <f t="shared" si="103"/>
        <v>5760</v>
      </c>
      <c r="K33" s="5">
        <v>162</v>
      </c>
      <c r="L33" s="5">
        <f>K33-57</f>
        <v>105</v>
      </c>
      <c r="M33" s="5">
        <v>4</v>
      </c>
      <c r="N33" s="5">
        <f>M33-57</f>
        <v>-53</v>
      </c>
      <c r="O33" s="5">
        <f t="shared" si="104"/>
        <v>6240</v>
      </c>
      <c r="S33" s="5">
        <v>9274</v>
      </c>
      <c r="T33" s="5">
        <f t="shared" si="105"/>
        <v>125</v>
      </c>
      <c r="U33" s="5">
        <f t="shared" si="106"/>
        <v>1.3662695376543885</v>
      </c>
      <c r="V33" s="5">
        <v>77</v>
      </c>
      <c r="W33" s="5">
        <f t="shared" si="107"/>
        <v>23</v>
      </c>
      <c r="X33" s="5">
        <v>3</v>
      </c>
      <c r="Y33" s="5">
        <f t="shared" si="108"/>
        <v>64</v>
      </c>
      <c r="Z33" s="7">
        <f t="shared" si="109"/>
        <v>58725</v>
      </c>
      <c r="AA33" s="5">
        <f t="shared" si="110"/>
        <v>70725</v>
      </c>
    </row>
    <row r="34" spans="1:27" x14ac:dyDescent="0.25">
      <c r="P34" s="5" t="s">
        <v>47</v>
      </c>
      <c r="V34" s="5" t="s">
        <v>37</v>
      </c>
      <c r="X34" s="5" t="s">
        <v>46</v>
      </c>
    </row>
    <row r="35" spans="1:27" x14ac:dyDescent="0.25">
      <c r="P35" s="5">
        <v>28</v>
      </c>
      <c r="Q35" s="5">
        <f>P35-28</f>
        <v>0</v>
      </c>
      <c r="V35" s="5">
        <v>77</v>
      </c>
      <c r="W35" s="5">
        <f>77-V35</f>
        <v>0</v>
      </c>
      <c r="X35" s="5">
        <v>47</v>
      </c>
      <c r="Y35" s="5">
        <f>47-X35</f>
        <v>0</v>
      </c>
      <c r="Z35" s="5">
        <f>(W35)*675+Y35*360</f>
        <v>0</v>
      </c>
      <c r="AA35" s="5">
        <f t="shared" ref="AA35" si="111">Z35+O35+I35</f>
        <v>0</v>
      </c>
    </row>
    <row r="36" spans="1:27" x14ac:dyDescent="0.25">
      <c r="A36" s="6">
        <v>42850</v>
      </c>
      <c r="B36" s="5">
        <v>21935</v>
      </c>
      <c r="C36" s="5">
        <f t="shared" ref="C36" si="112">B36-21399</f>
        <v>536</v>
      </c>
      <c r="D36" s="5">
        <f t="shared" ref="D36" si="113">C36*100/21399</f>
        <v>2.5047899434553016</v>
      </c>
      <c r="E36" s="5">
        <v>329</v>
      </c>
      <c r="F36" s="5">
        <f>E36-266</f>
        <v>63</v>
      </c>
      <c r="G36" s="5">
        <v>8</v>
      </c>
      <c r="H36" s="5">
        <f>G36-23</f>
        <v>-15</v>
      </c>
      <c r="I36" s="5">
        <f t="shared" ref="I36" si="114">(H36+F36)*120</f>
        <v>5760</v>
      </c>
      <c r="K36" s="5">
        <v>162</v>
      </c>
      <c r="L36" s="5">
        <f>K36-57</f>
        <v>105</v>
      </c>
      <c r="M36" s="5">
        <v>4</v>
      </c>
      <c r="N36" s="5">
        <f>M36-57</f>
        <v>-53</v>
      </c>
      <c r="O36" s="5">
        <f>(N36+L36)*120+Q36*360</f>
        <v>6240</v>
      </c>
      <c r="P36" s="5">
        <v>28</v>
      </c>
      <c r="Q36" s="5">
        <f>P36-28</f>
        <v>0</v>
      </c>
      <c r="S36" s="5">
        <v>9274</v>
      </c>
      <c r="T36" s="5">
        <f t="shared" ref="T36" si="115">S36-9149</f>
        <v>125</v>
      </c>
      <c r="U36" s="5">
        <f t="shared" ref="U36" si="116">T36*100/9149</f>
        <v>1.3662695376543885</v>
      </c>
      <c r="V36" s="5">
        <v>77</v>
      </c>
      <c r="W36" s="5">
        <f>77-V36</f>
        <v>0</v>
      </c>
      <c r="X36" s="5">
        <v>47</v>
      </c>
      <c r="Y36" s="5">
        <f>47-X36</f>
        <v>0</v>
      </c>
      <c r="Z36" s="5">
        <f>(W36)*675+Y36*360</f>
        <v>0</v>
      </c>
      <c r="AA36" s="5">
        <f t="shared" ref="AA36:AA41" si="117">Z36+O36+I36</f>
        <v>12000</v>
      </c>
    </row>
    <row r="37" spans="1:27" x14ac:dyDescent="0.25">
      <c r="A37" s="6">
        <v>42850</v>
      </c>
      <c r="B37" s="5">
        <v>22005</v>
      </c>
      <c r="C37" s="5">
        <f t="shared" ref="C37" si="118">B37-21399</f>
        <v>606</v>
      </c>
      <c r="D37" s="5">
        <f t="shared" ref="D37" si="119">C37*100/21399</f>
        <v>2.8319080330856581</v>
      </c>
      <c r="E37" s="5">
        <v>359</v>
      </c>
      <c r="F37" s="5">
        <f>E37-266</f>
        <v>93</v>
      </c>
      <c r="G37" s="5">
        <v>8</v>
      </c>
      <c r="H37" s="5">
        <f>G37-23</f>
        <v>-15</v>
      </c>
      <c r="I37" s="7">
        <f t="shared" ref="I37" si="120">(H37+F37)*120</f>
        <v>9360</v>
      </c>
      <c r="K37" s="5">
        <v>151</v>
      </c>
      <c r="L37" s="5">
        <f>K37-57</f>
        <v>94</v>
      </c>
      <c r="M37" s="5">
        <v>5</v>
      </c>
      <c r="N37" s="5">
        <f>M37-57</f>
        <v>-52</v>
      </c>
      <c r="O37" s="5">
        <f>(N37+L37)*120+Q37*360</f>
        <v>7200</v>
      </c>
      <c r="P37" s="5">
        <v>34</v>
      </c>
      <c r="Q37" s="5">
        <f>P37-28</f>
        <v>6</v>
      </c>
      <c r="S37" s="5">
        <v>9275</v>
      </c>
      <c r="T37" s="5">
        <f t="shared" ref="T37" si="121">S37-9149</f>
        <v>126</v>
      </c>
      <c r="U37" s="5">
        <f t="shared" ref="U37" si="122">T37*100/9149</f>
        <v>1.3771996939556235</v>
      </c>
      <c r="V37" s="5">
        <v>68</v>
      </c>
      <c r="W37" s="5">
        <f>77-V37</f>
        <v>9</v>
      </c>
      <c r="X37" s="5">
        <v>58</v>
      </c>
      <c r="Y37" s="5">
        <f>47-X37</f>
        <v>-11</v>
      </c>
      <c r="Z37" s="5">
        <f>(W37)*675+Y37*360</f>
        <v>2115</v>
      </c>
      <c r="AA37" s="5">
        <f t="shared" si="117"/>
        <v>18675</v>
      </c>
    </row>
    <row r="38" spans="1:27" x14ac:dyDescent="0.25">
      <c r="E38" s="5" t="s">
        <v>43</v>
      </c>
      <c r="G38" s="5" t="s">
        <v>34</v>
      </c>
    </row>
    <row r="39" spans="1:27" x14ac:dyDescent="0.25">
      <c r="A39" s="6">
        <v>42850</v>
      </c>
      <c r="B39" s="5">
        <v>22005</v>
      </c>
      <c r="C39" s="5">
        <f t="shared" ref="C39" si="123">B39-21399</f>
        <v>606</v>
      </c>
      <c r="D39" s="5">
        <f t="shared" ref="D39" si="124">C39*100/21399</f>
        <v>2.8319080330856581</v>
      </c>
      <c r="E39" s="5">
        <v>185</v>
      </c>
      <c r="F39" s="5">
        <f>E39-185</f>
        <v>0</v>
      </c>
      <c r="G39" s="5">
        <v>8</v>
      </c>
      <c r="H39" s="5">
        <f>G39-8</f>
        <v>0</v>
      </c>
      <c r="I39" s="5">
        <f t="shared" ref="I39" si="125">(H39+F39)*120</f>
        <v>0</v>
      </c>
      <c r="K39" s="5">
        <v>188</v>
      </c>
      <c r="L39" s="5">
        <f>K39-57</f>
        <v>131</v>
      </c>
      <c r="M39" s="5">
        <v>5</v>
      </c>
      <c r="N39" s="5">
        <f>M39-57</f>
        <v>-52</v>
      </c>
      <c r="O39" s="5">
        <f>(N39+L39)*120+Q39*360</f>
        <v>8040</v>
      </c>
      <c r="P39" s="5">
        <v>24</v>
      </c>
      <c r="Q39" s="5">
        <f>P39-28</f>
        <v>-4</v>
      </c>
      <c r="S39" s="5">
        <v>9293</v>
      </c>
      <c r="T39" s="5">
        <f t="shared" ref="T39" si="126">S39-9149</f>
        <v>144</v>
      </c>
      <c r="U39" s="5">
        <f t="shared" ref="U39" si="127">T39*100/9149</f>
        <v>1.5739425073778555</v>
      </c>
      <c r="V39" s="5">
        <v>88</v>
      </c>
      <c r="W39" s="5">
        <f>77-V39</f>
        <v>-11</v>
      </c>
      <c r="X39" s="5">
        <v>39</v>
      </c>
      <c r="Y39" s="5">
        <f>47-X39</f>
        <v>8</v>
      </c>
      <c r="Z39" s="5">
        <f>(W39)*675+Y39*360</f>
        <v>-4545</v>
      </c>
      <c r="AA39" s="5">
        <f t="shared" si="117"/>
        <v>3495</v>
      </c>
    </row>
    <row r="40" spans="1:27" x14ac:dyDescent="0.25">
      <c r="A40" s="6">
        <v>42850</v>
      </c>
      <c r="B40" s="5">
        <v>22051</v>
      </c>
      <c r="C40" s="5">
        <f t="shared" ref="C40:C41" si="128">B40-21399</f>
        <v>652</v>
      </c>
      <c r="D40" s="5">
        <f t="shared" ref="D40:D41" si="129">C40*100/21399</f>
        <v>3.0468713491284638</v>
      </c>
      <c r="E40" s="5">
        <v>225</v>
      </c>
      <c r="F40" s="5">
        <f>E40-185</f>
        <v>40</v>
      </c>
      <c r="G40" s="5">
        <v>7</v>
      </c>
      <c r="H40" s="5">
        <f>G40-8</f>
        <v>-1</v>
      </c>
      <c r="I40" s="5">
        <f t="shared" ref="I40" si="130">(H40+F40)*120</f>
        <v>4680</v>
      </c>
      <c r="K40" s="5">
        <v>225</v>
      </c>
      <c r="L40" s="5">
        <f>K40-57</f>
        <v>168</v>
      </c>
      <c r="M40" s="5">
        <v>5</v>
      </c>
      <c r="N40" s="5">
        <f>M40-57</f>
        <v>-52</v>
      </c>
      <c r="O40" s="5">
        <f>(N40+L40)*120+Q40*360</f>
        <v>10680</v>
      </c>
      <c r="P40" s="5">
        <v>19</v>
      </c>
      <c r="Q40" s="5">
        <f>P40-28</f>
        <v>-9</v>
      </c>
      <c r="S40" s="5">
        <v>9305</v>
      </c>
      <c r="T40" s="5">
        <f t="shared" ref="T40:T41" si="131">S40-9149</f>
        <v>156</v>
      </c>
      <c r="U40" s="5">
        <f t="shared" ref="U40:U41" si="132">T40*100/9149</f>
        <v>1.7051043829926769</v>
      </c>
      <c r="V40" s="5">
        <v>98</v>
      </c>
      <c r="W40" s="5">
        <f>77-V40</f>
        <v>-21</v>
      </c>
      <c r="X40" s="5">
        <v>28</v>
      </c>
      <c r="Y40" s="5">
        <f>47-X40</f>
        <v>19</v>
      </c>
      <c r="Z40" s="5">
        <f>(W40)*675+Y40*360</f>
        <v>-7335</v>
      </c>
      <c r="AA40" s="5">
        <f t="shared" si="117"/>
        <v>8025</v>
      </c>
    </row>
    <row r="41" spans="1:27" x14ac:dyDescent="0.25">
      <c r="A41" s="6">
        <v>42851</v>
      </c>
      <c r="B41" s="5">
        <v>22218</v>
      </c>
      <c r="C41" s="5">
        <f t="shared" si="128"/>
        <v>819</v>
      </c>
      <c r="D41" s="5">
        <f t="shared" si="129"/>
        <v>3.827281648675172</v>
      </c>
      <c r="E41" s="5">
        <v>366</v>
      </c>
      <c r="F41" s="5">
        <f>E41-185</f>
        <v>181</v>
      </c>
      <c r="G41" s="5">
        <v>0</v>
      </c>
      <c r="H41" s="5">
        <f>G41-8</f>
        <v>-8</v>
      </c>
      <c r="I41" s="5">
        <f t="shared" ref="I41" si="133">(H41+F41)*120</f>
        <v>20760</v>
      </c>
      <c r="K41" s="5">
        <v>366</v>
      </c>
      <c r="L41" s="5">
        <f>K41-57</f>
        <v>309</v>
      </c>
      <c r="M41" s="5">
        <v>0</v>
      </c>
      <c r="N41" s="5">
        <f>M41-57</f>
        <v>-57</v>
      </c>
      <c r="O41" s="8">
        <f>(N41+L41)*120+Q41*360</f>
        <v>23760</v>
      </c>
      <c r="P41" s="5">
        <v>10</v>
      </c>
      <c r="Q41" s="5">
        <f>P41-28</f>
        <v>-18</v>
      </c>
      <c r="S41" s="5">
        <v>9339</v>
      </c>
      <c r="T41" s="5">
        <f t="shared" si="131"/>
        <v>190</v>
      </c>
      <c r="U41" s="5">
        <f t="shared" si="132"/>
        <v>2.0767296972346703</v>
      </c>
      <c r="V41" s="5">
        <v>132</v>
      </c>
      <c r="W41" s="5">
        <f>77-V41</f>
        <v>-55</v>
      </c>
      <c r="X41" s="5">
        <v>15</v>
      </c>
      <c r="Y41" s="5">
        <f>47-X41</f>
        <v>32</v>
      </c>
      <c r="Z41" s="5">
        <f>(W41)*675+Y41*360</f>
        <v>-25605</v>
      </c>
      <c r="AA41" s="7">
        <f t="shared" si="117"/>
        <v>18915</v>
      </c>
    </row>
    <row r="42" spans="1:27" x14ac:dyDescent="0.25">
      <c r="E42" s="5" t="s">
        <v>48</v>
      </c>
      <c r="P42" s="5" t="s">
        <v>49</v>
      </c>
      <c r="V42" s="5" t="s">
        <v>37</v>
      </c>
      <c r="X42" s="5" t="s">
        <v>50</v>
      </c>
    </row>
    <row r="43" spans="1:27" x14ac:dyDescent="0.25">
      <c r="E43" s="5">
        <v>197</v>
      </c>
      <c r="F43" s="5">
        <f>E43-197</f>
        <v>0</v>
      </c>
      <c r="I43" s="5">
        <f>(H43+F43)*240</f>
        <v>0</v>
      </c>
      <c r="O43" s="8">
        <f>(N43+L43)*120+Q43*360</f>
        <v>0</v>
      </c>
      <c r="P43" s="5">
        <v>24</v>
      </c>
      <c r="Q43" s="5">
        <f>P43-24</f>
        <v>0</v>
      </c>
      <c r="V43" s="5">
        <v>132</v>
      </c>
      <c r="W43" s="5">
        <f>132-V43</f>
        <v>0</v>
      </c>
      <c r="X43" s="5">
        <v>39</v>
      </c>
      <c r="Y43" s="5">
        <f>39-X43</f>
        <v>0</v>
      </c>
      <c r="Z43" s="5">
        <f>(W43)*675+Y43*360</f>
        <v>0</v>
      </c>
      <c r="AA43" s="5">
        <f t="shared" ref="AA43" si="134">Z43+O43+I43</f>
        <v>0</v>
      </c>
    </row>
    <row r="44" spans="1:27" x14ac:dyDescent="0.25">
      <c r="A44" s="6">
        <v>42851</v>
      </c>
      <c r="B44" s="5">
        <v>22242</v>
      </c>
      <c r="C44" s="5">
        <f t="shared" ref="C44" si="135">B44-21399</f>
        <v>843</v>
      </c>
      <c r="D44" s="5">
        <f t="shared" ref="D44" si="136">C44*100/21399</f>
        <v>3.9394364222627227</v>
      </c>
      <c r="E44" s="5">
        <v>232</v>
      </c>
      <c r="F44" s="5">
        <f>E44-197</f>
        <v>35</v>
      </c>
      <c r="I44" s="5">
        <f>(H44+F44)*240</f>
        <v>8400</v>
      </c>
      <c r="O44" s="8">
        <f>(N44+L44)*120+Q44*360</f>
        <v>-4320</v>
      </c>
      <c r="P44" s="5">
        <v>12</v>
      </c>
      <c r="Q44" s="5">
        <f>P44-24</f>
        <v>-12</v>
      </c>
      <c r="S44" s="5">
        <v>9351</v>
      </c>
      <c r="T44" s="5">
        <f t="shared" ref="T44" si="137">S44-9149</f>
        <v>202</v>
      </c>
      <c r="U44" s="5">
        <f t="shared" ref="U44" si="138">T44*100/9149</f>
        <v>2.2078915728494919</v>
      </c>
      <c r="V44" s="5">
        <v>139</v>
      </c>
      <c r="W44" s="5">
        <f>132-V44</f>
        <v>-7</v>
      </c>
      <c r="X44" s="5">
        <v>21</v>
      </c>
      <c r="Y44" s="5">
        <f>39-X44</f>
        <v>18</v>
      </c>
      <c r="Z44" s="5">
        <f>(W44)*675+Y44*360</f>
        <v>1755</v>
      </c>
      <c r="AA44" s="5">
        <f t="shared" ref="AA44:AA45" si="139">Z44+O44+I44</f>
        <v>5835</v>
      </c>
    </row>
    <row r="45" spans="1:27" x14ac:dyDescent="0.25">
      <c r="A45" s="6">
        <v>42852</v>
      </c>
      <c r="B45" s="5">
        <v>22287</v>
      </c>
      <c r="C45" s="5">
        <f t="shared" ref="C45" si="140">B45-21399</f>
        <v>888</v>
      </c>
      <c r="D45" s="5">
        <f t="shared" ref="D45" si="141">C45*100/21399</f>
        <v>4.1497266227393803</v>
      </c>
      <c r="E45" s="5">
        <v>270</v>
      </c>
      <c r="F45" s="5">
        <f>E45-197</f>
        <v>73</v>
      </c>
      <c r="I45" s="7">
        <f>(H45+F45)*240</f>
        <v>17520</v>
      </c>
      <c r="O45" s="7">
        <f>(N45+L45)*120+Q45*360</f>
        <v>-8280</v>
      </c>
      <c r="P45" s="5">
        <v>1</v>
      </c>
      <c r="Q45" s="5">
        <f>P45-24</f>
        <v>-23</v>
      </c>
      <c r="S45" s="5">
        <v>9350</v>
      </c>
      <c r="T45" s="5">
        <f t="shared" ref="T45" si="142">S45-9149</f>
        <v>201</v>
      </c>
      <c r="U45" s="5">
        <f t="shared" ref="U45" si="143">T45*100/9149</f>
        <v>2.1969614165482567</v>
      </c>
      <c r="V45" s="5">
        <v>141</v>
      </c>
      <c r="W45" s="5">
        <f>132-V45</f>
        <v>-9</v>
      </c>
      <c r="X45" s="5">
        <v>3</v>
      </c>
      <c r="Y45" s="5">
        <f>39-X45</f>
        <v>36</v>
      </c>
      <c r="Z45" s="5">
        <f>(W45)*675+Y45*360</f>
        <v>6885</v>
      </c>
      <c r="AA45" s="5">
        <f t="shared" si="139"/>
        <v>16125</v>
      </c>
    </row>
    <row r="46" spans="1:27" x14ac:dyDescent="0.25">
      <c r="E46" s="5" t="s">
        <v>51</v>
      </c>
    </row>
    <row r="47" spans="1:27" x14ac:dyDescent="0.25">
      <c r="E47" s="5">
        <v>86</v>
      </c>
      <c r="F47" s="5">
        <f>E47-86</f>
        <v>0</v>
      </c>
    </row>
    <row r="48" spans="1:27" x14ac:dyDescent="0.25">
      <c r="A48" s="6">
        <v>42852</v>
      </c>
      <c r="B48" s="5">
        <v>22320</v>
      </c>
      <c r="C48" s="5">
        <f t="shared" ref="C48" si="144">B48-21399</f>
        <v>921</v>
      </c>
      <c r="D48" s="5">
        <f t="shared" ref="D48" si="145">C48*100/21399</f>
        <v>4.3039394364222625</v>
      </c>
      <c r="E48" s="5">
        <v>113</v>
      </c>
      <c r="F48" s="5">
        <f>E48-86</f>
        <v>27</v>
      </c>
      <c r="I48" s="5">
        <f>(H48+F48)*240</f>
        <v>6480</v>
      </c>
      <c r="O48" s="8"/>
      <c r="S48" s="5">
        <v>9350</v>
      </c>
      <c r="T48" s="5">
        <f t="shared" ref="T48" si="146">S48-9149</f>
        <v>201</v>
      </c>
      <c r="U48" s="5">
        <f t="shared" ref="U48" si="147">T48*100/9149</f>
        <v>2.1969614165482567</v>
      </c>
      <c r="V48" s="5">
        <v>142</v>
      </c>
      <c r="W48" s="5">
        <f>132-V48</f>
        <v>-10</v>
      </c>
      <c r="X48" s="5">
        <v>3</v>
      </c>
      <c r="Y48" s="5">
        <f>39-X48</f>
        <v>36</v>
      </c>
      <c r="Z48" s="5">
        <f>(W48)*675+Y48*360</f>
        <v>6210</v>
      </c>
      <c r="AA48" s="7">
        <f t="shared" ref="AA48" si="148">Z48+O48+I48</f>
        <v>12690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workbookViewId="0">
      <selection activeCell="X2" activeCellId="1" sqref="V2 X2"/>
    </sheetView>
  </sheetViews>
  <sheetFormatPr defaultRowHeight="15" x14ac:dyDescent="0.25"/>
  <cols>
    <col min="1" max="1" width="7.42578125" style="5" bestFit="1" customWidth="1"/>
    <col min="2" max="2" width="6" style="5" bestFit="1" customWidth="1"/>
    <col min="3" max="3" width="4.28515625" style="5" bestFit="1" customWidth="1"/>
    <col min="4" max="4" width="4.7109375" style="5" customWidth="1"/>
    <col min="5" max="5" width="5.5703125" style="5" bestFit="1" customWidth="1"/>
    <col min="6" max="6" width="4.7109375" style="5" bestFit="1" customWidth="1"/>
    <col min="7" max="7" width="5.5703125" style="5" bestFit="1" customWidth="1"/>
    <col min="8" max="8" width="4.7109375" style="5" bestFit="1" customWidth="1"/>
    <col min="9" max="9" width="6.7109375" style="5" bestFit="1" customWidth="1"/>
    <col min="10" max="10" width="9.140625" style="5"/>
    <col min="11" max="11" width="5.5703125" style="5" bestFit="1" customWidth="1"/>
    <col min="12" max="12" width="4.28515625" style="5" bestFit="1" customWidth="1"/>
    <col min="13" max="13" width="5.5703125" style="5" bestFit="1" customWidth="1"/>
    <col min="14" max="14" width="4.28515625" style="5" bestFit="1" customWidth="1"/>
    <col min="15" max="15" width="6.7109375" style="5" bestFit="1" customWidth="1"/>
    <col min="16" max="18" width="9.140625" style="5"/>
    <col min="19" max="19" width="5" style="5" bestFit="1" customWidth="1"/>
    <col min="20" max="20" width="4.28515625" style="5" bestFit="1" customWidth="1"/>
    <col min="21" max="21" width="5" style="5" customWidth="1"/>
    <col min="22" max="22" width="5.5703125" style="5" bestFit="1" customWidth="1"/>
    <col min="23" max="23" width="4.28515625" style="5" bestFit="1" customWidth="1"/>
    <col min="24" max="24" width="5.5703125" style="5" bestFit="1" customWidth="1"/>
    <col min="25" max="25" width="4.28515625" style="5" bestFit="1" customWidth="1"/>
    <col min="26" max="27" width="6.7109375" style="5" bestFit="1" customWidth="1"/>
    <col min="28" max="28" width="9.140625" style="5"/>
    <col min="29" max="29" width="7.7109375" style="5" bestFit="1" customWidth="1"/>
    <col min="30" max="16384" width="9.140625" style="5"/>
  </cols>
  <sheetData>
    <row r="1" spans="1:29" x14ac:dyDescent="0.25">
      <c r="A1" s="1" t="s">
        <v>0</v>
      </c>
      <c r="B1" s="1" t="s">
        <v>5</v>
      </c>
      <c r="C1" s="1" t="s">
        <v>2</v>
      </c>
      <c r="D1" s="1" t="s">
        <v>6</v>
      </c>
      <c r="E1" s="1" t="s">
        <v>52</v>
      </c>
      <c r="F1" s="1" t="s">
        <v>2</v>
      </c>
      <c r="G1" s="1" t="s">
        <v>53</v>
      </c>
      <c r="H1" s="1" t="s">
        <v>2</v>
      </c>
      <c r="I1" s="1" t="s">
        <v>3</v>
      </c>
      <c r="J1" s="1"/>
      <c r="K1" s="1" t="s">
        <v>54</v>
      </c>
      <c r="L1" s="1" t="s">
        <v>2</v>
      </c>
      <c r="M1" s="1" t="s">
        <v>55</v>
      </c>
      <c r="N1" s="1" t="s">
        <v>2</v>
      </c>
      <c r="O1" s="1" t="s">
        <v>3</v>
      </c>
      <c r="P1" s="1"/>
      <c r="S1" s="1" t="s">
        <v>1</v>
      </c>
      <c r="T1" s="1" t="s">
        <v>2</v>
      </c>
      <c r="U1" s="1" t="s">
        <v>6</v>
      </c>
      <c r="V1" s="1" t="s">
        <v>56</v>
      </c>
      <c r="W1" s="1" t="s">
        <v>2</v>
      </c>
      <c r="X1" s="1" t="s">
        <v>57</v>
      </c>
      <c r="Y1" s="1" t="s">
        <v>2</v>
      </c>
      <c r="Z1" s="1" t="s">
        <v>3</v>
      </c>
      <c r="AA1" s="1" t="s">
        <v>4</v>
      </c>
      <c r="AB1" s="1"/>
      <c r="AC1" s="3" t="s">
        <v>19</v>
      </c>
    </row>
    <row r="2" spans="1:29" x14ac:dyDescent="0.25">
      <c r="A2" s="2">
        <v>42852</v>
      </c>
      <c r="B2" s="1">
        <v>22323</v>
      </c>
      <c r="C2" s="1">
        <f>B2-22323</f>
        <v>0</v>
      </c>
      <c r="D2" s="1">
        <f>C2*100/22323</f>
        <v>0</v>
      </c>
      <c r="E2" s="1">
        <v>330</v>
      </c>
      <c r="F2" s="1">
        <f>E2-330</f>
        <v>0</v>
      </c>
      <c r="G2" s="1">
        <v>330</v>
      </c>
      <c r="H2" s="1">
        <f>G2-330</f>
        <v>0</v>
      </c>
      <c r="I2" s="1">
        <f t="shared" ref="I2" si="0">(H2+F2)*120</f>
        <v>0</v>
      </c>
      <c r="J2" s="1"/>
      <c r="K2" s="1">
        <v>21</v>
      </c>
      <c r="L2" s="1">
        <f>K2-21</f>
        <v>0</v>
      </c>
      <c r="M2" s="1">
        <v>61</v>
      </c>
      <c r="N2" s="1">
        <f>M2-61</f>
        <v>0</v>
      </c>
      <c r="O2" s="1">
        <f t="shared" ref="O2" si="1">(N2+L2)*120</f>
        <v>0</v>
      </c>
      <c r="P2" s="1"/>
      <c r="S2" s="1">
        <v>9250</v>
      </c>
      <c r="T2" s="1">
        <f>S2-9250</f>
        <v>0</v>
      </c>
      <c r="U2" s="1">
        <f>T2*100/9250</f>
        <v>0</v>
      </c>
      <c r="V2" s="1">
        <v>79</v>
      </c>
      <c r="W2" s="1">
        <f>79-V2</f>
        <v>0</v>
      </c>
      <c r="X2" s="1">
        <v>67</v>
      </c>
      <c r="Y2" s="1">
        <f t="shared" ref="Y2" si="2">67-X2</f>
        <v>0</v>
      </c>
      <c r="Z2" s="1">
        <f t="shared" ref="Z2" si="3">(Y2+W2)*675</f>
        <v>0</v>
      </c>
      <c r="AA2" s="1">
        <f t="shared" ref="AA2" si="4">Z2+O2+I2</f>
        <v>0</v>
      </c>
      <c r="AB2" s="1"/>
      <c r="AC2" s="1">
        <v>8040</v>
      </c>
    </row>
    <row r="3" spans="1:29" x14ac:dyDescent="0.25">
      <c r="A3" s="6">
        <v>42857</v>
      </c>
      <c r="B3" s="5">
        <v>22341</v>
      </c>
      <c r="C3" s="1">
        <f>B3-22323</f>
        <v>18</v>
      </c>
      <c r="D3" s="1">
        <f>C3*100/22323</f>
        <v>8.0634323343636613E-2</v>
      </c>
      <c r="E3" s="5">
        <v>358</v>
      </c>
      <c r="F3" s="1">
        <f>E3-330</f>
        <v>28</v>
      </c>
      <c r="G3" s="5">
        <v>267</v>
      </c>
      <c r="H3" s="1">
        <f>G3-330</f>
        <v>-63</v>
      </c>
      <c r="I3" s="1">
        <f t="shared" ref="I3" si="5">(H3+F3)*120</f>
        <v>-4200</v>
      </c>
      <c r="K3" s="5">
        <v>21</v>
      </c>
      <c r="L3" s="1">
        <f>K3-21</f>
        <v>0</v>
      </c>
      <c r="M3" s="5">
        <v>17</v>
      </c>
      <c r="N3" s="1">
        <f>M3-61</f>
        <v>-44</v>
      </c>
      <c r="O3" s="1">
        <f t="shared" ref="O3" si="6">(N3+L3)*120</f>
        <v>-5280</v>
      </c>
      <c r="S3" s="5">
        <v>9313</v>
      </c>
      <c r="T3" s="1">
        <f>S3-9250</f>
        <v>63</v>
      </c>
      <c r="U3" s="1">
        <f>T3*100/9250</f>
        <v>0.68108108108108112</v>
      </c>
      <c r="V3" s="5">
        <v>62</v>
      </c>
      <c r="W3" s="1">
        <f>79-V3</f>
        <v>17</v>
      </c>
      <c r="X3" s="5">
        <v>64</v>
      </c>
      <c r="Y3" s="1">
        <f t="shared" ref="Y3" si="7">67-X3</f>
        <v>3</v>
      </c>
      <c r="Z3" s="1">
        <f t="shared" ref="Z3" si="8">(Y3+W3)*675</f>
        <v>13500</v>
      </c>
      <c r="AA3" s="1">
        <f t="shared" ref="AA3" si="9">Z3+O3+I3</f>
        <v>4020</v>
      </c>
      <c r="AC3" s="5">
        <v>-11880</v>
      </c>
    </row>
    <row r="4" spans="1:29" x14ac:dyDescent="0.25">
      <c r="A4" s="6">
        <v>42858</v>
      </c>
      <c r="B4" s="5">
        <v>22282</v>
      </c>
      <c r="C4" s="1">
        <f>B4-22323</f>
        <v>-41</v>
      </c>
      <c r="D4" s="1">
        <f>C4*100/22323</f>
        <v>-0.18366706983828338</v>
      </c>
      <c r="E4" s="5">
        <v>320</v>
      </c>
      <c r="F4" s="1">
        <f>E4-330</f>
        <v>-10</v>
      </c>
      <c r="G4" s="5">
        <v>280</v>
      </c>
      <c r="H4" s="1">
        <f>G4-330</f>
        <v>-50</v>
      </c>
      <c r="I4" s="1">
        <f t="shared" ref="I4" si="10">(H4+F4)*120</f>
        <v>-7200</v>
      </c>
      <c r="K4" s="5">
        <v>6</v>
      </c>
      <c r="L4" s="1">
        <f>K4-21</f>
        <v>-15</v>
      </c>
      <c r="M4" s="5">
        <v>10</v>
      </c>
      <c r="N4" s="1">
        <f>M4-61</f>
        <v>-51</v>
      </c>
      <c r="O4" s="1">
        <f t="shared" ref="O4" si="11">(N4+L4)*120</f>
        <v>-7920</v>
      </c>
      <c r="S4" s="5">
        <v>9303</v>
      </c>
      <c r="T4" s="1">
        <f>S4-9250</f>
        <v>53</v>
      </c>
      <c r="U4" s="1">
        <f>T4*100/9250</f>
        <v>0.572972972972973</v>
      </c>
      <c r="V4" s="5">
        <v>61</v>
      </c>
      <c r="W4" s="1">
        <f>79-V4</f>
        <v>18</v>
      </c>
      <c r="X4" s="5">
        <v>65</v>
      </c>
      <c r="Y4" s="1">
        <f t="shared" ref="Y4" si="12">67-X4</f>
        <v>2</v>
      </c>
      <c r="Z4" s="1">
        <f t="shared" ref="Z4" si="13">(Y4+W4)*675</f>
        <v>13500</v>
      </c>
      <c r="AA4" s="1">
        <f t="shared" ref="AA4" si="14">Z4+O4+I4</f>
        <v>-1620</v>
      </c>
      <c r="AC4" s="5">
        <v>23625</v>
      </c>
    </row>
    <row r="5" spans="1:29" x14ac:dyDescent="0.25">
      <c r="A5" s="6">
        <v>42859</v>
      </c>
      <c r="B5" s="5">
        <v>22720</v>
      </c>
      <c r="C5" s="1">
        <f>B5-22323</f>
        <v>397</v>
      </c>
      <c r="D5" s="1">
        <f>C5*100/22323</f>
        <v>1.7784347981902073</v>
      </c>
      <c r="E5" s="5">
        <v>560</v>
      </c>
      <c r="F5" s="1">
        <f>E5-330</f>
        <v>230</v>
      </c>
      <c r="G5" s="5">
        <v>157</v>
      </c>
      <c r="H5" s="1">
        <f>G5-330</f>
        <v>-173</v>
      </c>
      <c r="I5" s="3">
        <f t="shared" ref="I5" si="15">(H5+F5)*120</f>
        <v>6840</v>
      </c>
      <c r="K5" s="5">
        <v>92</v>
      </c>
      <c r="L5" s="1">
        <f>K5-21</f>
        <v>71</v>
      </c>
      <c r="M5" s="5">
        <v>0</v>
      </c>
      <c r="N5" s="1">
        <f>M5-61</f>
        <v>-61</v>
      </c>
      <c r="O5" s="3">
        <f t="shared" ref="O5" si="16">(N5+L5)*120</f>
        <v>1200</v>
      </c>
      <c r="S5" s="5">
        <v>9360</v>
      </c>
      <c r="T5" s="1">
        <f>S5-9250</f>
        <v>110</v>
      </c>
      <c r="U5" s="1">
        <f>T5*100/9250</f>
        <v>1.1891891891891893</v>
      </c>
      <c r="V5" s="5">
        <v>76</v>
      </c>
      <c r="W5" s="1">
        <f>79-V5</f>
        <v>3</v>
      </c>
      <c r="X5" s="5">
        <v>50</v>
      </c>
      <c r="Y5" s="1">
        <f t="shared" ref="Y5" si="17">67-X5</f>
        <v>17</v>
      </c>
      <c r="Z5" s="1">
        <f t="shared" ref="Z5" si="18">(Y5+W5)*675</f>
        <v>13500</v>
      </c>
      <c r="AA5" s="1">
        <f t="shared" ref="AA5" si="19">Z5+O5+I5</f>
        <v>21540</v>
      </c>
      <c r="AC5" s="5">
        <v>-9360</v>
      </c>
    </row>
    <row r="6" spans="1:29" x14ac:dyDescent="0.25">
      <c r="E6" s="5" t="s">
        <v>58</v>
      </c>
      <c r="G6" s="5" t="s">
        <v>59</v>
      </c>
      <c r="K6" s="5" t="s">
        <v>60</v>
      </c>
      <c r="M6" s="5" t="s">
        <v>61</v>
      </c>
      <c r="AC6" s="5">
        <v>-28080</v>
      </c>
    </row>
    <row r="7" spans="1:29" x14ac:dyDescent="0.25">
      <c r="E7" s="5">
        <v>430</v>
      </c>
      <c r="F7" s="1">
        <f t="shared" ref="F7:F12" si="20">E7-430</f>
        <v>0</v>
      </c>
      <c r="G7" s="5">
        <v>220</v>
      </c>
      <c r="H7" s="1">
        <f t="shared" ref="H7:H12" si="21">G7-220</f>
        <v>0</v>
      </c>
      <c r="I7" s="1">
        <f t="shared" ref="I7" si="22">(H7+F7)*120</f>
        <v>0</v>
      </c>
      <c r="K7" s="5">
        <v>43</v>
      </c>
      <c r="L7" s="1">
        <f t="shared" ref="L7:L12" si="23">K7-43</f>
        <v>0</v>
      </c>
      <c r="M7" s="5">
        <v>56</v>
      </c>
      <c r="N7" s="1">
        <f t="shared" ref="N7:N12" si="24">M7-56</f>
        <v>0</v>
      </c>
      <c r="O7" s="1">
        <f t="shared" ref="O7" si="25">(N7+L7)*120</f>
        <v>0</v>
      </c>
      <c r="AC7" s="5">
        <v>-18720</v>
      </c>
    </row>
    <row r="8" spans="1:29" x14ac:dyDescent="0.25">
      <c r="A8" s="6">
        <v>42859</v>
      </c>
      <c r="B8" s="5">
        <v>22720</v>
      </c>
      <c r="C8" s="1">
        <f>B8-22323</f>
        <v>397</v>
      </c>
      <c r="D8" s="1">
        <f>C8*100/22323</f>
        <v>1.7784347981902073</v>
      </c>
      <c r="E8" s="5">
        <v>454</v>
      </c>
      <c r="F8" s="1">
        <f t="shared" si="20"/>
        <v>24</v>
      </c>
      <c r="G8" s="5">
        <v>203</v>
      </c>
      <c r="H8" s="1">
        <f t="shared" si="21"/>
        <v>-17</v>
      </c>
      <c r="I8" s="1">
        <f t="shared" ref="I8" si="26">(H8+F8)*120</f>
        <v>840</v>
      </c>
      <c r="K8" s="5">
        <v>54</v>
      </c>
      <c r="L8" s="1">
        <f t="shared" si="23"/>
        <v>11</v>
      </c>
      <c r="M8" s="5">
        <v>44</v>
      </c>
      <c r="N8" s="1">
        <f t="shared" si="24"/>
        <v>-12</v>
      </c>
      <c r="O8" s="1">
        <f t="shared" ref="O8" si="27">(N8+L8)*120</f>
        <v>-120</v>
      </c>
      <c r="S8" s="5">
        <v>9360</v>
      </c>
      <c r="T8" s="1">
        <f>S8-9250</f>
        <v>110</v>
      </c>
      <c r="U8" s="1">
        <f>T8*100/9250</f>
        <v>1.1891891891891893</v>
      </c>
      <c r="V8" s="5">
        <v>76</v>
      </c>
      <c r="W8" s="1">
        <f>79-V8</f>
        <v>3</v>
      </c>
      <c r="X8" s="5">
        <v>50</v>
      </c>
      <c r="Y8" s="1">
        <f t="shared" ref="Y8:Y9" si="28">67-X8</f>
        <v>17</v>
      </c>
      <c r="Z8" s="1">
        <f t="shared" ref="Z8" si="29">(Y8+W8)*675</f>
        <v>13500</v>
      </c>
      <c r="AA8" s="1">
        <f t="shared" ref="AA8" si="30">Z8+O8+I8</f>
        <v>14220</v>
      </c>
      <c r="AC8" s="5">
        <v>45675</v>
      </c>
    </row>
    <row r="9" spans="1:29" x14ac:dyDescent="0.25">
      <c r="A9" s="6">
        <v>42860</v>
      </c>
      <c r="B9" s="5">
        <v>22628</v>
      </c>
      <c r="C9" s="1">
        <f>B9-22323</f>
        <v>305</v>
      </c>
      <c r="D9" s="1">
        <f>C9*100/22323</f>
        <v>1.3663038122116202</v>
      </c>
      <c r="E9" s="5">
        <v>380</v>
      </c>
      <c r="F9" s="1">
        <f t="shared" si="20"/>
        <v>-50</v>
      </c>
      <c r="G9" s="5">
        <v>229</v>
      </c>
      <c r="H9" s="1">
        <f t="shared" si="21"/>
        <v>9</v>
      </c>
      <c r="I9" s="1">
        <f t="shared" ref="I9" si="31">(H9+F9)*120</f>
        <v>-4920</v>
      </c>
      <c r="K9" s="5">
        <v>31</v>
      </c>
      <c r="L9" s="1">
        <f t="shared" si="23"/>
        <v>-12</v>
      </c>
      <c r="M9" s="5">
        <v>63</v>
      </c>
      <c r="N9" s="1">
        <f t="shared" si="24"/>
        <v>7</v>
      </c>
      <c r="O9" s="1">
        <f t="shared" ref="O9" si="32">(N9+L9)*120</f>
        <v>-600</v>
      </c>
      <c r="S9" s="5">
        <v>9291</v>
      </c>
      <c r="T9" s="1">
        <f>S9-9250</f>
        <v>41</v>
      </c>
      <c r="U9" s="1">
        <f>T9*100/9250</f>
        <v>0.44324324324324327</v>
      </c>
      <c r="V9" s="5">
        <v>49</v>
      </c>
      <c r="W9" s="1">
        <f>79-V9</f>
        <v>30</v>
      </c>
      <c r="X9" s="5">
        <v>66</v>
      </c>
      <c r="Y9" s="1">
        <f t="shared" si="28"/>
        <v>1</v>
      </c>
      <c r="Z9" s="1">
        <f t="shared" ref="Z9" si="33">(Y9+W9)*675</f>
        <v>20925</v>
      </c>
      <c r="AA9" s="1">
        <f t="shared" ref="AA9" si="34">Z9+O9+I9</f>
        <v>15405</v>
      </c>
    </row>
    <row r="10" spans="1:29" x14ac:dyDescent="0.25">
      <c r="A10" s="6">
        <v>42864</v>
      </c>
      <c r="B10" s="5">
        <v>22707</v>
      </c>
      <c r="C10" s="1">
        <f>B10-22323</f>
        <v>384</v>
      </c>
      <c r="D10" s="1">
        <f>C10*100/22323</f>
        <v>1.7201988979975811</v>
      </c>
      <c r="E10" s="5">
        <v>423</v>
      </c>
      <c r="F10" s="1">
        <f t="shared" si="20"/>
        <v>-7</v>
      </c>
      <c r="G10" s="5">
        <v>173</v>
      </c>
      <c r="H10" s="1">
        <f t="shared" si="21"/>
        <v>-47</v>
      </c>
      <c r="I10" s="1">
        <f t="shared" ref="I10:I12" si="35">(H10+F10)*120</f>
        <v>-6480</v>
      </c>
      <c r="K10" s="5">
        <v>21</v>
      </c>
      <c r="L10" s="1">
        <f t="shared" si="23"/>
        <v>-22</v>
      </c>
      <c r="M10" s="5">
        <v>17</v>
      </c>
      <c r="N10" s="1">
        <f t="shared" si="24"/>
        <v>-39</v>
      </c>
      <c r="O10" s="1">
        <f t="shared" ref="O10:O12" si="36">(N10+L10)*120</f>
        <v>-7320</v>
      </c>
      <c r="S10" s="5">
        <v>9317</v>
      </c>
      <c r="T10" s="1">
        <f>S10-9250</f>
        <v>67</v>
      </c>
      <c r="U10" s="1">
        <f>T10*100/9250</f>
        <v>0.72432432432432436</v>
      </c>
      <c r="V10" s="5">
        <v>50</v>
      </c>
      <c r="W10" s="1">
        <f>79-V10</f>
        <v>29</v>
      </c>
      <c r="X10" s="5">
        <v>45</v>
      </c>
      <c r="Y10" s="1">
        <f t="shared" ref="Y10" si="37">67-X10</f>
        <v>22</v>
      </c>
      <c r="Z10" s="1">
        <f t="shared" ref="Z10" si="38">(Y10+W10)*675</f>
        <v>34425</v>
      </c>
      <c r="AA10" s="1">
        <f t="shared" ref="AA10" si="39">Z10+O10+I10</f>
        <v>20625</v>
      </c>
    </row>
    <row r="11" spans="1:29" x14ac:dyDescent="0.25">
      <c r="A11" s="6">
        <v>42865</v>
      </c>
      <c r="B11" s="5">
        <v>22848</v>
      </c>
      <c r="C11" s="1">
        <f>B11-22323</f>
        <v>525</v>
      </c>
      <c r="D11" s="1">
        <f>C11*100/22323</f>
        <v>2.3518344308560679</v>
      </c>
      <c r="E11" s="5">
        <v>480</v>
      </c>
      <c r="F11" s="5">
        <f t="shared" si="20"/>
        <v>50</v>
      </c>
      <c r="G11" s="5">
        <v>127</v>
      </c>
      <c r="H11" s="5">
        <f t="shared" si="21"/>
        <v>-93</v>
      </c>
      <c r="I11" s="5">
        <f t="shared" si="35"/>
        <v>-5160</v>
      </c>
      <c r="K11" s="5">
        <v>19</v>
      </c>
      <c r="L11" s="5">
        <f t="shared" si="23"/>
        <v>-24</v>
      </c>
      <c r="M11" s="5">
        <v>1</v>
      </c>
      <c r="N11" s="5">
        <f t="shared" si="24"/>
        <v>-55</v>
      </c>
      <c r="O11" s="5">
        <f t="shared" si="36"/>
        <v>-9480</v>
      </c>
      <c r="S11" s="5">
        <v>9410</v>
      </c>
      <c r="T11" s="1">
        <f>S11-9250</f>
        <v>160</v>
      </c>
      <c r="U11" s="1">
        <f>T11*100/9250</f>
        <v>1.7297297297297298</v>
      </c>
      <c r="V11" s="5">
        <v>81</v>
      </c>
      <c r="W11" s="1">
        <f>79-V11</f>
        <v>-2</v>
      </c>
      <c r="X11" s="5">
        <v>28</v>
      </c>
      <c r="Y11" s="1">
        <f t="shared" ref="Y11:Y12" si="40">67-X11</f>
        <v>39</v>
      </c>
      <c r="Z11" s="1">
        <f t="shared" ref="Z11:Z12" si="41">(Y11+W11)*675</f>
        <v>24975</v>
      </c>
      <c r="AA11" s="1">
        <f t="shared" ref="AA11:AA12" si="42">Z11+O11+I11</f>
        <v>10335</v>
      </c>
    </row>
    <row r="12" spans="1:29" x14ac:dyDescent="0.25">
      <c r="A12" s="6">
        <v>42866</v>
      </c>
      <c r="B12" s="5">
        <v>22818</v>
      </c>
      <c r="C12" s="5">
        <f>B12-22323</f>
        <v>495</v>
      </c>
      <c r="D12" s="5">
        <f>C12*100/22323</f>
        <v>2.2174438919500066</v>
      </c>
      <c r="E12" s="5">
        <v>430</v>
      </c>
      <c r="F12" s="5">
        <f t="shared" si="20"/>
        <v>0</v>
      </c>
      <c r="G12" s="5">
        <v>128</v>
      </c>
      <c r="H12" s="5">
        <f t="shared" si="21"/>
        <v>-92</v>
      </c>
      <c r="I12" s="5">
        <f t="shared" si="35"/>
        <v>-11040</v>
      </c>
      <c r="K12" s="5">
        <v>0</v>
      </c>
      <c r="L12" s="5">
        <f t="shared" si="23"/>
        <v>-43</v>
      </c>
      <c r="M12" s="5">
        <v>0</v>
      </c>
      <c r="N12" s="5">
        <f t="shared" si="24"/>
        <v>-56</v>
      </c>
      <c r="O12" s="7">
        <f t="shared" si="36"/>
        <v>-11880</v>
      </c>
      <c r="S12" s="5">
        <v>9422</v>
      </c>
      <c r="T12" s="5">
        <f>S12-9250</f>
        <v>172</v>
      </c>
      <c r="U12" s="5">
        <f>T12*100/9250</f>
        <v>1.8594594594594596</v>
      </c>
      <c r="V12" s="5">
        <v>87</v>
      </c>
      <c r="W12" s="5">
        <f>79-V12</f>
        <v>-8</v>
      </c>
      <c r="X12" s="5">
        <v>20</v>
      </c>
      <c r="Y12" s="5">
        <f t="shared" si="40"/>
        <v>47</v>
      </c>
      <c r="Z12" s="5">
        <f t="shared" si="41"/>
        <v>26325</v>
      </c>
      <c r="AA12" s="1">
        <f t="shared" si="42"/>
        <v>3405</v>
      </c>
    </row>
    <row r="13" spans="1:29" x14ac:dyDescent="0.25">
      <c r="K13" s="7" t="s">
        <v>62</v>
      </c>
      <c r="M13" s="7" t="s">
        <v>59</v>
      </c>
    </row>
    <row r="14" spans="1:29" x14ac:dyDescent="0.25">
      <c r="K14" s="5">
        <v>40</v>
      </c>
      <c r="L14" s="5">
        <f>K14-40</f>
        <v>0</v>
      </c>
      <c r="M14" s="5">
        <v>38</v>
      </c>
      <c r="N14" s="5">
        <f>M14-38</f>
        <v>0</v>
      </c>
      <c r="O14" s="5">
        <f t="shared" ref="O14" si="43">(N14+L14)*120</f>
        <v>0</v>
      </c>
    </row>
    <row r="15" spans="1:29" x14ac:dyDescent="0.25">
      <c r="A15" s="6">
        <v>42866</v>
      </c>
      <c r="B15" s="5">
        <v>22818</v>
      </c>
      <c r="C15" s="5">
        <f>B15-22323</f>
        <v>495</v>
      </c>
      <c r="D15" s="5">
        <f>C15*100/22323</f>
        <v>2.2174438919500066</v>
      </c>
      <c r="E15" s="5">
        <v>430</v>
      </c>
      <c r="F15" s="5">
        <f>E15-430</f>
        <v>0</v>
      </c>
      <c r="G15" s="5">
        <v>128</v>
      </c>
      <c r="H15" s="5">
        <f>G15-220</f>
        <v>-92</v>
      </c>
      <c r="I15" s="5">
        <f t="shared" ref="I15" si="44">(H15+F15)*120</f>
        <v>-11040</v>
      </c>
      <c r="K15" s="5">
        <v>31</v>
      </c>
      <c r="L15" s="5">
        <f>K15-40</f>
        <v>-9</v>
      </c>
      <c r="M15" s="5">
        <v>45</v>
      </c>
      <c r="N15" s="5">
        <f>M15-38</f>
        <v>7</v>
      </c>
      <c r="O15" s="5">
        <f t="shared" ref="O15" si="45">(N15+L15)*120</f>
        <v>-240</v>
      </c>
      <c r="S15" s="5">
        <v>9422</v>
      </c>
      <c r="T15" s="5">
        <f>S15-9250</f>
        <v>172</v>
      </c>
      <c r="U15" s="5">
        <f>T15*100/9250</f>
        <v>1.8594594594594596</v>
      </c>
      <c r="V15" s="5">
        <v>87</v>
      </c>
      <c r="W15" s="5">
        <f>79-V15</f>
        <v>-8</v>
      </c>
      <c r="X15" s="5">
        <v>20</v>
      </c>
      <c r="Y15" s="5">
        <f t="shared" ref="Y15" si="46">67-X15</f>
        <v>47</v>
      </c>
      <c r="Z15" s="5">
        <f t="shared" ref="Z15" si="47">(Y15+W15)*675</f>
        <v>26325</v>
      </c>
      <c r="AA15" s="1">
        <f t="shared" ref="AA15" si="48">Z15+O15+I15</f>
        <v>15045</v>
      </c>
    </row>
    <row r="16" spans="1:29" x14ac:dyDescent="0.25">
      <c r="A16" s="6">
        <v>42867</v>
      </c>
      <c r="B16" s="5">
        <v>22693</v>
      </c>
      <c r="C16" s="5">
        <f>B16-22323</f>
        <v>370</v>
      </c>
      <c r="D16" s="5">
        <f>C16*100/22323</f>
        <v>1.6574833131747524</v>
      </c>
      <c r="E16" s="5">
        <v>320</v>
      </c>
      <c r="F16" s="5">
        <f>E16-430</f>
        <v>-110</v>
      </c>
      <c r="G16" s="5">
        <v>150</v>
      </c>
      <c r="H16" s="5">
        <f>G16-220</f>
        <v>-70</v>
      </c>
      <c r="I16" s="5">
        <f t="shared" ref="I16" si="49">(H16+F16)*120</f>
        <v>-21600</v>
      </c>
      <c r="K16" s="5">
        <v>10</v>
      </c>
      <c r="L16" s="5">
        <f>K16-40</f>
        <v>-30</v>
      </c>
      <c r="M16" s="5">
        <v>60</v>
      </c>
      <c r="N16" s="5">
        <f>M16-38</f>
        <v>22</v>
      </c>
      <c r="O16" s="5">
        <f t="shared" ref="O16" si="50">(N16+L16)*120</f>
        <v>-960</v>
      </c>
      <c r="S16" s="5">
        <v>9408</v>
      </c>
      <c r="T16" s="5">
        <f>S16-9250</f>
        <v>158</v>
      </c>
      <c r="U16" s="5">
        <f>T16*100/9250</f>
        <v>1.7081081081081082</v>
      </c>
      <c r="V16" s="5">
        <v>74</v>
      </c>
      <c r="W16" s="5">
        <f>79-V16</f>
        <v>5</v>
      </c>
      <c r="X16" s="5">
        <v>20</v>
      </c>
      <c r="Y16" s="5">
        <f t="shared" ref="Y16" si="51">67-X16</f>
        <v>47</v>
      </c>
      <c r="Z16" s="5">
        <f t="shared" ref="Z16" si="52">(Y16+W16)*675</f>
        <v>35100</v>
      </c>
      <c r="AA16" s="1">
        <f t="shared" ref="AA16" si="53">Z16+O16+I16</f>
        <v>12540</v>
      </c>
    </row>
    <row r="17" spans="1:29" x14ac:dyDescent="0.25">
      <c r="A17" s="6">
        <v>42870</v>
      </c>
      <c r="B17" s="5">
        <v>22821</v>
      </c>
      <c r="C17" s="5">
        <f>B17-22323</f>
        <v>498</v>
      </c>
      <c r="D17" s="5">
        <f>C17*100/22323</f>
        <v>2.2308829458406128</v>
      </c>
      <c r="E17" s="5">
        <v>400</v>
      </c>
      <c r="F17" s="5">
        <f>E17-430</f>
        <v>-30</v>
      </c>
      <c r="G17" s="5">
        <v>83</v>
      </c>
      <c r="H17" s="5">
        <f>G17-220</f>
        <v>-137</v>
      </c>
      <c r="I17" s="5">
        <f t="shared" ref="I17" si="54">(H17+F17)*120</f>
        <v>-20040</v>
      </c>
      <c r="K17" s="5">
        <v>16</v>
      </c>
      <c r="L17" s="5">
        <f>K17-40</f>
        <v>-24</v>
      </c>
      <c r="M17" s="5">
        <v>19</v>
      </c>
      <c r="N17" s="5">
        <f>M17-38</f>
        <v>-19</v>
      </c>
      <c r="O17" s="5">
        <f t="shared" ref="O17:O18" si="55">(N17+L17)*120</f>
        <v>-5160</v>
      </c>
      <c r="S17" s="5">
        <v>9446</v>
      </c>
      <c r="T17" s="5">
        <f>S17-9250</f>
        <v>196</v>
      </c>
      <c r="U17" s="5">
        <f>T17*100/9250</f>
        <v>2.118918918918919</v>
      </c>
      <c r="V17" s="5">
        <v>93</v>
      </c>
      <c r="W17" s="5">
        <f>79-V17</f>
        <v>-14</v>
      </c>
      <c r="X17" s="5">
        <v>13</v>
      </c>
      <c r="Y17" s="5">
        <f t="shared" ref="Y17" si="56">67-X17</f>
        <v>54</v>
      </c>
      <c r="Z17" s="5">
        <f t="shared" ref="Z17" si="57">(Y17+W17)*675</f>
        <v>27000</v>
      </c>
      <c r="AA17" s="1">
        <f t="shared" ref="AA17" si="58">Z17+O17+I17</f>
        <v>1800</v>
      </c>
    </row>
    <row r="18" spans="1:29" x14ac:dyDescent="0.25">
      <c r="A18" s="6">
        <v>42871</v>
      </c>
      <c r="B18" s="5">
        <v>22913</v>
      </c>
      <c r="C18" s="5">
        <f>B18-22323</f>
        <v>590</v>
      </c>
      <c r="D18" s="5">
        <f>C18*100/22323</f>
        <v>2.6430139318191999</v>
      </c>
      <c r="E18" s="5">
        <v>470</v>
      </c>
      <c r="F18" s="5">
        <f>E18-430</f>
        <v>40</v>
      </c>
      <c r="G18" s="5">
        <v>53</v>
      </c>
      <c r="H18" s="5">
        <f>G18-220</f>
        <v>-167</v>
      </c>
      <c r="I18" s="5">
        <f t="shared" ref="I18" si="59">(H18+F18)*120</f>
        <v>-15240</v>
      </c>
      <c r="K18" s="5">
        <v>21</v>
      </c>
      <c r="L18" s="5">
        <f>K18-40</f>
        <v>-19</v>
      </c>
      <c r="M18" s="5">
        <v>8</v>
      </c>
      <c r="N18" s="5">
        <f>M18-38</f>
        <v>-30</v>
      </c>
      <c r="O18" s="5">
        <f t="shared" si="55"/>
        <v>-5880</v>
      </c>
      <c r="S18" s="5">
        <v>9508</v>
      </c>
      <c r="T18" s="5">
        <f>S18-9250</f>
        <v>258</v>
      </c>
      <c r="U18" s="5">
        <f>T18*100/9250</f>
        <v>2.7891891891891891</v>
      </c>
      <c r="V18" s="5">
        <v>99</v>
      </c>
      <c r="W18" s="5">
        <f>79-V18</f>
        <v>-20</v>
      </c>
      <c r="X18" s="5">
        <v>12</v>
      </c>
      <c r="Y18" s="5">
        <f t="shared" ref="Y18" si="60">67-X18</f>
        <v>55</v>
      </c>
      <c r="Z18" s="7">
        <f t="shared" ref="Z18" si="61">(Y18+W18)*675</f>
        <v>23625</v>
      </c>
      <c r="AA18" s="1">
        <f t="shared" ref="AA18" si="62">Z18+O18+I18</f>
        <v>2505</v>
      </c>
      <c r="AB18" s="5" t="s">
        <v>4</v>
      </c>
      <c r="AC18" s="7">
        <f>SUM(AC2:AC17)</f>
        <v>9300</v>
      </c>
    </row>
    <row r="19" spans="1:29" x14ac:dyDescent="0.25">
      <c r="V19" s="7" t="s">
        <v>63</v>
      </c>
      <c r="X19" s="7" t="s">
        <v>64</v>
      </c>
    </row>
    <row r="20" spans="1:29" x14ac:dyDescent="0.25">
      <c r="V20" s="5">
        <v>64</v>
      </c>
      <c r="W20" s="5">
        <f>64-V20</f>
        <v>0</v>
      </c>
      <c r="X20" s="5">
        <v>23</v>
      </c>
      <c r="Y20" s="5">
        <f>23-X20</f>
        <v>0</v>
      </c>
    </row>
    <row r="21" spans="1:29" x14ac:dyDescent="0.25">
      <c r="A21" s="6">
        <v>42871</v>
      </c>
      <c r="B21" s="5">
        <v>22934</v>
      </c>
      <c r="C21" s="5">
        <f>B21-22323</f>
        <v>611</v>
      </c>
      <c r="D21" s="5">
        <f>C21*100/22323</f>
        <v>2.7370873090534427</v>
      </c>
      <c r="E21" s="5">
        <v>480</v>
      </c>
      <c r="F21" s="5">
        <f>E21-430</f>
        <v>50</v>
      </c>
      <c r="G21" s="5">
        <v>51</v>
      </c>
      <c r="H21" s="5">
        <f>G21-220</f>
        <v>-169</v>
      </c>
      <c r="I21" s="5">
        <f t="shared" ref="I21" si="63">(H21+F21)*120</f>
        <v>-14280</v>
      </c>
      <c r="K21" s="5">
        <v>26</v>
      </c>
      <c r="L21" s="5">
        <f>K21-40</f>
        <v>-14</v>
      </c>
      <c r="M21" s="5">
        <v>7</v>
      </c>
      <c r="N21" s="5">
        <f>M21-38</f>
        <v>-31</v>
      </c>
      <c r="O21" s="5">
        <f t="shared" ref="O21" si="64">(N21+L21)*120</f>
        <v>-5400</v>
      </c>
      <c r="S21" s="5">
        <v>9510</v>
      </c>
      <c r="T21" s="5">
        <f>S21-9250</f>
        <v>260</v>
      </c>
      <c r="U21" s="5">
        <f>T21*100/9250</f>
        <v>2.810810810810811</v>
      </c>
      <c r="V21" s="5">
        <v>97</v>
      </c>
      <c r="W21" s="5">
        <f>64-V21</f>
        <v>-33</v>
      </c>
      <c r="X21" s="5">
        <v>16</v>
      </c>
      <c r="Y21" s="5">
        <f>23-X21</f>
        <v>7</v>
      </c>
      <c r="Z21" s="5">
        <f t="shared" ref="Z21" si="65">(Y21+W21)*675</f>
        <v>-17550</v>
      </c>
      <c r="AA21" s="1">
        <f t="shared" ref="AA21:AA22" si="66">Z21+O21+I21</f>
        <v>-37230</v>
      </c>
    </row>
    <row r="22" spans="1:29" x14ac:dyDescent="0.25">
      <c r="A22" s="6">
        <v>42872</v>
      </c>
      <c r="B22" s="5">
        <v>22919</v>
      </c>
      <c r="C22" s="5">
        <f>B22-22323</f>
        <v>596</v>
      </c>
      <c r="D22" s="5">
        <f>C22*100/22323</f>
        <v>2.6698920396004122</v>
      </c>
      <c r="E22" s="5">
        <v>455</v>
      </c>
      <c r="F22" s="5">
        <f>E22-430</f>
        <v>25</v>
      </c>
      <c r="G22" s="5">
        <v>50</v>
      </c>
      <c r="H22" s="5">
        <f>G22-220</f>
        <v>-170</v>
      </c>
      <c r="I22" s="5">
        <f t="shared" ref="I22" si="67">(H22+F22)*120</f>
        <v>-17400</v>
      </c>
      <c r="K22" s="5">
        <v>10</v>
      </c>
      <c r="L22" s="5">
        <f>K22-40</f>
        <v>-30</v>
      </c>
      <c r="M22" s="5">
        <v>2</v>
      </c>
      <c r="N22" s="5">
        <f>M22-38</f>
        <v>-36</v>
      </c>
      <c r="O22" s="5">
        <f t="shared" ref="O22" si="68">(N22+L22)*120</f>
        <v>-7920</v>
      </c>
      <c r="S22" s="5">
        <v>9524</v>
      </c>
      <c r="T22" s="5">
        <f>S22-9250</f>
        <v>274</v>
      </c>
      <c r="U22" s="5">
        <f>T22*100/9250</f>
        <v>2.9621621621621621</v>
      </c>
      <c r="V22" s="5">
        <v>107</v>
      </c>
      <c r="W22" s="5">
        <f>64-V22</f>
        <v>-43</v>
      </c>
      <c r="X22" s="5">
        <v>13</v>
      </c>
      <c r="Y22" s="5">
        <f>23-X22</f>
        <v>10</v>
      </c>
      <c r="Z22" s="5">
        <f t="shared" ref="Z22" si="69">(Y22+W22)*675</f>
        <v>-22275</v>
      </c>
      <c r="AA22" s="1">
        <f t="shared" si="66"/>
        <v>-47595</v>
      </c>
    </row>
    <row r="23" spans="1:29" x14ac:dyDescent="0.25">
      <c r="A23" s="6">
        <v>42873</v>
      </c>
      <c r="B23" s="5">
        <v>22698</v>
      </c>
      <c r="C23" s="5">
        <f>B23-22323</f>
        <v>375</v>
      </c>
      <c r="D23" s="5">
        <f>C23*100/22323</f>
        <v>1.6798817363257628</v>
      </c>
      <c r="E23" s="5">
        <v>280</v>
      </c>
      <c r="F23" s="5">
        <f>E23-430</f>
        <v>-150</v>
      </c>
      <c r="G23" s="5">
        <v>106</v>
      </c>
      <c r="H23" s="5">
        <f>G23-220</f>
        <v>-114</v>
      </c>
      <c r="I23" s="5">
        <f t="shared" ref="I23" si="70">(H23+F23)*120</f>
        <v>-31680</v>
      </c>
      <c r="K23" s="5">
        <v>0</v>
      </c>
      <c r="L23" s="5">
        <f>K23-40</f>
        <v>-40</v>
      </c>
      <c r="M23" s="5">
        <v>0</v>
      </c>
      <c r="N23" s="5">
        <f>M23-38</f>
        <v>-38</v>
      </c>
      <c r="O23" s="7">
        <f t="shared" ref="O23" si="71">(N23+L23)*120</f>
        <v>-9360</v>
      </c>
      <c r="S23" s="5">
        <v>9429</v>
      </c>
      <c r="T23" s="5">
        <f>S23-9250</f>
        <v>179</v>
      </c>
      <c r="U23" s="5">
        <f>T23*100/9250</f>
        <v>1.9351351351351351</v>
      </c>
      <c r="V23" s="5">
        <v>49</v>
      </c>
      <c r="W23" s="5">
        <f>64-V23</f>
        <v>15</v>
      </c>
      <c r="X23" s="5">
        <v>31</v>
      </c>
      <c r="Y23" s="5">
        <f>23-X23</f>
        <v>-8</v>
      </c>
      <c r="Z23" s="5">
        <f t="shared" ref="Z23" si="72">(Y23+W23)*675</f>
        <v>4725</v>
      </c>
      <c r="AA23" s="1">
        <f t="shared" ref="AA23" si="73">Z23+O23+I23</f>
        <v>-36315</v>
      </c>
    </row>
    <row r="24" spans="1:29" x14ac:dyDescent="0.25">
      <c r="K24" s="7" t="s">
        <v>60</v>
      </c>
      <c r="M24" s="7" t="s">
        <v>65</v>
      </c>
    </row>
    <row r="25" spans="1:29" x14ac:dyDescent="0.25">
      <c r="A25" s="6">
        <v>42873</v>
      </c>
      <c r="B25" s="5">
        <v>22698</v>
      </c>
      <c r="C25" s="5">
        <f>B25-22323</f>
        <v>375</v>
      </c>
      <c r="D25" s="5">
        <f>C25*100/22323</f>
        <v>1.6798817363257628</v>
      </c>
      <c r="E25" s="5">
        <v>280</v>
      </c>
      <c r="F25" s="5">
        <f>E25-430</f>
        <v>-150</v>
      </c>
      <c r="G25" s="5">
        <v>106</v>
      </c>
      <c r="H25" s="5">
        <f>G25-220</f>
        <v>-114</v>
      </c>
      <c r="I25" s="5">
        <f t="shared" ref="I25:I26" si="74">(H25+F25)*120</f>
        <v>-31680</v>
      </c>
      <c r="K25" s="5">
        <v>46</v>
      </c>
      <c r="L25" s="5">
        <f>K25-46</f>
        <v>0</v>
      </c>
      <c r="M25" s="5">
        <v>75</v>
      </c>
      <c r="N25" s="5">
        <f>M25-75</f>
        <v>0</v>
      </c>
      <c r="O25" s="5">
        <f t="shared" ref="O25" si="75">(N25+L25)*120</f>
        <v>0</v>
      </c>
      <c r="S25" s="5">
        <v>9429</v>
      </c>
      <c r="T25" s="5">
        <f>S25-9250</f>
        <v>179</v>
      </c>
      <c r="U25" s="5">
        <f>T25*100/9250</f>
        <v>1.9351351351351351</v>
      </c>
      <c r="V25" s="5">
        <v>49</v>
      </c>
      <c r="W25" s="5">
        <f>64-V25</f>
        <v>15</v>
      </c>
      <c r="X25" s="5">
        <v>31</v>
      </c>
      <c r="Y25" s="5">
        <f>23-X25</f>
        <v>-8</v>
      </c>
      <c r="Z25" s="5">
        <f t="shared" ref="Z25:Z26" si="76">(Y25+W25)*675</f>
        <v>4725</v>
      </c>
      <c r="AA25" s="1">
        <f t="shared" ref="AA25:AA26" si="77">Z25+O25+I25</f>
        <v>-26955</v>
      </c>
    </row>
    <row r="26" spans="1:29" x14ac:dyDescent="0.25">
      <c r="A26" s="6">
        <v>42874</v>
      </c>
      <c r="B26" s="5">
        <v>22757</v>
      </c>
      <c r="C26" s="5">
        <f>B26-22323</f>
        <v>434</v>
      </c>
      <c r="D26" s="5">
        <f>C26*100/22323</f>
        <v>1.9441831295076826</v>
      </c>
      <c r="E26" s="5">
        <v>351</v>
      </c>
      <c r="F26" s="5">
        <f>E26-430</f>
        <v>-79</v>
      </c>
      <c r="G26" s="5">
        <v>65</v>
      </c>
      <c r="H26" s="5">
        <f>G26-220</f>
        <v>-155</v>
      </c>
      <c r="I26" s="7">
        <f t="shared" si="74"/>
        <v>-28080</v>
      </c>
      <c r="K26" s="5">
        <v>46</v>
      </c>
      <c r="L26" s="5">
        <f>K26-46</f>
        <v>0</v>
      </c>
      <c r="M26" s="5">
        <v>47</v>
      </c>
      <c r="N26" s="5">
        <f>M26-75</f>
        <v>-28</v>
      </c>
      <c r="O26" s="5">
        <f t="shared" ref="O26" si="78">(N26+L26)*120</f>
        <v>-3360</v>
      </c>
      <c r="S26" s="5">
        <v>9420</v>
      </c>
      <c r="T26" s="5">
        <f>S26-9250</f>
        <v>170</v>
      </c>
      <c r="U26" s="5">
        <f>T26*100/9250</f>
        <v>1.8378378378378379</v>
      </c>
      <c r="V26" s="5">
        <v>41</v>
      </c>
      <c r="W26" s="5">
        <f>64-V26</f>
        <v>23</v>
      </c>
      <c r="X26" s="5">
        <v>26</v>
      </c>
      <c r="Y26" s="5">
        <f>23-X26</f>
        <v>-3</v>
      </c>
      <c r="Z26" s="5">
        <f t="shared" si="76"/>
        <v>13500</v>
      </c>
      <c r="AA26" s="5">
        <f t="shared" si="77"/>
        <v>-17940</v>
      </c>
    </row>
    <row r="27" spans="1:29" x14ac:dyDescent="0.25">
      <c r="E27" s="5" t="s">
        <v>54</v>
      </c>
      <c r="G27" s="5" t="s">
        <v>59</v>
      </c>
    </row>
    <row r="28" spans="1:29" x14ac:dyDescent="0.25">
      <c r="E28" s="5">
        <v>274</v>
      </c>
      <c r="F28" s="5">
        <f t="shared" ref="F28:F33" si="79">E28-274</f>
        <v>0</v>
      </c>
      <c r="G28" s="5">
        <v>65</v>
      </c>
      <c r="H28" s="5">
        <f t="shared" ref="H28:H33" si="80">G28-65</f>
        <v>0</v>
      </c>
    </row>
    <row r="29" spans="1:29" x14ac:dyDescent="0.25">
      <c r="A29" s="6">
        <v>42874</v>
      </c>
      <c r="B29" s="5">
        <v>22769</v>
      </c>
      <c r="C29" s="5">
        <f>B29-22323</f>
        <v>446</v>
      </c>
      <c r="D29" s="5">
        <f>C29*100/22323</f>
        <v>1.9979393450701071</v>
      </c>
      <c r="E29" s="5">
        <v>277</v>
      </c>
      <c r="F29" s="5">
        <f t="shared" si="79"/>
        <v>3</v>
      </c>
      <c r="G29" s="5">
        <v>37</v>
      </c>
      <c r="H29" s="5">
        <f t="shared" si="80"/>
        <v>-28</v>
      </c>
      <c r="I29" s="5">
        <f t="shared" ref="I29" si="81">(H29+F29)*120</f>
        <v>-3000</v>
      </c>
      <c r="K29" s="5">
        <v>54</v>
      </c>
      <c r="L29" s="5">
        <f>K29-46</f>
        <v>8</v>
      </c>
      <c r="M29" s="5">
        <v>24</v>
      </c>
      <c r="N29" s="5">
        <f>M29-75</f>
        <v>-51</v>
      </c>
      <c r="O29" s="5">
        <f t="shared" ref="O29" si="82">(N29+L29)*120</f>
        <v>-5160</v>
      </c>
      <c r="S29" s="5">
        <v>9427</v>
      </c>
      <c r="T29" s="5">
        <f>S29-9250</f>
        <v>177</v>
      </c>
      <c r="U29" s="5">
        <f>T29*100/9250</f>
        <v>1.9135135135135135</v>
      </c>
      <c r="V29" s="5">
        <v>47</v>
      </c>
      <c r="W29" s="5">
        <f>64-V29</f>
        <v>17</v>
      </c>
      <c r="X29" s="5">
        <v>17</v>
      </c>
      <c r="Y29" s="5">
        <f>23-X29</f>
        <v>6</v>
      </c>
      <c r="Z29" s="5">
        <f t="shared" ref="Z29" si="83">(Y29+W29)*675</f>
        <v>15525</v>
      </c>
      <c r="AA29" s="5">
        <f t="shared" ref="AA29" si="84">Z29+O29+I29</f>
        <v>7365</v>
      </c>
    </row>
    <row r="30" spans="1:29" x14ac:dyDescent="0.25">
      <c r="A30" s="6">
        <v>42877</v>
      </c>
      <c r="B30" s="5">
        <v>22670</v>
      </c>
      <c r="C30" s="5">
        <f>B30-22323</f>
        <v>347</v>
      </c>
      <c r="D30" s="5">
        <f>C30*100/22323</f>
        <v>1.5544505666801056</v>
      </c>
      <c r="E30" s="5">
        <v>160</v>
      </c>
      <c r="F30" s="5">
        <f t="shared" si="79"/>
        <v>-114</v>
      </c>
      <c r="G30" s="5">
        <v>34</v>
      </c>
      <c r="H30" s="5">
        <f t="shared" si="80"/>
        <v>-31</v>
      </c>
      <c r="I30" s="5">
        <f t="shared" ref="I30" si="85">(H30+F30)*120</f>
        <v>-17400</v>
      </c>
      <c r="K30" s="5">
        <v>21</v>
      </c>
      <c r="L30" s="5">
        <f>K30-46</f>
        <v>-25</v>
      </c>
      <c r="M30" s="5">
        <v>34</v>
      </c>
      <c r="N30" s="5">
        <f>M30-75</f>
        <v>-41</v>
      </c>
      <c r="O30" s="5">
        <f t="shared" ref="O30" si="86">(N30+L30)*120</f>
        <v>-7920</v>
      </c>
      <c r="S30" s="5">
        <v>9439</v>
      </c>
      <c r="T30" s="5">
        <f>S30-9250</f>
        <v>189</v>
      </c>
      <c r="U30" s="5">
        <f>T30*100/9250</f>
        <v>2.0432432432432432</v>
      </c>
      <c r="V30" s="5">
        <v>38</v>
      </c>
      <c r="W30" s="5">
        <f>64-V30</f>
        <v>26</v>
      </c>
      <c r="X30" s="5">
        <v>16</v>
      </c>
      <c r="Y30" s="5">
        <f>23-X30</f>
        <v>7</v>
      </c>
      <c r="Z30" s="5">
        <f t="shared" ref="Z30" si="87">(Y30+W30)*675</f>
        <v>22275</v>
      </c>
      <c r="AA30" s="5">
        <f t="shared" ref="AA30" si="88">Z30+O30+I30</f>
        <v>-3045</v>
      </c>
    </row>
    <row r="31" spans="1:29" x14ac:dyDescent="0.25">
      <c r="A31" s="6">
        <v>42878</v>
      </c>
      <c r="B31" s="5">
        <v>22581</v>
      </c>
      <c r="C31" s="5">
        <f>B31-22323</f>
        <v>258</v>
      </c>
      <c r="D31" s="5">
        <f>C31*100/22323</f>
        <v>1.1557586345921247</v>
      </c>
      <c r="E31" s="5">
        <v>93</v>
      </c>
      <c r="F31" s="5">
        <f t="shared" si="79"/>
        <v>-181</v>
      </c>
      <c r="G31" s="5">
        <v>91</v>
      </c>
      <c r="H31" s="5">
        <f t="shared" si="80"/>
        <v>26</v>
      </c>
      <c r="I31" s="5">
        <f t="shared" ref="I31:I33" si="89">(H31+F31)*120</f>
        <v>-18600</v>
      </c>
      <c r="K31" s="5">
        <v>10</v>
      </c>
      <c r="L31" s="5">
        <f>K31-46</f>
        <v>-36</v>
      </c>
      <c r="M31" s="5">
        <v>63</v>
      </c>
      <c r="N31" s="5">
        <f>M31-75</f>
        <v>-12</v>
      </c>
      <c r="O31" s="5">
        <f t="shared" ref="O31" si="90">(N31+L31)*120</f>
        <v>-5760</v>
      </c>
      <c r="S31" s="5">
        <v>9381</v>
      </c>
      <c r="T31" s="5">
        <f>S31-9250</f>
        <v>131</v>
      </c>
      <c r="U31" s="5">
        <f>T31*100/9250</f>
        <v>1.4162162162162162</v>
      </c>
      <c r="V31" s="5">
        <v>18</v>
      </c>
      <c r="W31" s="5">
        <f>64-V31</f>
        <v>46</v>
      </c>
      <c r="X31" s="5">
        <v>33</v>
      </c>
      <c r="Y31" s="5">
        <f>23-X31</f>
        <v>-10</v>
      </c>
      <c r="Z31" s="5">
        <f t="shared" ref="Z31" si="91">(Y31+W31)*675</f>
        <v>24300</v>
      </c>
      <c r="AA31" s="5">
        <f t="shared" ref="AA31" si="92">Z31+O31+I31</f>
        <v>-60</v>
      </c>
    </row>
    <row r="32" spans="1:29" x14ac:dyDescent="0.25">
      <c r="A32" s="6">
        <v>42879</v>
      </c>
      <c r="B32" s="5">
        <v>22542</v>
      </c>
      <c r="C32" s="5">
        <f>B32-22323</f>
        <v>219</v>
      </c>
      <c r="D32" s="5">
        <f>C32*100/22323</f>
        <v>0.98105093401424537</v>
      </c>
      <c r="E32" s="5">
        <v>45</v>
      </c>
      <c r="F32" s="5">
        <f t="shared" si="79"/>
        <v>-229</v>
      </c>
      <c r="G32" s="5">
        <v>57</v>
      </c>
      <c r="H32" s="5">
        <f t="shared" si="80"/>
        <v>-8</v>
      </c>
      <c r="I32" s="5">
        <f t="shared" si="89"/>
        <v>-28440</v>
      </c>
      <c r="K32" s="5">
        <v>2</v>
      </c>
      <c r="L32" s="5">
        <f>K32-46</f>
        <v>-44</v>
      </c>
      <c r="M32" s="5">
        <v>29</v>
      </c>
      <c r="N32" s="5">
        <f>M32-75</f>
        <v>-46</v>
      </c>
      <c r="O32" s="5">
        <f t="shared" ref="O32:O33" si="93">(N32+L32)*120</f>
        <v>-10800</v>
      </c>
      <c r="S32" s="5">
        <v>9370</v>
      </c>
      <c r="T32" s="5">
        <f>S32-9250</f>
        <v>120</v>
      </c>
      <c r="U32" s="5">
        <f>T32*100/9250</f>
        <v>1.2972972972972974</v>
      </c>
      <c r="V32" s="5">
        <v>5</v>
      </c>
      <c r="W32" s="5">
        <f>64-V32</f>
        <v>59</v>
      </c>
      <c r="X32" s="5">
        <v>20</v>
      </c>
      <c r="Y32" s="5">
        <f>23-X32</f>
        <v>3</v>
      </c>
      <c r="Z32" s="5">
        <f t="shared" ref="Z32:Z33" si="94">(Y32+W32)*675</f>
        <v>41850</v>
      </c>
      <c r="AA32" s="5">
        <f t="shared" ref="AA32:AA33" si="95">Z32+O32+I32</f>
        <v>2610</v>
      </c>
    </row>
    <row r="33" spans="1:27" x14ac:dyDescent="0.25">
      <c r="A33" s="6">
        <v>42880</v>
      </c>
      <c r="B33" s="5">
        <v>22800</v>
      </c>
      <c r="C33" s="5">
        <f>B33-22323</f>
        <v>477</v>
      </c>
      <c r="D33" s="5">
        <f>C33*100/22323</f>
        <v>2.1368095686063699</v>
      </c>
      <c r="E33" s="5">
        <v>183</v>
      </c>
      <c r="F33" s="5">
        <f t="shared" si="79"/>
        <v>-91</v>
      </c>
      <c r="G33" s="5">
        <v>0</v>
      </c>
      <c r="H33" s="5">
        <f t="shared" si="80"/>
        <v>-65</v>
      </c>
      <c r="I33" s="7">
        <f t="shared" si="89"/>
        <v>-18720</v>
      </c>
      <c r="K33" s="5">
        <v>0</v>
      </c>
      <c r="L33" s="5">
        <f>K33-46</f>
        <v>-46</v>
      </c>
      <c r="M33" s="5">
        <v>0</v>
      </c>
      <c r="N33" s="5">
        <f>M33-75</f>
        <v>-75</v>
      </c>
      <c r="O33" s="5">
        <f t="shared" si="93"/>
        <v>-14520</v>
      </c>
      <c r="S33" s="5">
        <v>9423</v>
      </c>
      <c r="T33" s="5">
        <f>S33-9250</f>
        <v>173</v>
      </c>
      <c r="U33" s="5">
        <f>T33*100/9250</f>
        <v>1.8702702702702703</v>
      </c>
      <c r="V33" s="5">
        <v>6</v>
      </c>
      <c r="W33" s="5">
        <f>64-V33</f>
        <v>58</v>
      </c>
      <c r="X33" s="5">
        <v>1</v>
      </c>
      <c r="Y33" s="5">
        <f>23-X33</f>
        <v>22</v>
      </c>
      <c r="Z33" s="5">
        <f t="shared" si="94"/>
        <v>54000</v>
      </c>
      <c r="AA33" s="5">
        <f t="shared" si="95"/>
        <v>20760</v>
      </c>
    </row>
    <row r="34" spans="1:27" x14ac:dyDescent="0.25">
      <c r="E34" s="5" t="s">
        <v>66</v>
      </c>
    </row>
    <row r="35" spans="1:27" x14ac:dyDescent="0.25">
      <c r="E35" s="5">
        <v>100</v>
      </c>
      <c r="F35" s="5">
        <f>E35-100</f>
        <v>0</v>
      </c>
    </row>
    <row r="36" spans="1:27" x14ac:dyDescent="0.25">
      <c r="E36" s="5">
        <v>184</v>
      </c>
      <c r="F36" s="5">
        <f>E36-100</f>
        <v>84</v>
      </c>
      <c r="I36" s="7">
        <f t="shared" ref="I36" si="96">(H36+F36)*120</f>
        <v>10080</v>
      </c>
    </row>
    <row r="37" spans="1:27" x14ac:dyDescent="0.25">
      <c r="E37" s="5" t="s">
        <v>67</v>
      </c>
    </row>
    <row r="38" spans="1:27" x14ac:dyDescent="0.25">
      <c r="E38" s="5">
        <v>91</v>
      </c>
      <c r="F38" s="5">
        <f>E38-91</f>
        <v>0</v>
      </c>
    </row>
    <row r="39" spans="1:27" x14ac:dyDescent="0.25">
      <c r="A39" s="6">
        <v>42880</v>
      </c>
      <c r="B39" s="5">
        <v>23035</v>
      </c>
      <c r="C39" s="5">
        <f>B39-22323</f>
        <v>712</v>
      </c>
      <c r="D39" s="5">
        <f>C39*100/22323</f>
        <v>3.1895354567038479</v>
      </c>
      <c r="E39" s="5">
        <v>170</v>
      </c>
      <c r="F39" s="5">
        <f>E39-91</f>
        <v>79</v>
      </c>
      <c r="I39" s="5">
        <f t="shared" ref="I39" si="97">(H39+F39)*120</f>
        <v>9480</v>
      </c>
      <c r="K39" s="5">
        <v>63</v>
      </c>
      <c r="L39" s="5">
        <f>K39-46</f>
        <v>17</v>
      </c>
      <c r="M39" s="5">
        <v>0</v>
      </c>
      <c r="N39" s="5">
        <f>M39-75</f>
        <v>-75</v>
      </c>
      <c r="O39" s="5">
        <f t="shared" ref="O39" si="98">(N39+L39)*120</f>
        <v>-6960</v>
      </c>
      <c r="S39" s="5">
        <v>9465</v>
      </c>
      <c r="T39" s="5">
        <f>S39-9250</f>
        <v>215</v>
      </c>
      <c r="U39" s="5">
        <f>T39*100/9250</f>
        <v>2.3243243243243241</v>
      </c>
      <c r="V39" s="5">
        <v>15</v>
      </c>
      <c r="W39" s="5">
        <f>64-V39</f>
        <v>49</v>
      </c>
      <c r="Z39" s="5">
        <f t="shared" ref="Z39" si="99">(Y39+W39)*675</f>
        <v>33075</v>
      </c>
      <c r="AA39" s="7">
        <f t="shared" ref="AA39" si="100">Z39+O39+I39</f>
        <v>35595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8576"/>
  <sheetViews>
    <sheetView workbookViewId="0">
      <selection activeCell="X2" activeCellId="1" sqref="V2 X2"/>
    </sheetView>
  </sheetViews>
  <sheetFormatPr defaultRowHeight="15" x14ac:dyDescent="0.25"/>
  <cols>
    <col min="1" max="1" width="7.42578125" style="1" bestFit="1" customWidth="1"/>
    <col min="2" max="2" width="6" style="1" bestFit="1" customWidth="1"/>
    <col min="3" max="3" width="5" style="1" bestFit="1" customWidth="1"/>
    <col min="4" max="4" width="5.28515625" style="1" customWidth="1"/>
    <col min="5" max="5" width="5.5703125" style="1" bestFit="1" customWidth="1"/>
    <col min="6" max="6" width="4.7109375" style="1" bestFit="1" customWidth="1"/>
    <col min="7" max="7" width="5.5703125" style="1" bestFit="1" customWidth="1"/>
    <col min="8" max="8" width="4.7109375" style="1" bestFit="1" customWidth="1"/>
    <col min="9" max="9" width="6.7109375" style="1" bestFit="1" customWidth="1"/>
    <col min="10" max="10" width="9.140625" style="1"/>
    <col min="11" max="11" width="5.5703125" style="1" bestFit="1" customWidth="1"/>
    <col min="12" max="12" width="4.7109375" style="1" bestFit="1" customWidth="1"/>
    <col min="13" max="13" width="5.5703125" style="1" bestFit="1" customWidth="1"/>
    <col min="14" max="14" width="5.7109375" style="1" bestFit="1" customWidth="1"/>
    <col min="15" max="15" width="6.7109375" style="1" bestFit="1" customWidth="1"/>
    <col min="16" max="18" width="9.140625" style="1"/>
    <col min="19" max="19" width="5" style="1" bestFit="1" customWidth="1"/>
    <col min="20" max="20" width="4.28515625" style="1" bestFit="1" customWidth="1"/>
    <col min="21" max="21" width="5.28515625" style="1" customWidth="1"/>
    <col min="22" max="22" width="5.5703125" style="1" bestFit="1" customWidth="1"/>
    <col min="23" max="23" width="4.28515625" style="1" bestFit="1" customWidth="1"/>
    <col min="24" max="24" width="5.5703125" style="1" bestFit="1" customWidth="1"/>
    <col min="25" max="25" width="4.28515625" style="1" bestFit="1" customWidth="1"/>
    <col min="26" max="27" width="6.7109375" style="1" bestFit="1" customWidth="1"/>
    <col min="28" max="28" width="9.140625" style="1"/>
    <col min="29" max="29" width="7.7109375" style="1" bestFit="1" customWidth="1"/>
    <col min="30" max="16384" width="9.140625" style="1"/>
  </cols>
  <sheetData>
    <row r="1" spans="1:29" x14ac:dyDescent="0.25">
      <c r="A1" s="1" t="s">
        <v>0</v>
      </c>
      <c r="B1" s="1" t="s">
        <v>5</v>
      </c>
      <c r="C1" s="1" t="s">
        <v>2</v>
      </c>
      <c r="D1" s="1" t="s">
        <v>6</v>
      </c>
      <c r="E1" s="1" t="s">
        <v>60</v>
      </c>
      <c r="F1" s="1" t="s">
        <v>2</v>
      </c>
      <c r="G1" s="1" t="s">
        <v>68</v>
      </c>
      <c r="H1" s="1" t="s">
        <v>2</v>
      </c>
      <c r="I1" s="1" t="s">
        <v>3</v>
      </c>
      <c r="K1" s="1" t="s">
        <v>69</v>
      </c>
      <c r="L1" s="1" t="s">
        <v>2</v>
      </c>
      <c r="M1" s="1" t="s">
        <v>70</v>
      </c>
      <c r="N1" s="1" t="s">
        <v>2</v>
      </c>
      <c r="O1" s="1" t="s">
        <v>3</v>
      </c>
      <c r="S1" s="1" t="s">
        <v>1</v>
      </c>
      <c r="T1" s="1" t="s">
        <v>2</v>
      </c>
      <c r="U1" s="1" t="s">
        <v>6</v>
      </c>
      <c r="V1" s="1" t="s">
        <v>71</v>
      </c>
      <c r="W1" s="1" t="s">
        <v>2</v>
      </c>
      <c r="X1" s="1" t="s">
        <v>72</v>
      </c>
      <c r="Y1" s="1" t="s">
        <v>2</v>
      </c>
      <c r="Z1" s="1" t="s">
        <v>3</v>
      </c>
      <c r="AA1" s="1" t="s">
        <v>4</v>
      </c>
      <c r="AC1" s="3" t="s">
        <v>19</v>
      </c>
    </row>
    <row r="2" spans="1:29" x14ac:dyDescent="0.25">
      <c r="A2" s="2">
        <v>42881</v>
      </c>
      <c r="B2" s="1">
        <v>23250</v>
      </c>
      <c r="C2" s="1">
        <f t="shared" ref="C2:C7" si="0">B2-23250</f>
        <v>0</v>
      </c>
      <c r="D2" s="1">
        <f t="shared" ref="D2:D7" si="1">C2*100/23250</f>
        <v>0</v>
      </c>
      <c r="E2" s="1">
        <v>422</v>
      </c>
      <c r="F2" s="1">
        <f t="shared" ref="F2:F7" si="2">E2-422</f>
        <v>0</v>
      </c>
      <c r="G2" s="1">
        <v>287</v>
      </c>
      <c r="H2" s="1">
        <f>G2-322</f>
        <v>-35</v>
      </c>
      <c r="I2" s="1">
        <f t="shared" ref="I2" si="3">(H2+F2)*120</f>
        <v>-4200</v>
      </c>
      <c r="K2" s="1">
        <v>38</v>
      </c>
      <c r="L2" s="1">
        <f t="shared" ref="L2:L7" si="4">K2-38</f>
        <v>0</v>
      </c>
      <c r="M2" s="1">
        <v>92</v>
      </c>
      <c r="N2" s="1">
        <f t="shared" ref="N2:N7" si="5">M2-92</f>
        <v>0</v>
      </c>
      <c r="O2" s="1">
        <f t="shared" ref="O2" si="6">(N2+L2)*120</f>
        <v>0</v>
      </c>
      <c r="S2" s="1">
        <v>9546</v>
      </c>
      <c r="T2" s="1">
        <f t="shared" ref="T2:T7" si="7">S2-9546</f>
        <v>0</v>
      </c>
      <c r="U2" s="1">
        <f t="shared" ref="U2:U7" si="8">T2*100/9546</f>
        <v>0</v>
      </c>
      <c r="V2" s="1">
        <v>93</v>
      </c>
      <c r="W2" s="1">
        <f t="shared" ref="W2:W7" si="9">93-V2</f>
        <v>0</v>
      </c>
      <c r="X2" s="1">
        <v>65</v>
      </c>
      <c r="Y2" s="1">
        <f t="shared" ref="Y2:Y7" si="10">65-X2</f>
        <v>0</v>
      </c>
      <c r="Z2" s="1">
        <f t="shared" ref="Z2:Z7" si="11">(Y2+W2)*750</f>
        <v>0</v>
      </c>
      <c r="AA2" s="1">
        <f t="shared" ref="AA2:AA3" si="12">Z2+O2+I2</f>
        <v>-4200</v>
      </c>
      <c r="AC2" s="1">
        <v>-15600</v>
      </c>
    </row>
    <row r="3" spans="1:29" x14ac:dyDescent="0.25">
      <c r="A3" s="2">
        <v>42881</v>
      </c>
      <c r="B3" s="1">
        <v>23307</v>
      </c>
      <c r="C3" s="1">
        <f t="shared" si="0"/>
        <v>57</v>
      </c>
      <c r="D3" s="1">
        <f t="shared" si="1"/>
        <v>0.24516129032258063</v>
      </c>
      <c r="E3" s="1">
        <v>500</v>
      </c>
      <c r="F3" s="1">
        <f t="shared" si="2"/>
        <v>78</v>
      </c>
      <c r="G3" s="1">
        <v>267</v>
      </c>
      <c r="H3" s="1">
        <f t="shared" ref="H3:H14" si="13">G3-322</f>
        <v>-55</v>
      </c>
      <c r="I3" s="1">
        <f t="shared" ref="I3" si="14">(H3+F3)*120</f>
        <v>2760</v>
      </c>
      <c r="K3" s="1">
        <v>41</v>
      </c>
      <c r="L3" s="1">
        <f t="shared" si="4"/>
        <v>3</v>
      </c>
      <c r="M3" s="1">
        <v>46</v>
      </c>
      <c r="N3" s="1">
        <f t="shared" si="5"/>
        <v>-46</v>
      </c>
      <c r="O3" s="1">
        <f t="shared" ref="O3" si="15">(N3+L3)*120</f>
        <v>-5160</v>
      </c>
      <c r="S3" s="1">
        <v>9580</v>
      </c>
      <c r="T3" s="1">
        <f t="shared" si="7"/>
        <v>34</v>
      </c>
      <c r="U3" s="1">
        <f t="shared" si="8"/>
        <v>0.35617012361198408</v>
      </c>
      <c r="V3" s="1">
        <v>117</v>
      </c>
      <c r="W3" s="1">
        <f t="shared" si="9"/>
        <v>-24</v>
      </c>
      <c r="X3" s="1">
        <v>56</v>
      </c>
      <c r="Y3" s="1">
        <f t="shared" si="10"/>
        <v>9</v>
      </c>
      <c r="Z3" s="1">
        <f t="shared" si="11"/>
        <v>-11250</v>
      </c>
      <c r="AA3" s="1">
        <f t="shared" si="12"/>
        <v>-13650</v>
      </c>
      <c r="AC3" s="1">
        <v>2025</v>
      </c>
    </row>
    <row r="4" spans="1:29" x14ac:dyDescent="0.25">
      <c r="A4" s="2">
        <v>42884</v>
      </c>
      <c r="B4" s="1">
        <v>23148</v>
      </c>
      <c r="C4" s="1">
        <f t="shared" si="0"/>
        <v>-102</v>
      </c>
      <c r="D4" s="1">
        <f t="shared" si="1"/>
        <v>-0.43870967741935485</v>
      </c>
      <c r="E4" s="1">
        <v>427</v>
      </c>
      <c r="F4" s="1">
        <f t="shared" si="2"/>
        <v>5</v>
      </c>
      <c r="G4" s="1">
        <v>312</v>
      </c>
      <c r="H4" s="1">
        <f t="shared" si="13"/>
        <v>-10</v>
      </c>
      <c r="I4" s="1">
        <f t="shared" ref="I4" si="16">(H4+F4)*120</f>
        <v>-600</v>
      </c>
      <c r="K4" s="1">
        <v>23</v>
      </c>
      <c r="L4" s="1">
        <f t="shared" si="4"/>
        <v>-15</v>
      </c>
      <c r="M4" s="1">
        <v>47</v>
      </c>
      <c r="N4" s="1">
        <f t="shared" si="5"/>
        <v>-45</v>
      </c>
      <c r="O4" s="1">
        <f t="shared" ref="O4" si="17">(N4+L4)*120</f>
        <v>-7200</v>
      </c>
      <c r="S4" s="1">
        <v>9599</v>
      </c>
      <c r="T4" s="1">
        <f t="shared" si="7"/>
        <v>53</v>
      </c>
      <c r="U4" s="1">
        <f t="shared" si="8"/>
        <v>0.55520636915985755</v>
      </c>
      <c r="V4" s="1">
        <v>147</v>
      </c>
      <c r="W4" s="1">
        <f t="shared" si="9"/>
        <v>-54</v>
      </c>
      <c r="X4" s="1">
        <v>51</v>
      </c>
      <c r="Y4" s="1">
        <f t="shared" si="10"/>
        <v>14</v>
      </c>
      <c r="Z4" s="1">
        <f t="shared" si="11"/>
        <v>-30000</v>
      </c>
      <c r="AA4" s="1">
        <f t="shared" ref="AA4" si="18">Z4+O4+I4</f>
        <v>-37800</v>
      </c>
      <c r="AC4" s="1">
        <v>-11880</v>
      </c>
    </row>
    <row r="5" spans="1:29" x14ac:dyDescent="0.25">
      <c r="A5" s="2">
        <v>42885</v>
      </c>
      <c r="B5" s="1">
        <v>23317</v>
      </c>
      <c r="C5" s="1">
        <f t="shared" si="0"/>
        <v>67</v>
      </c>
      <c r="D5" s="1">
        <f t="shared" si="1"/>
        <v>0.28817204301075267</v>
      </c>
      <c r="E5" s="1">
        <v>500</v>
      </c>
      <c r="F5" s="1">
        <f t="shared" si="2"/>
        <v>78</v>
      </c>
      <c r="G5" s="1">
        <v>262</v>
      </c>
      <c r="H5" s="1">
        <f t="shared" si="13"/>
        <v>-60</v>
      </c>
      <c r="I5" s="1">
        <f t="shared" ref="I5:I7" si="19">(H5+F5)*120</f>
        <v>2160</v>
      </c>
      <c r="K5" s="1">
        <v>34</v>
      </c>
      <c r="L5" s="1">
        <f t="shared" si="4"/>
        <v>-4</v>
      </c>
      <c r="M5" s="1">
        <v>22</v>
      </c>
      <c r="N5" s="1">
        <f t="shared" si="5"/>
        <v>-70</v>
      </c>
      <c r="O5" s="1">
        <f t="shared" ref="O5:O7" si="20">(N5+L5)*120</f>
        <v>-8880</v>
      </c>
      <c r="S5" s="1">
        <v>9626</v>
      </c>
      <c r="T5" s="1">
        <f t="shared" si="7"/>
        <v>80</v>
      </c>
      <c r="U5" s="1">
        <f t="shared" si="8"/>
        <v>0.83804734967525663</v>
      </c>
      <c r="V5" s="1">
        <v>149</v>
      </c>
      <c r="W5" s="1">
        <f t="shared" si="9"/>
        <v>-56</v>
      </c>
      <c r="X5" s="1">
        <v>48</v>
      </c>
      <c r="Y5" s="1">
        <f t="shared" si="10"/>
        <v>17</v>
      </c>
      <c r="Z5" s="1">
        <f t="shared" si="11"/>
        <v>-29250</v>
      </c>
      <c r="AA5" s="1">
        <f t="shared" ref="AA5:AA7" si="21">Z5+O5+I5</f>
        <v>-35970</v>
      </c>
      <c r="AC5" s="1">
        <v>-9840</v>
      </c>
    </row>
    <row r="6" spans="1:29" x14ac:dyDescent="0.25">
      <c r="A6" s="2">
        <v>42886</v>
      </c>
      <c r="B6" s="1">
        <v>23451</v>
      </c>
      <c r="C6" s="1">
        <f t="shared" si="0"/>
        <v>201</v>
      </c>
      <c r="D6" s="1">
        <f t="shared" si="1"/>
        <v>0.86451612903225805</v>
      </c>
      <c r="E6" s="1">
        <v>547</v>
      </c>
      <c r="F6" s="1">
        <f t="shared" si="2"/>
        <v>125</v>
      </c>
      <c r="G6" s="1">
        <v>226</v>
      </c>
      <c r="H6" s="1">
        <f t="shared" si="13"/>
        <v>-96</v>
      </c>
      <c r="I6" s="1">
        <f t="shared" si="19"/>
        <v>3480</v>
      </c>
      <c r="K6" s="1">
        <v>34</v>
      </c>
      <c r="L6" s="1">
        <f t="shared" si="4"/>
        <v>-4</v>
      </c>
      <c r="M6" s="1">
        <v>3</v>
      </c>
      <c r="N6" s="1">
        <f t="shared" si="5"/>
        <v>-89</v>
      </c>
      <c r="O6" s="1">
        <f t="shared" si="20"/>
        <v>-11160</v>
      </c>
      <c r="S6" s="1">
        <v>9626</v>
      </c>
      <c r="T6" s="1">
        <f t="shared" si="7"/>
        <v>80</v>
      </c>
      <c r="U6" s="1">
        <f t="shared" si="8"/>
        <v>0.83804734967525663</v>
      </c>
      <c r="V6" s="1">
        <v>154</v>
      </c>
      <c r="W6" s="1">
        <f t="shared" si="9"/>
        <v>-61</v>
      </c>
      <c r="X6" s="1">
        <v>44</v>
      </c>
      <c r="Y6" s="1">
        <f t="shared" si="10"/>
        <v>21</v>
      </c>
      <c r="Z6" s="1">
        <f t="shared" si="11"/>
        <v>-30000</v>
      </c>
      <c r="AA6" s="1">
        <f t="shared" si="21"/>
        <v>-37680</v>
      </c>
      <c r="AC6" s="1">
        <v>12600</v>
      </c>
    </row>
    <row r="7" spans="1:29" x14ac:dyDescent="0.25">
      <c r="A7" s="2">
        <v>42887</v>
      </c>
      <c r="B7" s="1">
        <v>23310</v>
      </c>
      <c r="C7" s="1">
        <f t="shared" si="0"/>
        <v>60</v>
      </c>
      <c r="D7" s="1">
        <f t="shared" si="1"/>
        <v>0.25806451612903225</v>
      </c>
      <c r="E7" s="1">
        <v>505</v>
      </c>
      <c r="F7" s="1">
        <f t="shared" si="2"/>
        <v>83</v>
      </c>
      <c r="G7" s="1">
        <v>226</v>
      </c>
      <c r="H7" s="1">
        <f t="shared" si="13"/>
        <v>-96</v>
      </c>
      <c r="I7" s="1">
        <f t="shared" si="19"/>
        <v>-1560</v>
      </c>
      <c r="K7" s="1">
        <v>0</v>
      </c>
      <c r="L7" s="1">
        <f t="shared" si="4"/>
        <v>-38</v>
      </c>
      <c r="M7" s="1">
        <v>0</v>
      </c>
      <c r="N7" s="1">
        <f t="shared" si="5"/>
        <v>-92</v>
      </c>
      <c r="O7" s="3">
        <f t="shared" si="20"/>
        <v>-15600</v>
      </c>
      <c r="S7" s="1">
        <v>9616</v>
      </c>
      <c r="T7" s="1">
        <f t="shared" si="7"/>
        <v>70</v>
      </c>
      <c r="U7" s="1">
        <f t="shared" si="8"/>
        <v>0.73329143096584959</v>
      </c>
      <c r="V7" s="1">
        <v>150</v>
      </c>
      <c r="W7" s="1">
        <f t="shared" si="9"/>
        <v>-57</v>
      </c>
      <c r="X7" s="1">
        <v>38</v>
      </c>
      <c r="Y7" s="1">
        <f t="shared" si="10"/>
        <v>27</v>
      </c>
      <c r="Z7" s="1">
        <f t="shared" si="11"/>
        <v>-22500</v>
      </c>
      <c r="AA7" s="1">
        <f t="shared" si="21"/>
        <v>-39660</v>
      </c>
      <c r="AC7" s="1">
        <v>-11040</v>
      </c>
    </row>
    <row r="8" spans="1:29" x14ac:dyDescent="0.25">
      <c r="K8" s="1" t="s">
        <v>73</v>
      </c>
      <c r="M8" s="1" t="s">
        <v>68</v>
      </c>
      <c r="AC8" s="1">
        <v>-24480</v>
      </c>
    </row>
    <row r="9" spans="1:29" x14ac:dyDescent="0.25">
      <c r="A9" s="2">
        <v>42887</v>
      </c>
      <c r="B9" s="1">
        <v>23310</v>
      </c>
      <c r="C9" s="1">
        <f t="shared" ref="C9:C14" si="22">B9-23250</f>
        <v>60</v>
      </c>
      <c r="D9" s="1">
        <f t="shared" ref="D9:D14" si="23">C9*100/23250</f>
        <v>0.25806451612903225</v>
      </c>
      <c r="E9" s="1">
        <v>505</v>
      </c>
      <c r="F9" s="1">
        <f t="shared" ref="F9:F14" si="24">E9-422</f>
        <v>83</v>
      </c>
      <c r="G9" s="1">
        <v>226</v>
      </c>
      <c r="H9" s="1">
        <f t="shared" si="13"/>
        <v>-96</v>
      </c>
      <c r="I9" s="1">
        <f t="shared" ref="I9:I14" si="25">(H9+F9)*120</f>
        <v>-1560</v>
      </c>
      <c r="K9" s="1">
        <v>55</v>
      </c>
      <c r="L9" s="1">
        <f t="shared" ref="L9:L14" si="26">K9-55</f>
        <v>0</v>
      </c>
      <c r="M9" s="1">
        <v>44</v>
      </c>
      <c r="N9" s="1">
        <f t="shared" ref="N9:N14" si="27">M9-44</f>
        <v>0</v>
      </c>
      <c r="O9" s="1">
        <f t="shared" ref="O9" si="28">(N9+L9)*120</f>
        <v>0</v>
      </c>
      <c r="S9" s="1">
        <v>9616</v>
      </c>
      <c r="T9" s="1">
        <f t="shared" ref="T9:T14" si="29">S9-9546</f>
        <v>70</v>
      </c>
      <c r="U9" s="1">
        <f t="shared" ref="U9:U14" si="30">T9*100/9546</f>
        <v>0.73329143096584959</v>
      </c>
      <c r="V9" s="1">
        <v>150</v>
      </c>
      <c r="W9" s="1">
        <f t="shared" ref="W9:W14" si="31">93-V9</f>
        <v>-57</v>
      </c>
      <c r="X9" s="1">
        <v>38</v>
      </c>
      <c r="Y9" s="1">
        <f t="shared" ref="Y9:Y14" si="32">65-X9</f>
        <v>27</v>
      </c>
      <c r="Z9" s="1">
        <f t="shared" ref="Z9:Z14" si="33">Y9*675+W9*750</f>
        <v>-24525</v>
      </c>
      <c r="AA9" s="1">
        <f t="shared" ref="AA9" si="34">Z9+O9+I9</f>
        <v>-26085</v>
      </c>
      <c r="AC9" s="1">
        <v>77220</v>
      </c>
    </row>
    <row r="10" spans="1:29" x14ac:dyDescent="0.25">
      <c r="A10" s="2">
        <v>42888</v>
      </c>
      <c r="B10" s="1">
        <v>23344</v>
      </c>
      <c r="C10" s="1">
        <f t="shared" si="22"/>
        <v>94</v>
      </c>
      <c r="D10" s="1">
        <f t="shared" si="23"/>
        <v>0.4043010752688172</v>
      </c>
      <c r="E10" s="1">
        <v>525</v>
      </c>
      <c r="F10" s="1">
        <f t="shared" si="24"/>
        <v>103</v>
      </c>
      <c r="G10" s="1">
        <v>199</v>
      </c>
      <c r="H10" s="1">
        <f t="shared" si="13"/>
        <v>-123</v>
      </c>
      <c r="I10" s="1">
        <f t="shared" si="25"/>
        <v>-2400</v>
      </c>
      <c r="K10" s="1">
        <v>51</v>
      </c>
      <c r="L10" s="1">
        <f t="shared" si="26"/>
        <v>-4</v>
      </c>
      <c r="M10" s="1">
        <v>25</v>
      </c>
      <c r="N10" s="1">
        <f t="shared" si="27"/>
        <v>-19</v>
      </c>
      <c r="O10" s="1">
        <f t="shared" ref="O10" si="35">(N10+L10)*120</f>
        <v>-2760</v>
      </c>
      <c r="S10" s="1">
        <v>9639</v>
      </c>
      <c r="T10" s="1">
        <f t="shared" si="29"/>
        <v>93</v>
      </c>
      <c r="U10" s="1">
        <f t="shared" si="30"/>
        <v>0.97423004399748581</v>
      </c>
      <c r="V10" s="1">
        <v>155</v>
      </c>
      <c r="W10" s="1">
        <f t="shared" si="31"/>
        <v>-62</v>
      </c>
      <c r="X10" s="1">
        <v>32</v>
      </c>
      <c r="Y10" s="1">
        <f t="shared" si="32"/>
        <v>33</v>
      </c>
      <c r="Z10" s="1">
        <f t="shared" si="33"/>
        <v>-24225</v>
      </c>
      <c r="AA10" s="1">
        <f t="shared" ref="AA10" si="36">Z10+O10+I10</f>
        <v>-29385</v>
      </c>
    </row>
    <row r="11" spans="1:29" x14ac:dyDescent="0.25">
      <c r="A11" s="2">
        <v>42891</v>
      </c>
      <c r="B11" s="1">
        <v>23475</v>
      </c>
      <c r="C11" s="1">
        <f t="shared" si="22"/>
        <v>225</v>
      </c>
      <c r="D11" s="1">
        <f t="shared" si="23"/>
        <v>0.967741935483871</v>
      </c>
      <c r="E11" s="1">
        <v>572</v>
      </c>
      <c r="F11" s="1">
        <f t="shared" si="24"/>
        <v>150</v>
      </c>
      <c r="G11" s="1">
        <v>157</v>
      </c>
      <c r="H11" s="1">
        <f t="shared" si="13"/>
        <v>-165</v>
      </c>
      <c r="I11" s="1">
        <f t="shared" si="25"/>
        <v>-1800</v>
      </c>
      <c r="K11" s="1">
        <v>57</v>
      </c>
      <c r="L11" s="1">
        <f t="shared" si="26"/>
        <v>2</v>
      </c>
      <c r="M11" s="1">
        <v>15</v>
      </c>
      <c r="N11" s="1">
        <f t="shared" si="27"/>
        <v>-29</v>
      </c>
      <c r="O11" s="1">
        <f t="shared" ref="O11" si="37">(N11+L11)*120</f>
        <v>-3240</v>
      </c>
      <c r="S11" s="1">
        <v>9676</v>
      </c>
      <c r="T11" s="1">
        <f t="shared" si="29"/>
        <v>130</v>
      </c>
      <c r="U11" s="1">
        <f t="shared" si="30"/>
        <v>1.361826943222292</v>
      </c>
      <c r="V11" s="1">
        <v>179</v>
      </c>
      <c r="W11" s="1">
        <f t="shared" si="31"/>
        <v>-86</v>
      </c>
      <c r="X11" s="1">
        <v>25</v>
      </c>
      <c r="Y11" s="1">
        <f t="shared" si="32"/>
        <v>40</v>
      </c>
      <c r="Z11" s="1">
        <f t="shared" si="33"/>
        <v>-37500</v>
      </c>
      <c r="AA11" s="1">
        <f t="shared" ref="AA11" si="38">Z11+O11+I11</f>
        <v>-42540</v>
      </c>
    </row>
    <row r="12" spans="1:29" x14ac:dyDescent="0.25">
      <c r="A12" s="2">
        <v>42892</v>
      </c>
      <c r="B12" s="1">
        <v>23419</v>
      </c>
      <c r="C12" s="1">
        <f t="shared" si="22"/>
        <v>169</v>
      </c>
      <c r="D12" s="1">
        <f t="shared" si="23"/>
        <v>0.72688172043010757</v>
      </c>
      <c r="E12" s="1">
        <v>573</v>
      </c>
      <c r="F12" s="1">
        <f t="shared" si="24"/>
        <v>151</v>
      </c>
      <c r="G12" s="1">
        <v>141</v>
      </c>
      <c r="H12" s="1">
        <f t="shared" si="13"/>
        <v>-181</v>
      </c>
      <c r="I12" s="1">
        <f t="shared" si="25"/>
        <v>-3600</v>
      </c>
      <c r="K12" s="1">
        <v>51</v>
      </c>
      <c r="L12" s="1">
        <f t="shared" si="26"/>
        <v>-4</v>
      </c>
      <c r="M12" s="1">
        <v>15</v>
      </c>
      <c r="N12" s="1">
        <f t="shared" si="27"/>
        <v>-29</v>
      </c>
      <c r="O12" s="1">
        <f t="shared" ref="O12:O14" si="39">(N12+L12)*120</f>
        <v>-3960</v>
      </c>
      <c r="S12" s="1">
        <v>9638</v>
      </c>
      <c r="T12" s="1">
        <f t="shared" si="29"/>
        <v>92</v>
      </c>
      <c r="U12" s="1">
        <f t="shared" si="30"/>
        <v>0.9637544521265452</v>
      </c>
      <c r="V12" s="1">
        <v>165</v>
      </c>
      <c r="W12" s="1">
        <f t="shared" si="31"/>
        <v>-72</v>
      </c>
      <c r="X12" s="1">
        <v>26</v>
      </c>
      <c r="Y12" s="1">
        <f t="shared" si="32"/>
        <v>39</v>
      </c>
      <c r="Z12" s="1">
        <f t="shared" si="33"/>
        <v>-27675</v>
      </c>
      <c r="AA12" s="1">
        <f t="shared" ref="AA12:AA14" si="40">Z12+O12+I12</f>
        <v>-35235</v>
      </c>
    </row>
    <row r="13" spans="1:29" x14ac:dyDescent="0.25">
      <c r="A13" s="2">
        <v>42893</v>
      </c>
      <c r="B13" s="1">
        <v>23567</v>
      </c>
      <c r="C13" s="1">
        <f t="shared" si="22"/>
        <v>317</v>
      </c>
      <c r="D13" s="1">
        <f t="shared" si="23"/>
        <v>1.3634408602150538</v>
      </c>
      <c r="E13" s="1">
        <v>695</v>
      </c>
      <c r="F13" s="1">
        <f t="shared" si="24"/>
        <v>273</v>
      </c>
      <c r="G13" s="1">
        <v>93</v>
      </c>
      <c r="H13" s="1">
        <f t="shared" si="13"/>
        <v>-229</v>
      </c>
      <c r="I13" s="1">
        <f t="shared" si="25"/>
        <v>5280</v>
      </c>
      <c r="K13" s="1">
        <v>80</v>
      </c>
      <c r="L13" s="1">
        <f t="shared" si="26"/>
        <v>25</v>
      </c>
      <c r="M13" s="1">
        <v>1</v>
      </c>
      <c r="N13" s="1">
        <f t="shared" si="27"/>
        <v>-43</v>
      </c>
      <c r="O13" s="1">
        <f t="shared" si="39"/>
        <v>-2160</v>
      </c>
      <c r="S13" s="1">
        <v>9664</v>
      </c>
      <c r="T13" s="1">
        <f t="shared" si="29"/>
        <v>118</v>
      </c>
      <c r="U13" s="1">
        <f t="shared" si="30"/>
        <v>1.2361198407710035</v>
      </c>
      <c r="V13" s="1">
        <v>175</v>
      </c>
      <c r="W13" s="1">
        <f t="shared" si="31"/>
        <v>-82</v>
      </c>
      <c r="X13" s="1">
        <v>22</v>
      </c>
      <c r="Y13" s="1">
        <f t="shared" si="32"/>
        <v>43</v>
      </c>
      <c r="Z13" s="1">
        <f t="shared" si="33"/>
        <v>-32475</v>
      </c>
      <c r="AA13" s="1">
        <f t="shared" si="40"/>
        <v>-29355</v>
      </c>
    </row>
    <row r="14" spans="1:29" x14ac:dyDescent="0.25">
      <c r="A14" s="2">
        <v>42894</v>
      </c>
      <c r="B14" s="1">
        <v>23518</v>
      </c>
      <c r="C14" s="1">
        <f t="shared" si="22"/>
        <v>268</v>
      </c>
      <c r="D14" s="1">
        <f t="shared" si="23"/>
        <v>1.1526881720430107</v>
      </c>
      <c r="E14" s="1">
        <v>626</v>
      </c>
      <c r="F14" s="1">
        <f t="shared" si="24"/>
        <v>204</v>
      </c>
      <c r="G14" s="1">
        <v>98</v>
      </c>
      <c r="H14" s="1">
        <f t="shared" si="13"/>
        <v>-224</v>
      </c>
      <c r="I14" s="1">
        <f t="shared" si="25"/>
        <v>-2400</v>
      </c>
      <c r="K14" s="1">
        <v>0</v>
      </c>
      <c r="L14" s="1">
        <f t="shared" si="26"/>
        <v>-55</v>
      </c>
      <c r="M14" s="1">
        <v>0</v>
      </c>
      <c r="N14" s="1">
        <f t="shared" si="27"/>
        <v>-44</v>
      </c>
      <c r="O14" s="3">
        <f t="shared" si="39"/>
        <v>-11880</v>
      </c>
      <c r="S14" s="1">
        <v>9642</v>
      </c>
      <c r="T14" s="1">
        <f t="shared" si="29"/>
        <v>96</v>
      </c>
      <c r="U14" s="1">
        <f t="shared" si="30"/>
        <v>1.005656819610308</v>
      </c>
      <c r="V14" s="1">
        <v>164</v>
      </c>
      <c r="W14" s="1">
        <f t="shared" si="31"/>
        <v>-71</v>
      </c>
      <c r="X14" s="1">
        <v>24</v>
      </c>
      <c r="Y14" s="1">
        <f t="shared" si="32"/>
        <v>41</v>
      </c>
      <c r="Z14" s="1">
        <f t="shared" si="33"/>
        <v>-25575</v>
      </c>
      <c r="AA14" s="1">
        <f t="shared" si="40"/>
        <v>-39855</v>
      </c>
      <c r="AC14" s="3">
        <f>SUM(AC2:AC13)</f>
        <v>19005</v>
      </c>
    </row>
    <row r="15" spans="1:29" x14ac:dyDescent="0.25">
      <c r="K15" s="1" t="s">
        <v>74</v>
      </c>
      <c r="M15" s="1" t="s">
        <v>75</v>
      </c>
    </row>
    <row r="16" spans="1:29" x14ac:dyDescent="0.25">
      <c r="K16" s="1">
        <v>34</v>
      </c>
      <c r="L16" s="1">
        <f t="shared" ref="L16:L22" si="41">K16-34</f>
        <v>0</v>
      </c>
      <c r="M16" s="1">
        <v>48</v>
      </c>
      <c r="N16" s="1">
        <f t="shared" ref="N16:N22" si="42">M16-48</f>
        <v>0</v>
      </c>
      <c r="O16" s="1">
        <f t="shared" ref="O16" si="43">(N16+L16)*120</f>
        <v>0</v>
      </c>
    </row>
    <row r="17" spans="1:27" x14ac:dyDescent="0.25">
      <c r="A17" s="2">
        <v>42894</v>
      </c>
      <c r="B17" s="1">
        <v>23518</v>
      </c>
      <c r="C17" s="1">
        <f t="shared" ref="C17:C22" si="44">B17-23250</f>
        <v>268</v>
      </c>
      <c r="D17" s="1">
        <f t="shared" ref="D17:D22" si="45">C17*100/23250</f>
        <v>1.1526881720430107</v>
      </c>
      <c r="E17" s="1">
        <v>626</v>
      </c>
      <c r="F17" s="1">
        <f t="shared" ref="F17:F22" si="46">E17-422</f>
        <v>204</v>
      </c>
      <c r="G17" s="1">
        <v>98</v>
      </c>
      <c r="H17" s="1">
        <f t="shared" ref="H17:H28" si="47">G17-322</f>
        <v>-224</v>
      </c>
      <c r="I17" s="1">
        <f t="shared" ref="I17" si="48">(H17+F17)*120</f>
        <v>-2400</v>
      </c>
      <c r="K17" s="1">
        <v>26</v>
      </c>
      <c r="L17" s="1">
        <f t="shared" si="41"/>
        <v>-8</v>
      </c>
      <c r="M17" s="1">
        <v>50</v>
      </c>
      <c r="N17" s="1">
        <f t="shared" si="42"/>
        <v>2</v>
      </c>
      <c r="O17" s="1">
        <f t="shared" ref="O17" si="49">(N17+L17)*120</f>
        <v>-720</v>
      </c>
      <c r="S17" s="1">
        <v>9642</v>
      </c>
      <c r="T17" s="1">
        <f t="shared" ref="T17:T22" si="50">S17-9546</f>
        <v>96</v>
      </c>
      <c r="U17" s="1">
        <f t="shared" ref="U17:U22" si="51">T17*100/9546</f>
        <v>1.005656819610308</v>
      </c>
      <c r="V17" s="1">
        <v>164</v>
      </c>
      <c r="W17" s="1">
        <f t="shared" ref="W17:W22" si="52">93-V17</f>
        <v>-71</v>
      </c>
      <c r="X17" s="1">
        <v>24</v>
      </c>
      <c r="Y17" s="1">
        <f t="shared" ref="Y17:Y22" si="53">65-X17</f>
        <v>41</v>
      </c>
      <c r="Z17" s="1">
        <f t="shared" ref="Z17:Z22" si="54">Y17*675+W17*750</f>
        <v>-25575</v>
      </c>
      <c r="AA17" s="1">
        <f t="shared" ref="AA17" si="55">Z17+O17+I17</f>
        <v>-28695</v>
      </c>
    </row>
    <row r="18" spans="1:27" x14ac:dyDescent="0.25">
      <c r="A18" s="2">
        <v>42895</v>
      </c>
      <c r="B18" s="1">
        <v>23687</v>
      </c>
      <c r="C18" s="1">
        <f t="shared" si="44"/>
        <v>437</v>
      </c>
      <c r="D18" s="1">
        <f t="shared" si="45"/>
        <v>1.8795698924731183</v>
      </c>
      <c r="E18" s="1">
        <v>712</v>
      </c>
      <c r="F18" s="1">
        <f t="shared" si="46"/>
        <v>290</v>
      </c>
      <c r="G18" s="1">
        <v>74</v>
      </c>
      <c r="H18" s="1">
        <f t="shared" si="47"/>
        <v>-248</v>
      </c>
      <c r="I18" s="1">
        <f t="shared" ref="I18" si="56">(H18+F18)*120</f>
        <v>5040</v>
      </c>
      <c r="K18" s="1">
        <v>36</v>
      </c>
      <c r="L18" s="1">
        <f t="shared" si="41"/>
        <v>2</v>
      </c>
      <c r="M18" s="1">
        <v>22</v>
      </c>
      <c r="N18" s="1">
        <f t="shared" si="42"/>
        <v>-26</v>
      </c>
      <c r="O18" s="1">
        <f t="shared" ref="O18" si="57">(N18+L18)*120</f>
        <v>-2880</v>
      </c>
      <c r="S18" s="1">
        <v>9670</v>
      </c>
      <c r="T18" s="1">
        <f t="shared" si="50"/>
        <v>124</v>
      </c>
      <c r="U18" s="1">
        <f t="shared" si="51"/>
        <v>1.2989733919966477</v>
      </c>
      <c r="V18" s="1">
        <v>168</v>
      </c>
      <c r="W18" s="1">
        <f t="shared" si="52"/>
        <v>-75</v>
      </c>
      <c r="X18" s="1">
        <v>19</v>
      </c>
      <c r="Y18" s="1">
        <f t="shared" si="53"/>
        <v>46</v>
      </c>
      <c r="Z18" s="1">
        <f t="shared" si="54"/>
        <v>-25200</v>
      </c>
      <c r="AA18" s="1">
        <f t="shared" ref="AA18" si="58">Z18+O18+I18</f>
        <v>-23040</v>
      </c>
    </row>
    <row r="19" spans="1:27" x14ac:dyDescent="0.25">
      <c r="A19" s="2">
        <v>42898</v>
      </c>
      <c r="B19" s="1">
        <v>23466</v>
      </c>
      <c r="C19" s="1">
        <f t="shared" si="44"/>
        <v>216</v>
      </c>
      <c r="D19" s="1">
        <f t="shared" si="45"/>
        <v>0.92903225806451617</v>
      </c>
      <c r="E19" s="1">
        <v>568</v>
      </c>
      <c r="F19" s="1">
        <f t="shared" si="46"/>
        <v>146</v>
      </c>
      <c r="G19" s="1">
        <v>114</v>
      </c>
      <c r="H19" s="1">
        <f t="shared" si="47"/>
        <v>-208</v>
      </c>
      <c r="I19" s="1">
        <f t="shared" ref="I19" si="59">(H19+F19)*120</f>
        <v>-7440</v>
      </c>
      <c r="K19" s="1">
        <v>12</v>
      </c>
      <c r="L19" s="1">
        <f t="shared" si="41"/>
        <v>-22</v>
      </c>
      <c r="M19" s="1">
        <v>43</v>
      </c>
      <c r="N19" s="1">
        <f t="shared" si="42"/>
        <v>-5</v>
      </c>
      <c r="O19" s="1">
        <f t="shared" ref="O19:O22" si="60">(N19+L19)*120</f>
        <v>-3240</v>
      </c>
      <c r="S19" s="1">
        <v>9617</v>
      </c>
      <c r="T19" s="1">
        <f t="shared" si="50"/>
        <v>71</v>
      </c>
      <c r="U19" s="1">
        <f t="shared" si="51"/>
        <v>0.7437670228367903</v>
      </c>
      <c r="V19" s="1">
        <v>124</v>
      </c>
      <c r="W19" s="1">
        <f t="shared" si="52"/>
        <v>-31</v>
      </c>
      <c r="X19" s="1">
        <v>26</v>
      </c>
      <c r="Y19" s="1">
        <f t="shared" si="53"/>
        <v>39</v>
      </c>
      <c r="Z19" s="1">
        <f t="shared" si="54"/>
        <v>3075</v>
      </c>
      <c r="AA19" s="1">
        <f t="shared" ref="AA19" si="61">Z19+O19+I19</f>
        <v>-7605</v>
      </c>
    </row>
    <row r="20" spans="1:27" x14ac:dyDescent="0.25">
      <c r="A20" s="2">
        <v>42899</v>
      </c>
      <c r="B20" s="1">
        <v>23452</v>
      </c>
      <c r="C20" s="1">
        <f t="shared" si="44"/>
        <v>202</v>
      </c>
      <c r="D20" s="1">
        <f t="shared" si="45"/>
        <v>0.86881720430107523</v>
      </c>
      <c r="E20" s="1">
        <v>539</v>
      </c>
      <c r="F20" s="1">
        <f t="shared" si="46"/>
        <v>117</v>
      </c>
      <c r="G20" s="1">
        <v>109</v>
      </c>
      <c r="H20" s="1">
        <f t="shared" si="47"/>
        <v>-213</v>
      </c>
      <c r="I20" s="1">
        <f t="shared" ref="I20:I22" si="62">(H20+F20)*120</f>
        <v>-11520</v>
      </c>
      <c r="K20" s="1">
        <v>6</v>
      </c>
      <c r="L20" s="1">
        <f t="shared" si="41"/>
        <v>-28</v>
      </c>
      <c r="M20" s="1">
        <v>38</v>
      </c>
      <c r="N20" s="1">
        <f t="shared" si="42"/>
        <v>-10</v>
      </c>
      <c r="O20" s="1">
        <f t="shared" si="60"/>
        <v>-4560</v>
      </c>
      <c r="S20" s="1">
        <v>9599</v>
      </c>
      <c r="T20" s="1">
        <f t="shared" si="50"/>
        <v>53</v>
      </c>
      <c r="U20" s="1">
        <f t="shared" si="51"/>
        <v>0.55520636915985755</v>
      </c>
      <c r="V20" s="1">
        <v>115</v>
      </c>
      <c r="W20" s="1">
        <f t="shared" si="52"/>
        <v>-22</v>
      </c>
      <c r="X20" s="1">
        <v>25</v>
      </c>
      <c r="Y20" s="1">
        <f t="shared" si="53"/>
        <v>40</v>
      </c>
      <c r="Z20" s="1">
        <f t="shared" si="54"/>
        <v>10500</v>
      </c>
      <c r="AA20" s="1">
        <f t="shared" ref="AA20:AA22" si="63">Z20+O20+I20</f>
        <v>-5580</v>
      </c>
    </row>
    <row r="21" spans="1:27" x14ac:dyDescent="0.25">
      <c r="A21" s="2">
        <v>42900</v>
      </c>
      <c r="B21" s="1">
        <v>23498</v>
      </c>
      <c r="C21" s="1">
        <f t="shared" si="44"/>
        <v>248</v>
      </c>
      <c r="D21" s="1">
        <f t="shared" si="45"/>
        <v>1.0666666666666667</v>
      </c>
      <c r="E21" s="1">
        <v>575</v>
      </c>
      <c r="F21" s="1">
        <f t="shared" si="46"/>
        <v>153</v>
      </c>
      <c r="G21" s="1">
        <v>87</v>
      </c>
      <c r="H21" s="1">
        <f t="shared" si="47"/>
        <v>-235</v>
      </c>
      <c r="I21" s="1">
        <f t="shared" si="62"/>
        <v>-9840</v>
      </c>
      <c r="K21" s="1">
        <v>3</v>
      </c>
      <c r="L21" s="1">
        <f t="shared" si="41"/>
        <v>-31</v>
      </c>
      <c r="M21" s="1">
        <v>20</v>
      </c>
      <c r="N21" s="1">
        <f t="shared" si="42"/>
        <v>-28</v>
      </c>
      <c r="O21" s="1">
        <f t="shared" si="60"/>
        <v>-7080</v>
      </c>
      <c r="S21" s="1">
        <v>9618</v>
      </c>
      <c r="T21" s="1">
        <f t="shared" si="50"/>
        <v>72</v>
      </c>
      <c r="U21" s="1">
        <f t="shared" si="51"/>
        <v>0.75424261470773102</v>
      </c>
      <c r="V21" s="1">
        <v>129</v>
      </c>
      <c r="W21" s="1">
        <f t="shared" si="52"/>
        <v>-36</v>
      </c>
      <c r="X21" s="1">
        <v>19</v>
      </c>
      <c r="Y21" s="1">
        <f t="shared" si="53"/>
        <v>46</v>
      </c>
      <c r="Z21" s="1">
        <f t="shared" si="54"/>
        <v>4050</v>
      </c>
      <c r="AA21" s="1">
        <f t="shared" si="63"/>
        <v>-12870</v>
      </c>
    </row>
    <row r="22" spans="1:27" x14ac:dyDescent="0.25">
      <c r="A22" s="2">
        <v>42901</v>
      </c>
      <c r="B22" s="1">
        <v>23386</v>
      </c>
      <c r="C22" s="1">
        <f t="shared" si="44"/>
        <v>136</v>
      </c>
      <c r="D22" s="1">
        <f t="shared" si="45"/>
        <v>0.5849462365591398</v>
      </c>
      <c r="E22" s="1">
        <v>480</v>
      </c>
      <c r="F22" s="1">
        <f t="shared" si="46"/>
        <v>58</v>
      </c>
      <c r="G22" s="1">
        <v>86</v>
      </c>
      <c r="H22" s="1">
        <f t="shared" si="47"/>
        <v>-236</v>
      </c>
      <c r="I22" s="1">
        <f t="shared" si="62"/>
        <v>-21360</v>
      </c>
      <c r="K22" s="1">
        <v>0</v>
      </c>
      <c r="L22" s="1">
        <f t="shared" si="41"/>
        <v>-34</v>
      </c>
      <c r="M22" s="1">
        <v>0</v>
      </c>
      <c r="N22" s="1">
        <f t="shared" si="42"/>
        <v>-48</v>
      </c>
      <c r="O22" s="3">
        <f t="shared" si="60"/>
        <v>-9840</v>
      </c>
      <c r="S22" s="1">
        <v>9574</v>
      </c>
      <c r="T22" s="1">
        <f t="shared" si="50"/>
        <v>28</v>
      </c>
      <c r="U22" s="1">
        <f t="shared" si="51"/>
        <v>0.29331657238633985</v>
      </c>
      <c r="V22" s="1">
        <v>101</v>
      </c>
      <c r="W22" s="1">
        <f t="shared" si="52"/>
        <v>-8</v>
      </c>
      <c r="X22" s="1">
        <v>22</v>
      </c>
      <c r="Y22" s="1">
        <f t="shared" si="53"/>
        <v>43</v>
      </c>
      <c r="Z22" s="1">
        <f t="shared" si="54"/>
        <v>23025</v>
      </c>
      <c r="AA22" s="1">
        <f t="shared" si="63"/>
        <v>-8175</v>
      </c>
    </row>
    <row r="23" spans="1:27" x14ac:dyDescent="0.25">
      <c r="K23" s="1" t="s">
        <v>76</v>
      </c>
      <c r="M23" s="1" t="s">
        <v>77</v>
      </c>
    </row>
    <row r="24" spans="1:27" x14ac:dyDescent="0.25">
      <c r="A24" s="2">
        <v>42901</v>
      </c>
      <c r="B24" s="1">
        <v>23386</v>
      </c>
      <c r="C24" s="1">
        <f>B24-23250</f>
        <v>136</v>
      </c>
      <c r="D24" s="1">
        <f>C24*100/23250</f>
        <v>0.5849462365591398</v>
      </c>
      <c r="E24" s="1">
        <v>480</v>
      </c>
      <c r="F24" s="1">
        <f>E24-422</f>
        <v>58</v>
      </c>
      <c r="G24" s="1">
        <v>86</v>
      </c>
      <c r="H24" s="1">
        <f t="shared" si="47"/>
        <v>-236</v>
      </c>
      <c r="I24" s="1">
        <f t="shared" ref="I24:I28" si="64">(H24+F24)*120</f>
        <v>-21360</v>
      </c>
      <c r="K24" s="1">
        <v>35</v>
      </c>
      <c r="L24" s="1">
        <f>K24-35</f>
        <v>0</v>
      </c>
      <c r="M24" s="1">
        <v>35</v>
      </c>
      <c r="N24" s="1">
        <f>M24-35</f>
        <v>0</v>
      </c>
      <c r="S24" s="1">
        <v>9574</v>
      </c>
      <c r="T24" s="1">
        <f>S24-9546</f>
        <v>28</v>
      </c>
      <c r="U24" s="1">
        <f>T24*100/9546</f>
        <v>0.29331657238633985</v>
      </c>
      <c r="V24" s="1">
        <v>101</v>
      </c>
      <c r="W24" s="1">
        <f>93-V24</f>
        <v>-8</v>
      </c>
      <c r="X24" s="1">
        <v>22</v>
      </c>
      <c r="Y24" s="1">
        <f>65-X24</f>
        <v>43</v>
      </c>
      <c r="Z24" s="1">
        <f>Y24*675+W24*750</f>
        <v>23025</v>
      </c>
      <c r="AA24" s="1">
        <f t="shared" ref="AA24:AA28" si="65">Z24+O24+I24</f>
        <v>1665</v>
      </c>
    </row>
    <row r="25" spans="1:27" x14ac:dyDescent="0.25">
      <c r="A25" s="2">
        <v>42905</v>
      </c>
      <c r="B25" s="1">
        <v>23742</v>
      </c>
      <c r="C25" s="1">
        <f>B25-23250</f>
        <v>492</v>
      </c>
      <c r="D25" s="1">
        <f>C25*100/23250</f>
        <v>2.1161290322580646</v>
      </c>
      <c r="E25" s="1">
        <v>693</v>
      </c>
      <c r="F25" s="1">
        <f>E25-422</f>
        <v>271</v>
      </c>
      <c r="G25" s="1">
        <v>24</v>
      </c>
      <c r="H25" s="1">
        <f t="shared" si="47"/>
        <v>-298</v>
      </c>
      <c r="I25" s="1">
        <f t="shared" si="64"/>
        <v>-3240</v>
      </c>
      <c r="K25" s="1">
        <v>97</v>
      </c>
      <c r="L25" s="1">
        <f>K25-35</f>
        <v>62</v>
      </c>
      <c r="M25" s="1">
        <v>4</v>
      </c>
      <c r="N25" s="1">
        <f>M25-35</f>
        <v>-31</v>
      </c>
      <c r="O25" s="1">
        <f t="shared" ref="O25" si="66">(N25+L25)*120</f>
        <v>3720</v>
      </c>
      <c r="S25" s="1">
        <v>9657</v>
      </c>
      <c r="T25" s="1">
        <f>S25-9546</f>
        <v>111</v>
      </c>
      <c r="U25" s="1">
        <f>T25*100/9546</f>
        <v>1.1627906976744187</v>
      </c>
      <c r="V25" s="1">
        <v>142</v>
      </c>
      <c r="W25" s="1">
        <f>93-V25</f>
        <v>-49</v>
      </c>
      <c r="X25" s="1">
        <v>8</v>
      </c>
      <c r="Y25" s="1">
        <f>65-X25</f>
        <v>57</v>
      </c>
      <c r="Z25" s="1">
        <f>Y25*675+W25*750</f>
        <v>1725</v>
      </c>
      <c r="AA25" s="1">
        <f t="shared" si="65"/>
        <v>2205</v>
      </c>
    </row>
    <row r="26" spans="1:27" x14ac:dyDescent="0.25">
      <c r="A26" s="2">
        <v>42906</v>
      </c>
      <c r="B26" s="1">
        <v>23697</v>
      </c>
      <c r="C26" s="1">
        <f>B26-23250</f>
        <v>447</v>
      </c>
      <c r="D26" s="1">
        <f>C26*100/23250</f>
        <v>1.9225806451612903</v>
      </c>
      <c r="E26" s="1">
        <v>692</v>
      </c>
      <c r="F26" s="1">
        <f>E26-422</f>
        <v>270</v>
      </c>
      <c r="G26" s="1">
        <v>18</v>
      </c>
      <c r="H26" s="1">
        <f t="shared" si="47"/>
        <v>-304</v>
      </c>
      <c r="I26" s="1">
        <f t="shared" si="64"/>
        <v>-4080</v>
      </c>
      <c r="K26" s="1">
        <v>80</v>
      </c>
      <c r="L26" s="1">
        <f>K26-35</f>
        <v>45</v>
      </c>
      <c r="M26" s="1">
        <v>3</v>
      </c>
      <c r="N26" s="1">
        <f>M26-35</f>
        <v>-32</v>
      </c>
      <c r="O26" s="1">
        <f t="shared" ref="O26" si="67">(N26+L26)*120</f>
        <v>1560</v>
      </c>
      <c r="S26" s="1">
        <v>9651</v>
      </c>
      <c r="T26" s="1">
        <f>S26-9546</f>
        <v>105</v>
      </c>
      <c r="U26" s="1">
        <f>T26*100/9546</f>
        <v>1.0999371464487744</v>
      </c>
      <c r="V26" s="1">
        <v>142</v>
      </c>
      <c r="W26" s="1">
        <f>93-V26</f>
        <v>-49</v>
      </c>
      <c r="X26" s="1">
        <v>7</v>
      </c>
      <c r="Y26" s="1">
        <f>65-X26</f>
        <v>58</v>
      </c>
      <c r="Z26" s="1">
        <f>Y26*675+W26*750</f>
        <v>2400</v>
      </c>
      <c r="AA26" s="1">
        <f t="shared" si="65"/>
        <v>-120</v>
      </c>
    </row>
    <row r="27" spans="1:27" x14ac:dyDescent="0.25">
      <c r="A27" s="2">
        <v>42907</v>
      </c>
      <c r="B27" s="1">
        <v>23682</v>
      </c>
      <c r="C27" s="1">
        <f>B27-23250</f>
        <v>432</v>
      </c>
      <c r="D27" s="1">
        <f>C27*100/23250</f>
        <v>1.8580645161290323</v>
      </c>
      <c r="E27" s="1">
        <v>685</v>
      </c>
      <c r="F27" s="1">
        <f>E27-422</f>
        <v>263</v>
      </c>
      <c r="G27" s="1">
        <v>12</v>
      </c>
      <c r="H27" s="1">
        <f t="shared" si="47"/>
        <v>-310</v>
      </c>
      <c r="I27" s="1">
        <f t="shared" si="64"/>
        <v>-5640</v>
      </c>
      <c r="K27" s="1">
        <v>53</v>
      </c>
      <c r="L27" s="1">
        <f>K27-35</f>
        <v>18</v>
      </c>
      <c r="M27" s="1">
        <v>1</v>
      </c>
      <c r="N27" s="1">
        <f>M27-35</f>
        <v>-34</v>
      </c>
      <c r="O27" s="1">
        <f t="shared" ref="O27:O33" si="68">(N27+L27)*120</f>
        <v>-1920</v>
      </c>
      <c r="S27" s="1">
        <v>9635</v>
      </c>
      <c r="T27" s="1">
        <f>S27-9546</f>
        <v>89</v>
      </c>
      <c r="U27" s="1">
        <f>T27*100/9546</f>
        <v>0.93232767651372306</v>
      </c>
      <c r="V27" s="1">
        <v>124</v>
      </c>
      <c r="W27" s="1">
        <f>93-V27</f>
        <v>-31</v>
      </c>
      <c r="X27" s="1">
        <v>6</v>
      </c>
      <c r="Y27" s="1">
        <f>65-X27</f>
        <v>59</v>
      </c>
      <c r="Z27" s="1">
        <f>Y27*675+W27*750</f>
        <v>16575</v>
      </c>
      <c r="AA27" s="1">
        <f t="shared" si="65"/>
        <v>9015</v>
      </c>
    </row>
    <row r="28" spans="1:27" x14ac:dyDescent="0.25">
      <c r="A28" s="2">
        <v>42908</v>
      </c>
      <c r="B28" s="1">
        <v>23848</v>
      </c>
      <c r="C28" s="1">
        <f>B28-23250</f>
        <v>598</v>
      </c>
      <c r="D28" s="1">
        <f>C28*100/23250</f>
        <v>2.5720430107526884</v>
      </c>
      <c r="E28" s="1">
        <v>822</v>
      </c>
      <c r="F28" s="1">
        <f>E28-422</f>
        <v>400</v>
      </c>
      <c r="G28" s="1">
        <v>6</v>
      </c>
      <c r="H28" s="1">
        <f t="shared" si="47"/>
        <v>-316</v>
      </c>
      <c r="I28" s="1">
        <f t="shared" si="64"/>
        <v>10080</v>
      </c>
      <c r="K28" s="1">
        <v>175</v>
      </c>
      <c r="L28" s="1">
        <f>K28-35</f>
        <v>140</v>
      </c>
      <c r="M28" s="1">
        <v>0</v>
      </c>
      <c r="N28" s="1">
        <f>M28-35</f>
        <v>-35</v>
      </c>
      <c r="O28" s="3">
        <f t="shared" si="68"/>
        <v>12600</v>
      </c>
      <c r="S28" s="1">
        <v>9680</v>
      </c>
      <c r="T28" s="1">
        <f>S28-9546</f>
        <v>134</v>
      </c>
      <c r="U28" s="1">
        <f>T28*100/9546</f>
        <v>1.4037293107060549</v>
      </c>
      <c r="V28" s="1">
        <v>150</v>
      </c>
      <c r="W28" s="1">
        <f>93-V28</f>
        <v>-57</v>
      </c>
      <c r="X28" s="1">
        <v>4</v>
      </c>
      <c r="Y28" s="1">
        <f>65-X28</f>
        <v>61</v>
      </c>
      <c r="Z28" s="1">
        <f>Y28*675+W28*750</f>
        <v>-1575</v>
      </c>
      <c r="AA28" s="1">
        <f t="shared" si="65"/>
        <v>21105</v>
      </c>
    </row>
    <row r="29" spans="1:27" x14ac:dyDescent="0.25">
      <c r="K29" s="1" t="s">
        <v>78</v>
      </c>
    </row>
    <row r="30" spans="1:27" x14ac:dyDescent="0.25">
      <c r="A30" s="2">
        <v>42908</v>
      </c>
      <c r="B30" s="1">
        <v>23848</v>
      </c>
      <c r="C30" s="1">
        <f>B30-23250</f>
        <v>598</v>
      </c>
      <c r="D30" s="1">
        <f>C30*100/23250</f>
        <v>2.5720430107526884</v>
      </c>
      <c r="E30" s="1">
        <v>822</v>
      </c>
      <c r="F30" s="1">
        <f>E30-422</f>
        <v>400</v>
      </c>
      <c r="G30" s="1">
        <v>6</v>
      </c>
      <c r="H30" s="1">
        <f t="shared" ref="H30:H31" si="69">G30-322</f>
        <v>-316</v>
      </c>
      <c r="I30" s="1">
        <f t="shared" ref="I30:I31" si="70">(H30+F30)*120</f>
        <v>10080</v>
      </c>
      <c r="K30" s="1">
        <v>92</v>
      </c>
      <c r="L30" s="1">
        <f>K30-92</f>
        <v>0</v>
      </c>
      <c r="O30" s="1">
        <f t="shared" si="68"/>
        <v>0</v>
      </c>
      <c r="S30" s="1">
        <v>9680</v>
      </c>
      <c r="T30" s="1">
        <f>S30-9546</f>
        <v>134</v>
      </c>
      <c r="U30" s="1">
        <f>T30*100/9546</f>
        <v>1.4037293107060549</v>
      </c>
      <c r="V30" s="1">
        <v>150</v>
      </c>
      <c r="W30" s="1">
        <f>93-V30</f>
        <v>-57</v>
      </c>
      <c r="X30" s="1">
        <v>4</v>
      </c>
      <c r="Y30" s="1">
        <f>65-X30</f>
        <v>61</v>
      </c>
      <c r="Z30" s="1">
        <f>Y30*675+W30*750</f>
        <v>-1575</v>
      </c>
      <c r="AA30" s="1">
        <f t="shared" ref="AA30:AA31" si="71">Z30+O30+I30</f>
        <v>8505</v>
      </c>
    </row>
    <row r="31" spans="1:27" x14ac:dyDescent="0.25">
      <c r="A31" s="2">
        <v>42908</v>
      </c>
      <c r="B31" s="1">
        <v>23736</v>
      </c>
      <c r="C31" s="1">
        <f>B31-23250</f>
        <v>486</v>
      </c>
      <c r="D31" s="1">
        <f>C31*100/23250</f>
        <v>2.0903225806451613</v>
      </c>
      <c r="E31" s="1">
        <v>710</v>
      </c>
      <c r="F31" s="1">
        <f>E31-422</f>
        <v>288</v>
      </c>
      <c r="G31" s="1">
        <v>10</v>
      </c>
      <c r="H31" s="1">
        <f t="shared" si="69"/>
        <v>-312</v>
      </c>
      <c r="I31" s="1">
        <f t="shared" si="70"/>
        <v>-2880</v>
      </c>
      <c r="K31" s="1">
        <v>0</v>
      </c>
      <c r="L31" s="1">
        <f>K31-92</f>
        <v>-92</v>
      </c>
      <c r="O31" s="3">
        <f t="shared" si="68"/>
        <v>-11040</v>
      </c>
      <c r="S31" s="1">
        <v>9630</v>
      </c>
      <c r="T31" s="1">
        <f>S31-9546</f>
        <v>84</v>
      </c>
      <c r="U31" s="1">
        <f>T31*100/9546</f>
        <v>0.87994971715901948</v>
      </c>
      <c r="V31" s="1">
        <v>104</v>
      </c>
      <c r="W31" s="1">
        <f>93-V31</f>
        <v>-11</v>
      </c>
      <c r="X31" s="1">
        <v>8</v>
      </c>
      <c r="Y31" s="1">
        <f>65-X31</f>
        <v>57</v>
      </c>
      <c r="Z31" s="1">
        <f>Y31*675+W31*750</f>
        <v>30225</v>
      </c>
      <c r="AA31" s="1">
        <f t="shared" si="71"/>
        <v>16305</v>
      </c>
    </row>
    <row r="32" spans="1:27" x14ac:dyDescent="0.25">
      <c r="K32" s="1" t="s">
        <v>79</v>
      </c>
      <c r="M32" s="1" t="s">
        <v>80</v>
      </c>
    </row>
    <row r="33" spans="1:27" x14ac:dyDescent="0.25">
      <c r="K33" s="1">
        <v>39</v>
      </c>
      <c r="L33" s="1">
        <f>K33-39</f>
        <v>0</v>
      </c>
      <c r="M33" s="1">
        <v>29</v>
      </c>
      <c r="N33" s="1">
        <f>M33-29</f>
        <v>0</v>
      </c>
      <c r="O33" s="1">
        <f t="shared" si="68"/>
        <v>0</v>
      </c>
    </row>
    <row r="34" spans="1:27" x14ac:dyDescent="0.25">
      <c r="A34" s="2">
        <v>42908</v>
      </c>
      <c r="B34" s="1">
        <v>23736</v>
      </c>
      <c r="C34" s="1">
        <f>B34-23250</f>
        <v>486</v>
      </c>
      <c r="D34" s="1">
        <f>C34*100/23250</f>
        <v>2.0903225806451613</v>
      </c>
      <c r="E34" s="1">
        <v>710</v>
      </c>
      <c r="F34" s="1">
        <f>E34-422</f>
        <v>288</v>
      </c>
      <c r="G34" s="1">
        <v>10</v>
      </c>
      <c r="H34" s="1">
        <f t="shared" ref="H34" si="72">G34-322</f>
        <v>-312</v>
      </c>
      <c r="I34" s="1">
        <f t="shared" ref="I34" si="73">(H34+F34)*120</f>
        <v>-2880</v>
      </c>
      <c r="K34" s="1">
        <v>38</v>
      </c>
      <c r="L34" s="1">
        <f>K34-39</f>
        <v>-1</v>
      </c>
      <c r="M34" s="1">
        <v>34</v>
      </c>
      <c r="N34" s="1">
        <f>M34-29</f>
        <v>5</v>
      </c>
      <c r="O34" s="1">
        <f t="shared" ref="O34" si="74">(N34+L34)*120</f>
        <v>480</v>
      </c>
      <c r="S34" s="1">
        <v>9630</v>
      </c>
      <c r="T34" s="1">
        <f>S34-9546</f>
        <v>84</v>
      </c>
      <c r="U34" s="1">
        <f>T34*100/9546</f>
        <v>0.87994971715901948</v>
      </c>
      <c r="V34" s="1">
        <v>104</v>
      </c>
      <c r="W34" s="1">
        <f>93-V34</f>
        <v>-11</v>
      </c>
      <c r="X34" s="1">
        <v>8</v>
      </c>
      <c r="Y34" s="1">
        <f>65-X34</f>
        <v>57</v>
      </c>
      <c r="Z34" s="1">
        <f>Y34*675+W34*750</f>
        <v>30225</v>
      </c>
      <c r="AA34" s="1">
        <f t="shared" ref="AA34" si="75">Z34+O34+I34</f>
        <v>27825</v>
      </c>
    </row>
    <row r="35" spans="1:27" x14ac:dyDescent="0.25">
      <c r="A35" s="2">
        <v>42909</v>
      </c>
      <c r="B35" s="1">
        <v>23522</v>
      </c>
      <c r="C35" s="1">
        <f>B35-23250</f>
        <v>272</v>
      </c>
      <c r="D35" s="1">
        <f>C35*100/23250</f>
        <v>1.1698924731182796</v>
      </c>
      <c r="E35" s="1">
        <v>540</v>
      </c>
      <c r="F35" s="1">
        <f>E35-422</f>
        <v>118</v>
      </c>
      <c r="G35" s="1">
        <v>0</v>
      </c>
      <c r="H35" s="1">
        <f t="shared" ref="H35" si="76">G35-322</f>
        <v>-322</v>
      </c>
      <c r="I35" s="3">
        <f t="shared" ref="I35" si="77">(H35+F35)*120</f>
        <v>-24480</v>
      </c>
      <c r="K35" s="1">
        <v>16</v>
      </c>
      <c r="L35" s="1">
        <f>K35-39</f>
        <v>-23</v>
      </c>
      <c r="M35" s="1">
        <v>68</v>
      </c>
      <c r="N35" s="1">
        <f>M35-29</f>
        <v>39</v>
      </c>
      <c r="O35" s="1">
        <f t="shared" ref="O35" si="78">(N35+L35)*120</f>
        <v>1920</v>
      </c>
      <c r="S35" s="1">
        <v>9567</v>
      </c>
      <c r="T35" s="1">
        <f>S35-9546</f>
        <v>21</v>
      </c>
      <c r="U35" s="1">
        <f>T35*100/9546</f>
        <v>0.21998742928975487</v>
      </c>
      <c r="V35" s="1">
        <v>66</v>
      </c>
      <c r="W35" s="1">
        <f>93-V35</f>
        <v>27</v>
      </c>
      <c r="X35" s="1">
        <v>8</v>
      </c>
      <c r="Y35" s="1">
        <f>65-X35</f>
        <v>57</v>
      </c>
      <c r="Z35" s="1">
        <f>Y35*675+W35*750</f>
        <v>58725</v>
      </c>
      <c r="AA35" s="1">
        <f t="shared" ref="AA35" si="79">Z35+O35+I35</f>
        <v>36165</v>
      </c>
    </row>
    <row r="36" spans="1:27" x14ac:dyDescent="0.25">
      <c r="E36" s="1" t="s">
        <v>81</v>
      </c>
    </row>
    <row r="37" spans="1:27" x14ac:dyDescent="0.25">
      <c r="A37" s="2">
        <v>42909</v>
      </c>
      <c r="B37" s="1">
        <v>23522</v>
      </c>
      <c r="C37" s="1">
        <f>B37-23250</f>
        <v>272</v>
      </c>
      <c r="D37" s="1">
        <f>C37*100/23250</f>
        <v>1.1698924731182796</v>
      </c>
      <c r="E37" s="1">
        <v>365</v>
      </c>
      <c r="F37" s="1">
        <f>E37-365</f>
        <v>0</v>
      </c>
      <c r="G37" s="1">
        <v>0</v>
      </c>
      <c r="H37" s="1">
        <f>G37-0</f>
        <v>0</v>
      </c>
      <c r="I37" s="1">
        <f t="shared" ref="I37" si="80">(H37+F37)*120</f>
        <v>0</v>
      </c>
      <c r="K37" s="1">
        <v>16</v>
      </c>
      <c r="L37" s="1">
        <f>K37-39</f>
        <v>-23</v>
      </c>
      <c r="M37" s="1">
        <v>68</v>
      </c>
      <c r="N37" s="1">
        <f>M37-29</f>
        <v>39</v>
      </c>
      <c r="O37" s="1">
        <f t="shared" ref="O37:O41" si="81">(N37+L37)*120</f>
        <v>1920</v>
      </c>
      <c r="S37" s="1">
        <v>9567</v>
      </c>
      <c r="T37" s="1">
        <f>S37-9546</f>
        <v>21</v>
      </c>
      <c r="U37" s="1">
        <f>T37*100/9546</f>
        <v>0.21998742928975487</v>
      </c>
      <c r="V37" s="1">
        <v>66</v>
      </c>
      <c r="W37" s="1">
        <f>93-V37</f>
        <v>27</v>
      </c>
      <c r="X37" s="1">
        <v>8</v>
      </c>
      <c r="Y37" s="1">
        <f>65-X37</f>
        <v>57</v>
      </c>
      <c r="Z37" s="1">
        <f>Y37*675+W37*750</f>
        <v>58725</v>
      </c>
      <c r="AA37" s="1">
        <f t="shared" ref="AA37" si="82">Z37+O37+I37</f>
        <v>60645</v>
      </c>
    </row>
    <row r="38" spans="1:27" x14ac:dyDescent="0.25">
      <c r="A38" s="2">
        <v>42909</v>
      </c>
      <c r="B38" s="1">
        <v>23542</v>
      </c>
      <c r="C38" s="1">
        <f>B38-23250</f>
        <v>292</v>
      </c>
      <c r="D38" s="1">
        <f>C38*100/23250</f>
        <v>1.2559139784946236</v>
      </c>
      <c r="E38" s="1">
        <v>366</v>
      </c>
      <c r="F38" s="1">
        <f>E38-365</f>
        <v>1</v>
      </c>
      <c r="G38" s="1">
        <v>0</v>
      </c>
      <c r="H38" s="1">
        <f>G38-0</f>
        <v>0</v>
      </c>
      <c r="I38" s="1">
        <f t="shared" ref="I38" si="83">(H38+F38)*120</f>
        <v>120</v>
      </c>
      <c r="K38" s="1">
        <v>15</v>
      </c>
      <c r="L38" s="1">
        <f>K38-39</f>
        <v>-24</v>
      </c>
      <c r="M38" s="1">
        <v>62</v>
      </c>
      <c r="N38" s="1">
        <f>M38-29</f>
        <v>33</v>
      </c>
      <c r="O38" s="1">
        <f t="shared" si="81"/>
        <v>1080</v>
      </c>
      <c r="S38" s="1">
        <v>9575</v>
      </c>
      <c r="T38" s="1">
        <f>S38-9546</f>
        <v>29</v>
      </c>
      <c r="U38" s="1">
        <f>T38*100/9546</f>
        <v>0.30379216425728056</v>
      </c>
      <c r="V38" s="1">
        <v>67</v>
      </c>
      <c r="W38" s="1">
        <f>93-V38</f>
        <v>26</v>
      </c>
      <c r="X38" s="1">
        <v>7</v>
      </c>
      <c r="Y38" s="1">
        <f>65-X38</f>
        <v>58</v>
      </c>
      <c r="Z38" s="1">
        <f>Y38*675+W38*750</f>
        <v>58650</v>
      </c>
      <c r="AA38" s="1">
        <f t="shared" ref="AA38:AA41" si="84">Z38+O38+I38</f>
        <v>59850</v>
      </c>
    </row>
    <row r="39" spans="1:27" x14ac:dyDescent="0.25">
      <c r="A39" s="2">
        <v>42913</v>
      </c>
      <c r="B39" s="1">
        <v>23216</v>
      </c>
      <c r="C39" s="1">
        <f>B39-23250</f>
        <v>-34</v>
      </c>
      <c r="D39" s="1">
        <f>C39*100/23250</f>
        <v>-0.14623655913978495</v>
      </c>
      <c r="E39" s="1">
        <v>116</v>
      </c>
      <c r="F39" s="1">
        <f>E39-365</f>
        <v>-249</v>
      </c>
      <c r="G39" s="1">
        <v>0</v>
      </c>
      <c r="H39" s="1">
        <f>G39-0</f>
        <v>0</v>
      </c>
      <c r="I39" s="1">
        <f t="shared" ref="I39" si="85">(H39+F39)*120</f>
        <v>-29880</v>
      </c>
      <c r="K39" s="1">
        <v>4</v>
      </c>
      <c r="L39" s="1">
        <f>K39-39</f>
        <v>-35</v>
      </c>
      <c r="M39" s="1">
        <v>208</v>
      </c>
      <c r="N39" s="1">
        <f>M39-29</f>
        <v>179</v>
      </c>
      <c r="O39" s="1">
        <f t="shared" si="81"/>
        <v>17280</v>
      </c>
      <c r="S39" s="1">
        <v>9512</v>
      </c>
      <c r="T39" s="1">
        <f>S39-9546</f>
        <v>-34</v>
      </c>
      <c r="U39" s="1">
        <f>T39*100/9546</f>
        <v>-0.35617012361198408</v>
      </c>
      <c r="V39" s="1">
        <v>21</v>
      </c>
      <c r="W39" s="1">
        <f>93-V39</f>
        <v>72</v>
      </c>
      <c r="X39" s="1">
        <v>8</v>
      </c>
      <c r="Y39" s="1">
        <f>65-X39</f>
        <v>57</v>
      </c>
      <c r="Z39" s="1">
        <f>Y39*675+W39*750</f>
        <v>92475</v>
      </c>
      <c r="AA39" s="1">
        <f t="shared" si="84"/>
        <v>79875</v>
      </c>
    </row>
    <row r="40" spans="1:27" x14ac:dyDescent="0.25">
      <c r="A40" s="2">
        <v>42914</v>
      </c>
      <c r="B40" s="1">
        <v>23258</v>
      </c>
      <c r="C40" s="1">
        <f>B40-23250</f>
        <v>8</v>
      </c>
      <c r="D40" s="1">
        <f>C40*100/23250</f>
        <v>3.4408602150537634E-2</v>
      </c>
      <c r="E40" s="1">
        <v>108</v>
      </c>
      <c r="F40" s="1">
        <f>E40-365</f>
        <v>-257</v>
      </c>
      <c r="G40" s="1">
        <v>0</v>
      </c>
      <c r="H40" s="1">
        <f>G40-0</f>
        <v>0</v>
      </c>
      <c r="I40" s="1">
        <f t="shared" ref="I40:I41" si="86">(H40+F40)*120</f>
        <v>-30840</v>
      </c>
      <c r="K40" s="1">
        <v>1</v>
      </c>
      <c r="L40" s="1">
        <f>K40-39</f>
        <v>-38</v>
      </c>
      <c r="M40" s="1">
        <v>161</v>
      </c>
      <c r="N40" s="1">
        <f>M40-29</f>
        <v>132</v>
      </c>
      <c r="O40" s="1">
        <f t="shared" si="81"/>
        <v>11280</v>
      </c>
      <c r="S40" s="1">
        <v>9491</v>
      </c>
      <c r="T40" s="1">
        <f>S40-9546</f>
        <v>-55</v>
      </c>
      <c r="U40" s="1">
        <f>T40*100/9546</f>
        <v>-0.57615755290173898</v>
      </c>
      <c r="V40" s="1">
        <v>8</v>
      </c>
      <c r="W40" s="1">
        <f>93-V40</f>
        <v>85</v>
      </c>
      <c r="X40" s="1">
        <v>5</v>
      </c>
      <c r="Y40" s="1">
        <f>65-X40</f>
        <v>60</v>
      </c>
      <c r="Z40" s="1">
        <f>Y40*675+W40*750</f>
        <v>104250</v>
      </c>
      <c r="AA40" s="1">
        <f t="shared" si="84"/>
        <v>84690</v>
      </c>
    </row>
    <row r="41" spans="1:27" x14ac:dyDescent="0.25">
      <c r="A41" s="2">
        <v>42915</v>
      </c>
      <c r="B41" s="1">
        <v>23261</v>
      </c>
      <c r="C41" s="1">
        <f>B41-23250</f>
        <v>11</v>
      </c>
      <c r="D41" s="1">
        <f>C41*100/23250</f>
        <v>4.7311827956989246E-2</v>
      </c>
      <c r="E41" s="1">
        <v>237</v>
      </c>
      <c r="F41" s="1">
        <f>E41-365</f>
        <v>-128</v>
      </c>
      <c r="G41" s="1">
        <v>2</v>
      </c>
      <c r="H41" s="1">
        <f>G41-0</f>
        <v>2</v>
      </c>
      <c r="I41" s="1">
        <f t="shared" si="86"/>
        <v>-15120</v>
      </c>
      <c r="K41" s="1">
        <v>0</v>
      </c>
      <c r="L41" s="1">
        <f>K41-39</f>
        <v>-39</v>
      </c>
      <c r="M41" s="1">
        <v>40</v>
      </c>
      <c r="N41" s="1">
        <f>M41-29</f>
        <v>11</v>
      </c>
      <c r="O41" s="1">
        <f t="shared" si="81"/>
        <v>-3360</v>
      </c>
      <c r="S41" s="1">
        <v>9534</v>
      </c>
      <c r="T41" s="1">
        <f>S41-9546</f>
        <v>-12</v>
      </c>
      <c r="U41" s="1">
        <f>T41*100/9546</f>
        <v>-0.12570710245128849</v>
      </c>
      <c r="V41" s="1">
        <v>23</v>
      </c>
      <c r="W41" s="1">
        <f>93-V41</f>
        <v>70</v>
      </c>
      <c r="X41" s="1">
        <v>1</v>
      </c>
      <c r="Y41" s="1">
        <f>65-X41</f>
        <v>64</v>
      </c>
      <c r="Z41" s="1">
        <f>Y41*675+W41*750</f>
        <v>95700</v>
      </c>
      <c r="AA41" s="3">
        <f t="shared" si="84"/>
        <v>77220</v>
      </c>
    </row>
    <row r="1048576" spans="6:6" x14ac:dyDescent="0.25">
      <c r="F1048576" s="1">
        <f>E1048576-422</f>
        <v>-422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workbookViewId="0">
      <selection activeCell="X2" activeCellId="1" sqref="V2 X2"/>
    </sheetView>
  </sheetViews>
  <sheetFormatPr defaultColWidth="7.5703125" defaultRowHeight="15" x14ac:dyDescent="0.25"/>
  <cols>
    <col min="1" max="1" width="6.7109375" style="5" bestFit="1" customWidth="1"/>
    <col min="2" max="2" width="6" style="5" bestFit="1" customWidth="1"/>
    <col min="3" max="3" width="5.7109375" style="5" bestFit="1" customWidth="1"/>
    <col min="4" max="4" width="5.42578125" style="5" customWidth="1"/>
    <col min="5" max="5" width="5.5703125" style="5" bestFit="1" customWidth="1"/>
    <col min="6" max="6" width="4.28515625" style="5" bestFit="1" customWidth="1"/>
    <col min="7" max="7" width="5.5703125" style="5" bestFit="1" customWidth="1"/>
    <col min="8" max="8" width="4.7109375" style="5" bestFit="1" customWidth="1"/>
    <col min="9" max="9" width="5.7109375" style="5" bestFit="1" customWidth="1"/>
    <col min="10" max="10" width="7.5703125" style="5"/>
    <col min="11" max="11" width="5.5703125" style="5" bestFit="1" customWidth="1"/>
    <col min="12" max="12" width="4.28515625" style="5" bestFit="1" customWidth="1"/>
    <col min="13" max="13" width="5.5703125" style="5" bestFit="1" customWidth="1"/>
    <col min="14" max="14" width="4.28515625" style="5" bestFit="1" customWidth="1"/>
    <col min="15" max="15" width="6.7109375" style="5" bestFit="1" customWidth="1"/>
    <col min="16" max="18" width="7.5703125" style="5"/>
    <col min="19" max="19" width="6" style="5" bestFit="1" customWidth="1"/>
    <col min="20" max="20" width="4.28515625" style="5" bestFit="1" customWidth="1"/>
    <col min="21" max="21" width="5.7109375" style="5" customWidth="1"/>
    <col min="22" max="22" width="5.5703125" style="5" bestFit="1" customWidth="1"/>
    <col min="23" max="23" width="4.7109375" style="5" bestFit="1" customWidth="1"/>
    <col min="24" max="24" width="5.5703125" style="5" bestFit="1" customWidth="1"/>
    <col min="25" max="25" width="4.28515625" style="5" bestFit="1" customWidth="1"/>
    <col min="26" max="27" width="7.7109375" style="5" bestFit="1" customWidth="1"/>
    <col min="28" max="28" width="7.5703125" style="5"/>
    <col min="29" max="29" width="7.7109375" style="5" bestFit="1" customWidth="1"/>
    <col min="30" max="16384" width="7.5703125" style="5"/>
  </cols>
  <sheetData>
    <row r="1" spans="1:29" x14ac:dyDescent="0.25">
      <c r="A1" s="5" t="s">
        <v>0</v>
      </c>
      <c r="B1" s="5" t="s">
        <v>5</v>
      </c>
      <c r="C1" s="5" t="s">
        <v>2</v>
      </c>
      <c r="D1" s="5" t="s">
        <v>6</v>
      </c>
      <c r="E1" s="5" t="s">
        <v>81</v>
      </c>
      <c r="F1" s="5" t="s">
        <v>2</v>
      </c>
      <c r="G1" s="5" t="s">
        <v>82</v>
      </c>
      <c r="H1" s="5" t="s">
        <v>2</v>
      </c>
      <c r="I1" s="5" t="s">
        <v>3</v>
      </c>
      <c r="K1" s="5" t="s">
        <v>69</v>
      </c>
      <c r="L1" s="5" t="s">
        <v>2</v>
      </c>
      <c r="M1" s="5" t="s">
        <v>70</v>
      </c>
      <c r="N1" s="5" t="s">
        <v>2</v>
      </c>
      <c r="O1" s="5" t="s">
        <v>3</v>
      </c>
      <c r="S1" s="5" t="s">
        <v>1</v>
      </c>
      <c r="T1" s="5" t="s">
        <v>2</v>
      </c>
      <c r="U1" s="5" t="s">
        <v>6</v>
      </c>
      <c r="V1" s="5" t="s">
        <v>83</v>
      </c>
      <c r="W1" s="5" t="s">
        <v>2</v>
      </c>
      <c r="X1" s="5" t="s">
        <v>84</v>
      </c>
      <c r="Y1" s="5" t="s">
        <v>2</v>
      </c>
      <c r="Z1" s="5" t="s">
        <v>3</v>
      </c>
      <c r="AA1" s="5" t="s">
        <v>4</v>
      </c>
      <c r="AC1" s="7" t="s">
        <v>19</v>
      </c>
    </row>
    <row r="2" spans="1:29" x14ac:dyDescent="0.25">
      <c r="A2" s="6">
        <v>42915</v>
      </c>
      <c r="B2" s="5">
        <v>23200</v>
      </c>
      <c r="C2" s="5">
        <f>B2-23200</f>
        <v>0</v>
      </c>
      <c r="D2" s="5">
        <f>C2*100/23200</f>
        <v>0</v>
      </c>
      <c r="E2" s="5">
        <v>370</v>
      </c>
      <c r="F2" s="5">
        <f>E2-370</f>
        <v>0</v>
      </c>
      <c r="G2" s="5">
        <v>360</v>
      </c>
      <c r="H2" s="5">
        <f>G2-360</f>
        <v>0</v>
      </c>
      <c r="I2" s="5">
        <f t="shared" ref="I2" si="0">(H2+F2)*120</f>
        <v>0</v>
      </c>
      <c r="K2" s="5">
        <v>56</v>
      </c>
      <c r="L2" s="5">
        <f>K2-56</f>
        <v>0</v>
      </c>
      <c r="M2" s="5">
        <v>65</v>
      </c>
      <c r="N2" s="5">
        <f>M2-65</f>
        <v>0</v>
      </c>
      <c r="O2" s="5">
        <f t="shared" ref="O2" si="1">(N2+L2)*120</f>
        <v>0</v>
      </c>
      <c r="S2" s="5">
        <v>9500</v>
      </c>
      <c r="T2" s="5">
        <f>S2-9500</f>
        <v>0</v>
      </c>
      <c r="U2" s="5">
        <f>T2*100/9500</f>
        <v>0</v>
      </c>
      <c r="V2" s="5">
        <v>69</v>
      </c>
      <c r="W2" s="5">
        <f>69-V2</f>
        <v>0</v>
      </c>
      <c r="X2" s="5">
        <v>80</v>
      </c>
      <c r="Y2" s="5">
        <f>80-X2</f>
        <v>0</v>
      </c>
      <c r="Z2" s="5">
        <f t="shared" ref="Z2" si="2">(Y2+W2)*750</f>
        <v>0</v>
      </c>
      <c r="AA2" s="5">
        <f t="shared" ref="AA2" si="3">Z2+O2+I2</f>
        <v>0</v>
      </c>
      <c r="AC2" s="5">
        <v>-14520</v>
      </c>
    </row>
    <row r="3" spans="1:29" x14ac:dyDescent="0.25">
      <c r="A3" s="6">
        <v>42915</v>
      </c>
      <c r="B3" s="5">
        <v>23227</v>
      </c>
      <c r="C3" s="5">
        <f>B3-23200</f>
        <v>27</v>
      </c>
      <c r="D3" s="5">
        <f>C3*100/23200</f>
        <v>0.11637931034482758</v>
      </c>
      <c r="E3" s="5">
        <v>355</v>
      </c>
      <c r="F3" s="5">
        <f>E3-370</f>
        <v>-15</v>
      </c>
      <c r="G3" s="5">
        <v>324</v>
      </c>
      <c r="H3" s="5">
        <f>G3-360</f>
        <v>-36</v>
      </c>
      <c r="I3" s="5">
        <f t="shared" ref="I3" si="4">(H3+F3)*120</f>
        <v>-6120</v>
      </c>
      <c r="K3" s="5">
        <v>52</v>
      </c>
      <c r="L3" s="5">
        <f>K3-56</f>
        <v>-4</v>
      </c>
      <c r="M3" s="5">
        <v>54</v>
      </c>
      <c r="N3" s="5">
        <f>M3-65</f>
        <v>-11</v>
      </c>
      <c r="O3" s="5">
        <f t="shared" ref="O3" si="5">(N3+L3)*120</f>
        <v>-1800</v>
      </c>
      <c r="S3" s="5">
        <v>9504</v>
      </c>
      <c r="T3" s="5">
        <f>S3-9500</f>
        <v>4</v>
      </c>
      <c r="U3" s="5">
        <f>T3*100/9500</f>
        <v>4.2105263157894736E-2</v>
      </c>
      <c r="V3" s="5">
        <v>70</v>
      </c>
      <c r="W3" s="5">
        <f>69-V3</f>
        <v>-1</v>
      </c>
      <c r="X3" s="5">
        <v>81</v>
      </c>
      <c r="Y3" s="5">
        <f>80-X3</f>
        <v>-1</v>
      </c>
      <c r="Z3" s="5">
        <f t="shared" ref="Z3" si="6">(Y3+W3)*750</f>
        <v>-1500</v>
      </c>
      <c r="AA3" s="5">
        <f t="shared" ref="AA3" si="7">Z3+O3+I3</f>
        <v>-9420</v>
      </c>
      <c r="AC3" s="5">
        <v>-134250</v>
      </c>
    </row>
    <row r="4" spans="1:29" x14ac:dyDescent="0.25">
      <c r="A4" s="6">
        <v>42916</v>
      </c>
      <c r="B4" s="5">
        <v>23211</v>
      </c>
      <c r="C4" s="5">
        <f>B4-23200</f>
        <v>11</v>
      </c>
      <c r="D4" s="5">
        <f>C4*100/23200</f>
        <v>4.7413793103448273E-2</v>
      </c>
      <c r="E4" s="5">
        <v>343</v>
      </c>
      <c r="F4" s="5">
        <f>E4-370</f>
        <v>-27</v>
      </c>
      <c r="G4" s="5">
        <v>340</v>
      </c>
      <c r="H4" s="5">
        <f>G4-360</f>
        <v>-20</v>
      </c>
      <c r="I4" s="5">
        <f t="shared" ref="I4" si="8">(H4+F4)*120</f>
        <v>-5640</v>
      </c>
      <c r="K4" s="5">
        <v>40</v>
      </c>
      <c r="L4" s="5">
        <f>K4-56</f>
        <v>-16</v>
      </c>
      <c r="M4" s="5">
        <v>49</v>
      </c>
      <c r="N4" s="5">
        <f>M4-65</f>
        <v>-16</v>
      </c>
      <c r="O4" s="5">
        <f t="shared" ref="O4" si="9">(N4+L4)*120</f>
        <v>-3840</v>
      </c>
      <c r="S4" s="5">
        <v>9521</v>
      </c>
      <c r="T4" s="5">
        <f>S4-9500</f>
        <v>21</v>
      </c>
      <c r="U4" s="5">
        <f>T4*100/9500</f>
        <v>0.22105263157894736</v>
      </c>
      <c r="V4" s="5">
        <v>66</v>
      </c>
      <c r="W4" s="5">
        <f>69-V4</f>
        <v>3</v>
      </c>
      <c r="X4" s="5">
        <v>84</v>
      </c>
      <c r="Y4" s="5">
        <f>80-X4</f>
        <v>-4</v>
      </c>
      <c r="Z4" s="5">
        <f t="shared" ref="Z4" si="10">(Y4+W4)*750</f>
        <v>-750</v>
      </c>
      <c r="AA4" s="5">
        <f t="shared" ref="AA4" si="11">Z4+O4+I4</f>
        <v>-10230</v>
      </c>
      <c r="AC4" s="5">
        <v>10680</v>
      </c>
    </row>
    <row r="5" spans="1:29" x14ac:dyDescent="0.25">
      <c r="K5" s="5">
        <v>0</v>
      </c>
      <c r="L5" s="5">
        <f>K5-56</f>
        <v>-56</v>
      </c>
      <c r="M5" s="5">
        <v>0</v>
      </c>
      <c r="N5" s="5">
        <f>M5-65</f>
        <v>-65</v>
      </c>
      <c r="O5" s="7">
        <f t="shared" ref="O5" si="12">(N5+L5)*120</f>
        <v>-14520</v>
      </c>
      <c r="AC5" s="5">
        <v>-2250</v>
      </c>
    </row>
    <row r="6" spans="1:29" x14ac:dyDescent="0.25">
      <c r="K6" s="5" t="s">
        <v>85</v>
      </c>
      <c r="M6" s="5" t="s">
        <v>86</v>
      </c>
      <c r="AC6" s="5">
        <v>-10680</v>
      </c>
    </row>
    <row r="7" spans="1:29" x14ac:dyDescent="0.25">
      <c r="K7" s="5">
        <v>38</v>
      </c>
      <c r="L7" s="5">
        <f>K7-38</f>
        <v>0</v>
      </c>
      <c r="M7" s="5">
        <v>56</v>
      </c>
      <c r="N7" s="5">
        <f>M7-56</f>
        <v>0</v>
      </c>
      <c r="O7" s="5">
        <f t="shared" ref="O7" si="13">(N7+L7)*120</f>
        <v>0</v>
      </c>
      <c r="AC7" s="5">
        <v>34680</v>
      </c>
    </row>
    <row r="8" spans="1:29" x14ac:dyDescent="0.25">
      <c r="A8" s="6">
        <v>42930</v>
      </c>
      <c r="B8" s="5">
        <v>23919</v>
      </c>
      <c r="C8" s="5">
        <f>B8-23200</f>
        <v>719</v>
      </c>
      <c r="D8" s="5">
        <f>C8*100/23200</f>
        <v>3.0991379310344827</v>
      </c>
      <c r="E8" s="5">
        <v>785</v>
      </c>
      <c r="F8" s="5">
        <f>E8-370</f>
        <v>415</v>
      </c>
      <c r="G8" s="5">
        <v>33</v>
      </c>
      <c r="H8" s="5">
        <f>G8-360</f>
        <v>-327</v>
      </c>
      <c r="I8" s="5">
        <f t="shared" ref="I8" si="14">(H8+F8)*120</f>
        <v>10560</v>
      </c>
      <c r="K8" s="5">
        <v>41</v>
      </c>
      <c r="L8" s="5">
        <f>K8-38</f>
        <v>3</v>
      </c>
      <c r="M8" s="5">
        <v>26</v>
      </c>
      <c r="N8" s="5">
        <f>M8-56</f>
        <v>-30</v>
      </c>
      <c r="O8" s="5">
        <f t="shared" ref="O8" si="15">(N8+L8)*120</f>
        <v>-3240</v>
      </c>
      <c r="S8" s="5">
        <v>9885</v>
      </c>
      <c r="T8" s="5">
        <f>S8-9500</f>
        <v>385</v>
      </c>
      <c r="U8" s="5">
        <f>T8*100/9500</f>
        <v>4.0526315789473681</v>
      </c>
      <c r="V8" s="5">
        <v>313</v>
      </c>
      <c r="W8" s="5">
        <f>69-V8</f>
        <v>-244</v>
      </c>
      <c r="X8" s="5">
        <v>15</v>
      </c>
      <c r="Y8" s="5">
        <f>80-X8</f>
        <v>65</v>
      </c>
      <c r="Z8" s="7">
        <f t="shared" ref="Z8" si="16">(Y8+W8)*750</f>
        <v>-134250</v>
      </c>
      <c r="AA8" s="8">
        <f t="shared" ref="AA8" si="17">Z8+O8+I8</f>
        <v>-126930</v>
      </c>
      <c r="AC8" s="5">
        <v>11040</v>
      </c>
    </row>
    <row r="9" spans="1:29" x14ac:dyDescent="0.25">
      <c r="A9" s="6"/>
      <c r="V9" s="5" t="s">
        <v>83</v>
      </c>
      <c r="X9" s="5" t="s">
        <v>87</v>
      </c>
      <c r="AC9" s="5">
        <v>42960</v>
      </c>
    </row>
    <row r="10" spans="1:29" x14ac:dyDescent="0.25">
      <c r="V10" s="5">
        <v>313</v>
      </c>
      <c r="W10" s="5">
        <f>313-V10</f>
        <v>0</v>
      </c>
      <c r="X10" s="5">
        <v>22</v>
      </c>
      <c r="Y10" s="5">
        <f>22-X10</f>
        <v>0</v>
      </c>
      <c r="AC10" s="5">
        <v>59880</v>
      </c>
    </row>
    <row r="11" spans="1:29" x14ac:dyDescent="0.25">
      <c r="A11" s="6">
        <v>42930</v>
      </c>
      <c r="B11" s="5">
        <v>23919</v>
      </c>
      <c r="C11" s="5">
        <f>B11-23200</f>
        <v>719</v>
      </c>
      <c r="D11" s="5">
        <f>C11*100/23200</f>
        <v>3.0991379310344827</v>
      </c>
      <c r="E11" s="5">
        <v>785</v>
      </c>
      <c r="F11" s="5">
        <f>E11-370</f>
        <v>415</v>
      </c>
      <c r="G11" s="5">
        <v>33</v>
      </c>
      <c r="H11" s="5">
        <f>G11-360</f>
        <v>-327</v>
      </c>
      <c r="I11" s="5">
        <f t="shared" ref="I11" si="18">(H11+F11)*120</f>
        <v>10560</v>
      </c>
      <c r="K11" s="5">
        <v>41</v>
      </c>
      <c r="L11" s="5">
        <f>K11-38</f>
        <v>3</v>
      </c>
      <c r="M11" s="5">
        <v>26</v>
      </c>
      <c r="N11" s="5">
        <f>M11-56</f>
        <v>-30</v>
      </c>
      <c r="O11" s="5">
        <f t="shared" ref="O11" si="19">(N11+L11)*120</f>
        <v>-3240</v>
      </c>
      <c r="S11" s="5">
        <v>9885</v>
      </c>
      <c r="T11" s="5">
        <f>S11-9500</f>
        <v>385</v>
      </c>
      <c r="U11" s="5">
        <f>T11*100/9500</f>
        <v>4.0526315789473681</v>
      </c>
      <c r="V11" s="5">
        <v>313</v>
      </c>
      <c r="W11" s="5">
        <f>313-V11</f>
        <v>0</v>
      </c>
      <c r="X11" s="5">
        <v>22</v>
      </c>
      <c r="Y11" s="5">
        <f>22-X11</f>
        <v>0</v>
      </c>
      <c r="Z11" s="5">
        <f t="shared" ref="Z11:Z12" si="20">(Y11+W11)*750</f>
        <v>0</v>
      </c>
      <c r="AA11" s="8">
        <f t="shared" ref="AA11:AA12" si="21">Z11+O11+I11</f>
        <v>7320</v>
      </c>
      <c r="AC11" s="5">
        <v>-85110</v>
      </c>
    </row>
    <row r="12" spans="1:29" x14ac:dyDescent="0.25">
      <c r="A12" s="6">
        <v>42933</v>
      </c>
      <c r="B12" s="5">
        <v>23998</v>
      </c>
      <c r="C12" s="5">
        <f>B12-23200</f>
        <v>798</v>
      </c>
      <c r="D12" s="5">
        <f>C12*100/23200</f>
        <v>3.4396551724137931</v>
      </c>
      <c r="E12" s="5">
        <v>790</v>
      </c>
      <c r="F12" s="5">
        <f>E12-370</f>
        <v>420</v>
      </c>
      <c r="G12" s="5">
        <v>29</v>
      </c>
      <c r="H12" s="5">
        <f>G12-360</f>
        <v>-331</v>
      </c>
      <c r="I12" s="7">
        <f t="shared" ref="I12" si="22">(H12+F12)*120</f>
        <v>10680</v>
      </c>
      <c r="K12" s="5">
        <v>39</v>
      </c>
      <c r="L12" s="5">
        <f>K12-38</f>
        <v>1</v>
      </c>
      <c r="M12" s="5">
        <v>21</v>
      </c>
      <c r="N12" s="5">
        <f>M12-56</f>
        <v>-35</v>
      </c>
      <c r="O12" s="5">
        <f t="shared" ref="O12" si="23">(N12+L12)*120</f>
        <v>-4080</v>
      </c>
      <c r="S12" s="5">
        <v>9909</v>
      </c>
      <c r="T12" s="5">
        <f>S12-9500</f>
        <v>409</v>
      </c>
      <c r="U12" s="5">
        <f>T12*100/9500</f>
        <v>4.3052631578947365</v>
      </c>
      <c r="V12" s="5">
        <v>327</v>
      </c>
      <c r="W12" s="5">
        <f>313-V12</f>
        <v>-14</v>
      </c>
      <c r="X12" s="5">
        <v>11</v>
      </c>
      <c r="Y12" s="5">
        <f>22-X12</f>
        <v>11</v>
      </c>
      <c r="Z12" s="7">
        <f t="shared" si="20"/>
        <v>-2250</v>
      </c>
      <c r="AA12" s="8">
        <f t="shared" si="21"/>
        <v>4350</v>
      </c>
    </row>
    <row r="13" spans="1:29" x14ac:dyDescent="0.25">
      <c r="E13" s="7" t="s">
        <v>69</v>
      </c>
      <c r="G13" s="5" t="s">
        <v>82</v>
      </c>
      <c r="V13" s="7" t="s">
        <v>83</v>
      </c>
    </row>
    <row r="14" spans="1:29" x14ac:dyDescent="0.25">
      <c r="E14" s="5">
        <v>549</v>
      </c>
      <c r="F14" s="5">
        <f t="shared" ref="F14:F19" si="24">E14-549</f>
        <v>0</v>
      </c>
      <c r="G14" s="5">
        <v>29</v>
      </c>
      <c r="H14" s="5">
        <f t="shared" ref="H14:H19" si="25">G14-29</f>
        <v>0</v>
      </c>
      <c r="I14" s="5">
        <f t="shared" ref="I14" si="26">(H14+F14)*120</f>
        <v>0</v>
      </c>
      <c r="V14" s="5">
        <v>327</v>
      </c>
      <c r="W14" s="5">
        <f t="shared" ref="W14:W19" si="27">327-V14</f>
        <v>0</v>
      </c>
      <c r="AC14" s="7">
        <f>SUM(AC2:AC13)</f>
        <v>-87570</v>
      </c>
    </row>
    <row r="15" spans="1:29" x14ac:dyDescent="0.25">
      <c r="A15" s="6">
        <v>42933</v>
      </c>
      <c r="B15" s="5">
        <v>23998</v>
      </c>
      <c r="C15" s="5">
        <f>B15-23200</f>
        <v>798</v>
      </c>
      <c r="D15" s="5">
        <f>C15*100/23200</f>
        <v>3.4396551724137931</v>
      </c>
      <c r="E15" s="5">
        <v>548</v>
      </c>
      <c r="F15" s="5">
        <f t="shared" si="24"/>
        <v>-1</v>
      </c>
      <c r="G15" s="5">
        <v>29</v>
      </c>
      <c r="H15" s="5">
        <f t="shared" si="25"/>
        <v>0</v>
      </c>
      <c r="I15" s="5">
        <f t="shared" ref="I15" si="28">(H15+F15)*120</f>
        <v>-120</v>
      </c>
      <c r="K15" s="5">
        <v>39</v>
      </c>
      <c r="L15" s="5">
        <f>K15-38</f>
        <v>1</v>
      </c>
      <c r="M15" s="5">
        <v>21</v>
      </c>
      <c r="N15" s="5">
        <f>M15-56</f>
        <v>-35</v>
      </c>
      <c r="O15" s="5">
        <f t="shared" ref="O15" si="29">(N15+L15)*120</f>
        <v>-4080</v>
      </c>
      <c r="S15" s="5">
        <v>9909</v>
      </c>
      <c r="T15" s="5">
        <f>S15-9500</f>
        <v>409</v>
      </c>
      <c r="U15" s="5">
        <f>T15*100/9500</f>
        <v>4.3052631578947365</v>
      </c>
      <c r="V15" s="5">
        <v>327</v>
      </c>
      <c r="W15" s="5">
        <f t="shared" si="27"/>
        <v>0</v>
      </c>
      <c r="AA15" s="8">
        <f t="shared" ref="AA15:AA16" si="30">Z15+O15+I15</f>
        <v>-4200</v>
      </c>
    </row>
    <row r="16" spans="1:29" x14ac:dyDescent="0.25">
      <c r="A16" s="6">
        <v>42933</v>
      </c>
      <c r="B16" s="5">
        <v>24015</v>
      </c>
      <c r="C16" s="5">
        <f>B16-23200</f>
        <v>815</v>
      </c>
      <c r="D16" s="5">
        <f>C16*100/23200</f>
        <v>3.5129310344827585</v>
      </c>
      <c r="E16" s="5">
        <v>590</v>
      </c>
      <c r="F16" s="5">
        <f t="shared" si="24"/>
        <v>41</v>
      </c>
      <c r="G16" s="5">
        <v>27</v>
      </c>
      <c r="H16" s="5">
        <f t="shared" si="25"/>
        <v>-2</v>
      </c>
      <c r="I16" s="5">
        <f t="shared" ref="I16" si="31">(H16+F16)*120</f>
        <v>4680</v>
      </c>
      <c r="K16" s="5">
        <v>45</v>
      </c>
      <c r="L16" s="5">
        <f>K16-38</f>
        <v>7</v>
      </c>
      <c r="M16" s="5">
        <v>18</v>
      </c>
      <c r="N16" s="5">
        <f>M16-56</f>
        <v>-38</v>
      </c>
      <c r="O16" s="5">
        <f t="shared" ref="O16" si="32">(N16+L16)*120</f>
        <v>-3720</v>
      </c>
      <c r="S16" s="5">
        <v>9916</v>
      </c>
      <c r="T16" s="5">
        <f>S16-9500</f>
        <v>416</v>
      </c>
      <c r="U16" s="5">
        <f>T16*100/9500</f>
        <v>4.3789473684210529</v>
      </c>
      <c r="V16" s="5">
        <v>338</v>
      </c>
      <c r="W16" s="5">
        <f t="shared" si="27"/>
        <v>-11</v>
      </c>
      <c r="Z16" s="5">
        <f t="shared" ref="Z16" si="33">(Y16+W16)*750</f>
        <v>-8250</v>
      </c>
      <c r="AA16" s="8">
        <f t="shared" si="30"/>
        <v>-7290</v>
      </c>
    </row>
    <row r="17" spans="1:27" x14ac:dyDescent="0.25">
      <c r="A17" s="6">
        <v>42934</v>
      </c>
      <c r="B17" s="5">
        <v>24022</v>
      </c>
      <c r="C17" s="5">
        <f>B17-23200</f>
        <v>822</v>
      </c>
      <c r="D17" s="5">
        <f>C17*100/23200</f>
        <v>3.5431034482758621</v>
      </c>
      <c r="E17" s="5">
        <v>600</v>
      </c>
      <c r="F17" s="5">
        <f t="shared" si="24"/>
        <v>51</v>
      </c>
      <c r="G17" s="5">
        <v>23</v>
      </c>
      <c r="H17" s="5">
        <f t="shared" si="25"/>
        <v>-6</v>
      </c>
      <c r="I17" s="5">
        <f t="shared" ref="I17:I19" si="34">(H17+F17)*120</f>
        <v>5400</v>
      </c>
      <c r="K17" s="5">
        <v>37</v>
      </c>
      <c r="L17" s="5">
        <f>K17-38</f>
        <v>-1</v>
      </c>
      <c r="M17" s="5">
        <v>10</v>
      </c>
      <c r="N17" s="5">
        <f>M17-56</f>
        <v>-46</v>
      </c>
      <c r="O17" s="5">
        <f t="shared" ref="O17" si="35">(N17+L17)*120</f>
        <v>-5640</v>
      </c>
      <c r="S17" s="5">
        <v>9827</v>
      </c>
      <c r="T17" s="5">
        <f>S17-9500</f>
        <v>327</v>
      </c>
      <c r="U17" s="5">
        <f>T17*100/9500</f>
        <v>3.4421052631578948</v>
      </c>
      <c r="V17" s="5">
        <v>260</v>
      </c>
      <c r="W17" s="5">
        <f t="shared" si="27"/>
        <v>67</v>
      </c>
      <c r="Z17" s="5">
        <f t="shared" ref="Z17" si="36">(Y17+W17)*750</f>
        <v>50250</v>
      </c>
      <c r="AA17" s="8">
        <f t="shared" ref="AA17" si="37">Z17+O17+I17</f>
        <v>50010</v>
      </c>
    </row>
    <row r="18" spans="1:27" x14ac:dyDescent="0.25">
      <c r="A18" s="6">
        <v>42935</v>
      </c>
      <c r="B18" s="5">
        <v>24154</v>
      </c>
      <c r="C18" s="5">
        <f>B18-23200</f>
        <v>954</v>
      </c>
      <c r="D18" s="5">
        <f>C18*100/23200</f>
        <v>4.1120689655172411</v>
      </c>
      <c r="E18" s="5">
        <v>737</v>
      </c>
      <c r="F18" s="5">
        <f t="shared" si="24"/>
        <v>188</v>
      </c>
      <c r="G18" s="5">
        <v>10</v>
      </c>
      <c r="H18" s="5">
        <f t="shared" si="25"/>
        <v>-19</v>
      </c>
      <c r="I18" s="5">
        <f t="shared" si="34"/>
        <v>20280</v>
      </c>
      <c r="K18" s="5">
        <v>67</v>
      </c>
      <c r="L18" s="5">
        <f>K18-38</f>
        <v>29</v>
      </c>
      <c r="M18" s="5">
        <v>0</v>
      </c>
      <c r="N18" s="5">
        <f>M18-56</f>
        <v>-56</v>
      </c>
      <c r="O18" s="5">
        <f t="shared" ref="O18:O19" si="38">(N18+L18)*120</f>
        <v>-3240</v>
      </c>
      <c r="S18" s="5">
        <v>9901</v>
      </c>
      <c r="T18" s="5">
        <f>S18-9500</f>
        <v>401</v>
      </c>
      <c r="U18" s="5">
        <f>T18*100/9500</f>
        <v>4.2210526315789476</v>
      </c>
      <c r="V18" s="5">
        <v>324</v>
      </c>
      <c r="W18" s="5">
        <f t="shared" si="27"/>
        <v>3</v>
      </c>
      <c r="Z18" s="5">
        <f t="shared" ref="Z18" si="39">(Y18+W18)*750</f>
        <v>2250</v>
      </c>
      <c r="AA18" s="8">
        <f t="shared" ref="AA18" si="40">Z18+O18+I18</f>
        <v>19290</v>
      </c>
    </row>
    <row r="19" spans="1:27" x14ac:dyDescent="0.25">
      <c r="A19" s="6">
        <v>42936</v>
      </c>
      <c r="B19" s="5">
        <v>24123</v>
      </c>
      <c r="C19" s="5">
        <f>B19-23200</f>
        <v>923</v>
      </c>
      <c r="D19" s="5">
        <f>C19*100/23200</f>
        <v>3.978448275862069</v>
      </c>
      <c r="E19" s="5">
        <v>750</v>
      </c>
      <c r="F19" s="5">
        <f t="shared" si="24"/>
        <v>201</v>
      </c>
      <c r="G19" s="5">
        <v>6</v>
      </c>
      <c r="H19" s="5">
        <f t="shared" si="25"/>
        <v>-23</v>
      </c>
      <c r="I19" s="5">
        <f t="shared" si="34"/>
        <v>21360</v>
      </c>
      <c r="K19" s="5">
        <v>5</v>
      </c>
      <c r="L19" s="5">
        <f>K19-38</f>
        <v>-33</v>
      </c>
      <c r="M19" s="5">
        <v>0</v>
      </c>
      <c r="N19" s="5">
        <f>M19-56</f>
        <v>-56</v>
      </c>
      <c r="O19" s="7">
        <f t="shared" si="38"/>
        <v>-10680</v>
      </c>
      <c r="S19" s="5">
        <v>9873</v>
      </c>
      <c r="T19" s="5">
        <f>S19-9500</f>
        <v>373</v>
      </c>
      <c r="U19" s="5">
        <f>T19*100/9500</f>
        <v>3.9263157894736844</v>
      </c>
      <c r="V19" s="5">
        <v>287</v>
      </c>
      <c r="W19" s="5">
        <f t="shared" si="27"/>
        <v>40</v>
      </c>
      <c r="Z19" s="5">
        <f t="shared" ref="Z19" si="41">(Y19+W19)*750</f>
        <v>30000</v>
      </c>
      <c r="AA19" s="8">
        <f t="shared" ref="AA19" si="42">Z19+O19+I19</f>
        <v>40680</v>
      </c>
    </row>
    <row r="20" spans="1:27" x14ac:dyDescent="0.25">
      <c r="K20" s="5" t="s">
        <v>88</v>
      </c>
      <c r="M20" s="5" t="s">
        <v>89</v>
      </c>
    </row>
    <row r="21" spans="1:27" x14ac:dyDescent="0.25">
      <c r="K21" s="5">
        <v>53</v>
      </c>
      <c r="L21" s="5">
        <f>K21-53</f>
        <v>0</v>
      </c>
      <c r="M21" s="5">
        <v>51</v>
      </c>
      <c r="N21" s="5">
        <f>M21-51</f>
        <v>0</v>
      </c>
    </row>
    <row r="22" spans="1:27" x14ac:dyDescent="0.25">
      <c r="A22" s="6">
        <v>42936</v>
      </c>
      <c r="B22" s="5">
        <v>24123</v>
      </c>
      <c r="C22" s="5">
        <f>B22-23200</f>
        <v>923</v>
      </c>
      <c r="D22" s="5">
        <f>C22*100/23200</f>
        <v>3.978448275862069</v>
      </c>
      <c r="E22" s="5">
        <v>750</v>
      </c>
      <c r="F22" s="5">
        <f t="shared" ref="F22:F24" si="43">E22-549</f>
        <v>201</v>
      </c>
      <c r="G22" s="5">
        <v>6</v>
      </c>
      <c r="H22" s="5">
        <f t="shared" ref="H22" si="44">G22-29</f>
        <v>-23</v>
      </c>
      <c r="I22" s="5">
        <f t="shared" ref="I22" si="45">(H22+F22)*120</f>
        <v>21360</v>
      </c>
      <c r="K22" s="5">
        <v>55</v>
      </c>
      <c r="L22" s="5">
        <f>K22-53</f>
        <v>2</v>
      </c>
      <c r="M22" s="5">
        <v>48</v>
      </c>
      <c r="N22" s="5">
        <f>M22-51</f>
        <v>-3</v>
      </c>
      <c r="O22" s="5">
        <f t="shared" ref="O22" si="46">(N22+L22)*120</f>
        <v>-120</v>
      </c>
      <c r="S22" s="5">
        <v>9873</v>
      </c>
      <c r="T22" s="5">
        <f>S22-9500</f>
        <v>373</v>
      </c>
      <c r="U22" s="5">
        <f>T22*100/9500</f>
        <v>3.9263157894736844</v>
      </c>
      <c r="V22" s="5">
        <v>287</v>
      </c>
      <c r="W22" s="5">
        <f t="shared" ref="W22:W24" si="47">327-V22</f>
        <v>40</v>
      </c>
      <c r="Z22" s="5">
        <f t="shared" ref="Z22" si="48">(Y22+W22)*750</f>
        <v>30000</v>
      </c>
      <c r="AA22" s="8">
        <f t="shared" ref="AA22" si="49">Z22+O22+I22</f>
        <v>51240</v>
      </c>
    </row>
    <row r="23" spans="1:27" x14ac:dyDescent="0.25">
      <c r="A23" s="6">
        <v>42937</v>
      </c>
      <c r="B23" s="5">
        <v>24278</v>
      </c>
      <c r="C23" s="5">
        <f>B23-23200</f>
        <v>1078</v>
      </c>
      <c r="D23" s="5">
        <f>C23*100/23200</f>
        <v>4.6465517241379306</v>
      </c>
      <c r="E23" s="5">
        <v>752</v>
      </c>
      <c r="F23" s="5">
        <f t="shared" si="43"/>
        <v>203</v>
      </c>
      <c r="G23" s="5">
        <v>4</v>
      </c>
      <c r="H23" s="5">
        <f t="shared" ref="H23" si="50">G23-29</f>
        <v>-25</v>
      </c>
      <c r="I23" s="5">
        <f t="shared" ref="I23" si="51">(H23+F23)*120</f>
        <v>21360</v>
      </c>
      <c r="K23" s="5">
        <v>47</v>
      </c>
      <c r="L23" s="5">
        <f>K23-53</f>
        <v>-6</v>
      </c>
      <c r="M23" s="5">
        <v>27</v>
      </c>
      <c r="N23" s="5">
        <f>M23-51</f>
        <v>-24</v>
      </c>
      <c r="O23" s="5">
        <f t="shared" ref="O23" si="52">(N23+L23)*120</f>
        <v>-3600</v>
      </c>
      <c r="S23" s="5">
        <v>9913</v>
      </c>
      <c r="T23" s="5">
        <f>S23-9500</f>
        <v>413</v>
      </c>
      <c r="U23" s="5">
        <f>T23*100/9500</f>
        <v>4.3473684210526313</v>
      </c>
      <c r="V23" s="5">
        <v>312</v>
      </c>
      <c r="W23" s="5">
        <f t="shared" si="47"/>
        <v>15</v>
      </c>
      <c r="Z23" s="5">
        <f t="shared" ref="Z23" si="53">(Y23+W23)*750</f>
        <v>11250</v>
      </c>
      <c r="AA23" s="8">
        <f t="shared" ref="AA23" si="54">Z23+O23+I23</f>
        <v>29010</v>
      </c>
    </row>
    <row r="24" spans="1:27" x14ac:dyDescent="0.25">
      <c r="A24" s="6">
        <v>42940</v>
      </c>
      <c r="B24" s="5">
        <v>24418</v>
      </c>
      <c r="C24" s="5">
        <f>B24-23200</f>
        <v>1218</v>
      </c>
      <c r="D24" s="5">
        <f>C24*100/23200</f>
        <v>5.25</v>
      </c>
      <c r="E24" s="5">
        <v>867</v>
      </c>
      <c r="F24" s="5">
        <f t="shared" si="43"/>
        <v>318</v>
      </c>
      <c r="G24" s="5">
        <v>0</v>
      </c>
      <c r="H24" s="5">
        <f t="shared" ref="H24" si="55">G24-29</f>
        <v>-29</v>
      </c>
      <c r="I24" s="7">
        <f t="shared" ref="I24" si="56">(H24+F24)*120</f>
        <v>34680</v>
      </c>
      <c r="K24" s="5">
        <v>68</v>
      </c>
      <c r="L24" s="5">
        <f>K24-53</f>
        <v>15</v>
      </c>
      <c r="M24" s="5">
        <v>16</v>
      </c>
      <c r="N24" s="5">
        <f>M24-51</f>
        <v>-35</v>
      </c>
      <c r="O24" s="5">
        <f t="shared" ref="O24" si="57">(N24+L24)*120</f>
        <v>-2400</v>
      </c>
      <c r="S24" s="5">
        <v>9965</v>
      </c>
      <c r="T24" s="5">
        <f>S24-9500</f>
        <v>465</v>
      </c>
      <c r="U24" s="5">
        <f>T24*100/9500</f>
        <v>4.8947368421052628</v>
      </c>
      <c r="V24" s="5">
        <v>358</v>
      </c>
      <c r="W24" s="5">
        <f t="shared" si="47"/>
        <v>-31</v>
      </c>
      <c r="Z24" s="5">
        <f t="shared" ref="Z24" si="58">(Y24+W24)*750</f>
        <v>-23250</v>
      </c>
      <c r="AA24" s="8">
        <f t="shared" ref="AA24" si="59">Z24+O24+I24</f>
        <v>9030</v>
      </c>
    </row>
    <row r="25" spans="1:27" x14ac:dyDescent="0.25">
      <c r="E25" s="5" t="s">
        <v>79</v>
      </c>
    </row>
    <row r="26" spans="1:27" x14ac:dyDescent="0.25">
      <c r="E26" s="5">
        <v>394</v>
      </c>
      <c r="F26" s="5">
        <f>E26-394</f>
        <v>0</v>
      </c>
      <c r="I26" s="5">
        <f t="shared" ref="I26:I28" si="60">(H26+F26)*120</f>
        <v>0</v>
      </c>
    </row>
    <row r="27" spans="1:27" x14ac:dyDescent="0.25">
      <c r="A27" s="6">
        <v>42940</v>
      </c>
      <c r="B27" s="5">
        <v>24421</v>
      </c>
      <c r="C27" s="5">
        <f>B27-23200</f>
        <v>1221</v>
      </c>
      <c r="D27" s="5">
        <f>C27*100/23200</f>
        <v>5.2629310344827589</v>
      </c>
      <c r="E27" s="5">
        <v>398</v>
      </c>
      <c r="F27" s="5">
        <f>E27-394</f>
        <v>4</v>
      </c>
      <c r="I27" s="5">
        <f t="shared" si="60"/>
        <v>480</v>
      </c>
      <c r="K27" s="5">
        <v>66</v>
      </c>
      <c r="L27" s="5">
        <f>K27-53</f>
        <v>13</v>
      </c>
      <c r="M27" s="5">
        <v>18</v>
      </c>
      <c r="N27" s="5">
        <f>M27-51</f>
        <v>-33</v>
      </c>
      <c r="O27" s="5">
        <f t="shared" ref="O27" si="61">(N27+L27)*120</f>
        <v>-2400</v>
      </c>
      <c r="S27" s="5">
        <v>9969</v>
      </c>
      <c r="T27" s="5">
        <f>S27-9500</f>
        <v>469</v>
      </c>
      <c r="U27" s="5">
        <f>T27*100/9500</f>
        <v>4.9368421052631577</v>
      </c>
      <c r="V27" s="5">
        <v>355</v>
      </c>
      <c r="W27" s="5">
        <f t="shared" ref="W27" si="62">327-V27</f>
        <v>-28</v>
      </c>
      <c r="Z27" s="5">
        <f t="shared" ref="Z27" si="63">(Y27+W27)*750</f>
        <v>-21000</v>
      </c>
      <c r="AA27" s="8">
        <f t="shared" ref="AA27" si="64">Z27+O27+I27</f>
        <v>-22920</v>
      </c>
    </row>
    <row r="28" spans="1:27" x14ac:dyDescent="0.25">
      <c r="A28" s="6">
        <v>42941</v>
      </c>
      <c r="B28" s="5">
        <v>24515</v>
      </c>
      <c r="C28" s="5">
        <f>B28-23200</f>
        <v>1315</v>
      </c>
      <c r="D28" s="5">
        <f>C28*100/23200</f>
        <v>5.6681034482758621</v>
      </c>
      <c r="E28" s="5">
        <v>486</v>
      </c>
      <c r="F28" s="5">
        <f>E28-394</f>
        <v>92</v>
      </c>
      <c r="I28" s="7">
        <f t="shared" si="60"/>
        <v>11040</v>
      </c>
    </row>
    <row r="29" spans="1:27" x14ac:dyDescent="0.25">
      <c r="E29" s="5" t="s">
        <v>85</v>
      </c>
    </row>
    <row r="30" spans="1:27" x14ac:dyDescent="0.25">
      <c r="A30" s="6">
        <v>42941</v>
      </c>
      <c r="B30" s="5">
        <v>24509</v>
      </c>
      <c r="C30" s="5">
        <f>B30-23200</f>
        <v>1309</v>
      </c>
      <c r="D30" s="5">
        <f>C30*100/23200</f>
        <v>5.6422413793103452</v>
      </c>
      <c r="E30" s="5">
        <v>339</v>
      </c>
      <c r="F30" s="5">
        <f>E30-302</f>
        <v>37</v>
      </c>
      <c r="K30" s="5">
        <v>111</v>
      </c>
      <c r="L30" s="5">
        <f>K30-53</f>
        <v>58</v>
      </c>
      <c r="M30" s="5">
        <v>0</v>
      </c>
      <c r="N30" s="5">
        <f>M30-51</f>
        <v>-51</v>
      </c>
      <c r="O30" s="5">
        <f t="shared" ref="O30" si="65">(N30+L30)*120</f>
        <v>840</v>
      </c>
      <c r="S30" s="5">
        <v>9964</v>
      </c>
      <c r="T30" s="5">
        <f>S30-9500</f>
        <v>464</v>
      </c>
      <c r="U30" s="5">
        <f>T30*100/9500</f>
        <v>4.8842105263157896</v>
      </c>
      <c r="V30" s="5">
        <v>368</v>
      </c>
      <c r="W30" s="5">
        <f t="shared" ref="W30:W32" si="66">327-V30</f>
        <v>-41</v>
      </c>
      <c r="Z30" s="5">
        <f t="shared" ref="Z30" si="67">(Y30+W30)*750</f>
        <v>-30750</v>
      </c>
      <c r="AA30" s="8">
        <f t="shared" ref="AA30" si="68">Z30+O30+I30</f>
        <v>-29910</v>
      </c>
    </row>
    <row r="31" spans="1:27" x14ac:dyDescent="0.25">
      <c r="A31" s="6">
        <v>42942</v>
      </c>
      <c r="B31" s="5">
        <v>24670</v>
      </c>
      <c r="C31" s="5">
        <f>B31-23200</f>
        <v>1470</v>
      </c>
      <c r="D31" s="5">
        <f>C31*100/23200</f>
        <v>6.3362068965517242</v>
      </c>
      <c r="E31" s="5">
        <v>494</v>
      </c>
      <c r="F31" s="5">
        <f>E31-302</f>
        <v>192</v>
      </c>
      <c r="K31" s="5">
        <v>224</v>
      </c>
      <c r="L31" s="5">
        <f>K31-53</f>
        <v>171</v>
      </c>
      <c r="M31" s="5">
        <v>0</v>
      </c>
      <c r="N31" s="5">
        <f>M31-51</f>
        <v>-51</v>
      </c>
      <c r="O31" s="5">
        <f t="shared" ref="O31:O32" si="69">(N31+L31)*120</f>
        <v>14400</v>
      </c>
      <c r="S31" s="5">
        <v>10020</v>
      </c>
      <c r="T31" s="5">
        <f>S31-9500</f>
        <v>520</v>
      </c>
      <c r="U31" s="5">
        <f>T31*100/9500</f>
        <v>5.4736842105263159</v>
      </c>
      <c r="V31" s="5">
        <v>426</v>
      </c>
      <c r="W31" s="5">
        <f t="shared" si="66"/>
        <v>-99</v>
      </c>
      <c r="Z31" s="5">
        <f t="shared" ref="Z31" si="70">(Y31+W31)*750</f>
        <v>-74250</v>
      </c>
      <c r="AA31" s="8">
        <f t="shared" ref="AA31" si="71">Z31+O31+I31</f>
        <v>-59850</v>
      </c>
    </row>
    <row r="32" spans="1:27" x14ac:dyDescent="0.25">
      <c r="A32" s="6">
        <v>42943</v>
      </c>
      <c r="B32" s="5">
        <v>24957</v>
      </c>
      <c r="C32" s="5">
        <f>B32-23200</f>
        <v>1757</v>
      </c>
      <c r="D32" s="5">
        <f>C32*100/23200</f>
        <v>7.5732758620689653</v>
      </c>
      <c r="E32" s="5">
        <v>660</v>
      </c>
      <c r="F32" s="5">
        <f>E32-302</f>
        <v>358</v>
      </c>
      <c r="I32" s="7">
        <f t="shared" ref="I32" si="72">(H32+F32)*120</f>
        <v>42960</v>
      </c>
      <c r="K32" s="5">
        <v>468</v>
      </c>
      <c r="L32" s="5">
        <f>K32-53</f>
        <v>415</v>
      </c>
      <c r="N32" s="5">
        <v>0</v>
      </c>
      <c r="O32" s="5">
        <f t="shared" si="69"/>
        <v>49800</v>
      </c>
      <c r="S32" s="5">
        <v>10100</v>
      </c>
      <c r="T32" s="5">
        <f>S32-9500</f>
        <v>600</v>
      </c>
      <c r="U32" s="5">
        <f>T32*100/9500</f>
        <v>6.3157894736842106</v>
      </c>
      <c r="V32" s="5">
        <v>506</v>
      </c>
      <c r="W32" s="5">
        <f t="shared" si="66"/>
        <v>-179</v>
      </c>
      <c r="Z32" s="5">
        <f t="shared" ref="Z32" si="73">(Y32+W32)*750</f>
        <v>-134250</v>
      </c>
      <c r="AA32" s="8">
        <f t="shared" ref="AA32" si="74">Z32+O32+I32</f>
        <v>-41490</v>
      </c>
    </row>
    <row r="33" spans="1:27" x14ac:dyDescent="0.25">
      <c r="E33" s="5" t="s">
        <v>88</v>
      </c>
    </row>
    <row r="34" spans="1:27" x14ac:dyDescent="0.25">
      <c r="A34" s="6">
        <v>42943</v>
      </c>
      <c r="B34" s="5">
        <v>24957</v>
      </c>
      <c r="C34" s="5">
        <f>B34-23200</f>
        <v>1757</v>
      </c>
      <c r="D34" s="5">
        <f>C34*100/23200</f>
        <v>7.5732758620689653</v>
      </c>
      <c r="E34" s="5">
        <v>384</v>
      </c>
      <c r="F34" s="5">
        <f>E34-384</f>
        <v>0</v>
      </c>
      <c r="I34" s="5">
        <f t="shared" ref="I34:I38" si="75">(H34+F34)*120</f>
        <v>0</v>
      </c>
      <c r="K34" s="5">
        <v>468</v>
      </c>
      <c r="L34" s="5">
        <f>K34-53</f>
        <v>415</v>
      </c>
      <c r="N34" s="5">
        <v>0</v>
      </c>
      <c r="O34" s="5">
        <f t="shared" ref="O34" si="76">(N34+L34)*120</f>
        <v>49800</v>
      </c>
      <c r="S34" s="5">
        <v>10100</v>
      </c>
      <c r="T34" s="5">
        <f>S34-9500</f>
        <v>600</v>
      </c>
      <c r="U34" s="5">
        <f>T34*100/9500</f>
        <v>6.3157894736842106</v>
      </c>
      <c r="V34" s="5">
        <v>506</v>
      </c>
      <c r="W34" s="5">
        <f t="shared" ref="W34" si="77">327-V34</f>
        <v>-179</v>
      </c>
      <c r="Z34" s="5">
        <f t="shared" ref="Z34" si="78">(Y34+W34)*750</f>
        <v>-134250</v>
      </c>
      <c r="AA34" s="8">
        <f t="shared" ref="AA34" si="79">Z34+O34+I34</f>
        <v>-84450</v>
      </c>
    </row>
    <row r="35" spans="1:27" x14ac:dyDescent="0.25">
      <c r="A35" s="6">
        <v>42943</v>
      </c>
      <c r="B35" s="5">
        <v>24957</v>
      </c>
      <c r="C35" s="5">
        <f>B35-23200</f>
        <v>1757</v>
      </c>
      <c r="D35" s="5">
        <f>C35*100/23200</f>
        <v>7.5732758620689653</v>
      </c>
      <c r="E35" s="5">
        <v>468</v>
      </c>
      <c r="F35" s="5">
        <f>E35-384</f>
        <v>84</v>
      </c>
      <c r="I35" s="7">
        <f t="shared" si="75"/>
        <v>10080</v>
      </c>
      <c r="K35" s="5">
        <v>468</v>
      </c>
      <c r="L35" s="5">
        <f>K35-53</f>
        <v>415</v>
      </c>
      <c r="N35" s="5">
        <v>0</v>
      </c>
      <c r="O35" s="7">
        <f t="shared" ref="O35" si="80">(N35+L35)*120</f>
        <v>49800</v>
      </c>
      <c r="S35" s="5">
        <v>10100</v>
      </c>
      <c r="T35" s="5">
        <f>S35-9500</f>
        <v>600</v>
      </c>
      <c r="U35" s="5">
        <f>T35*100/9500</f>
        <v>6.3157894736842106</v>
      </c>
      <c r="V35" s="5">
        <v>506</v>
      </c>
      <c r="W35" s="5">
        <f t="shared" ref="W35" si="81">327-V35</f>
        <v>-179</v>
      </c>
      <c r="Z35" s="5">
        <f t="shared" ref="Z35" si="82">(Y35+W35)*750</f>
        <v>-134250</v>
      </c>
      <c r="AA35" s="8">
        <f t="shared" ref="AA35" si="83">Z35+O35+I35</f>
        <v>-74370</v>
      </c>
    </row>
    <row r="36" spans="1:27" x14ac:dyDescent="0.25">
      <c r="E36" s="5" t="s">
        <v>90</v>
      </c>
      <c r="K36" s="5" t="s">
        <v>90</v>
      </c>
    </row>
    <row r="37" spans="1:27" x14ac:dyDescent="0.25">
      <c r="E37" s="5">
        <v>271</v>
      </c>
      <c r="F37" s="5">
        <f>E37-271</f>
        <v>0</v>
      </c>
      <c r="I37" s="5">
        <f t="shared" si="75"/>
        <v>0</v>
      </c>
      <c r="K37" s="5">
        <v>271</v>
      </c>
      <c r="L37" s="5">
        <f>K37-271</f>
        <v>0</v>
      </c>
      <c r="O37" s="5">
        <f t="shared" ref="O37:O38" si="84">(N37+L37)*120</f>
        <v>0</v>
      </c>
    </row>
    <row r="38" spans="1:27" x14ac:dyDescent="0.25">
      <c r="A38" s="6">
        <v>42943</v>
      </c>
      <c r="B38" s="5">
        <v>24901</v>
      </c>
      <c r="C38" s="5">
        <f>B38-23200</f>
        <v>1701</v>
      </c>
      <c r="D38" s="5">
        <f>C38*100/23200</f>
        <v>7.3318965517241379</v>
      </c>
      <c r="E38" s="5">
        <v>282</v>
      </c>
      <c r="F38" s="5">
        <f>E38-271</f>
        <v>11</v>
      </c>
      <c r="I38" s="8">
        <f t="shared" si="75"/>
        <v>1320</v>
      </c>
      <c r="K38" s="5">
        <v>282</v>
      </c>
      <c r="L38" s="5">
        <f>K38-271</f>
        <v>11</v>
      </c>
      <c r="O38" s="5">
        <f t="shared" si="84"/>
        <v>1320</v>
      </c>
      <c r="S38" s="5">
        <v>10013</v>
      </c>
      <c r="T38" s="5">
        <f>S38-9500</f>
        <v>513</v>
      </c>
      <c r="U38" s="5">
        <f>T38*100/9500</f>
        <v>5.4</v>
      </c>
      <c r="V38" s="5">
        <v>444</v>
      </c>
      <c r="W38" s="5">
        <f t="shared" ref="W38" si="85">327-V38</f>
        <v>-117</v>
      </c>
      <c r="Z38" s="5">
        <f t="shared" ref="Z38" si="86">(Y38+W38)*750</f>
        <v>-87750</v>
      </c>
      <c r="AA38" s="7">
        <f t="shared" ref="AA38" si="87">Z38+O38+I38</f>
        <v>-85110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A58" workbookViewId="0">
      <selection activeCell="R22" sqref="R22"/>
    </sheetView>
  </sheetViews>
  <sheetFormatPr defaultRowHeight="15" x14ac:dyDescent="0.25"/>
  <cols>
    <col min="1" max="1" width="7.140625" style="5" bestFit="1" customWidth="1"/>
    <col min="2" max="2" width="6" style="5" bestFit="1" customWidth="1"/>
    <col min="3" max="3" width="4.7109375" style="5" bestFit="1" customWidth="1"/>
    <col min="4" max="4" width="4.7109375" style="5" customWidth="1"/>
    <col min="5" max="5" width="5.5703125" style="5" bestFit="1" customWidth="1"/>
    <col min="6" max="6" width="4.7109375" style="5" bestFit="1" customWidth="1"/>
    <col min="7" max="7" width="5.5703125" style="5" bestFit="1" customWidth="1"/>
    <col min="8" max="8" width="4.7109375" style="5" bestFit="1" customWidth="1"/>
    <col min="9" max="9" width="6.7109375" style="5" bestFit="1" customWidth="1"/>
    <col min="10" max="10" width="9.140625" style="5"/>
    <col min="11" max="11" width="5.5703125" style="5" bestFit="1" customWidth="1"/>
    <col min="12" max="12" width="4.7109375" style="5" bestFit="1" customWidth="1"/>
    <col min="13" max="13" width="5.5703125" style="5" bestFit="1" customWidth="1"/>
    <col min="14" max="14" width="4.7109375" style="5" bestFit="1" customWidth="1"/>
    <col min="15" max="15" width="6.7109375" style="5" bestFit="1" customWidth="1"/>
    <col min="16" max="18" width="9.140625" style="5"/>
    <col min="19" max="19" width="6" style="5" bestFit="1" customWidth="1"/>
    <col min="20" max="20" width="4.7109375" style="5" bestFit="1" customWidth="1"/>
    <col min="21" max="21" width="5.140625" style="5" customWidth="1"/>
    <col min="22" max="22" width="8.28515625" style="5" customWidth="1"/>
    <col min="23" max="23" width="4.28515625" style="5" bestFit="1" customWidth="1"/>
    <col min="24" max="24" width="5.5703125" style="5" bestFit="1" customWidth="1"/>
    <col min="25" max="25" width="4.28515625" style="5" bestFit="1" customWidth="1"/>
    <col min="26" max="27" width="6.7109375" style="5" bestFit="1" customWidth="1"/>
    <col min="28" max="28" width="9.140625" style="5"/>
    <col min="29" max="29" width="7.7109375" style="5" bestFit="1" customWidth="1"/>
    <col min="30" max="16384" width="9.140625" style="5"/>
  </cols>
  <sheetData>
    <row r="1" spans="1:29" x14ac:dyDescent="0.25">
      <c r="A1" s="5" t="s">
        <v>0</v>
      </c>
      <c r="B1" s="5" t="s">
        <v>5</v>
      </c>
      <c r="C1" s="5" t="s">
        <v>2</v>
      </c>
      <c r="D1" s="5" t="s">
        <v>6</v>
      </c>
      <c r="E1" s="5" t="s">
        <v>97</v>
      </c>
      <c r="F1" s="5" t="s">
        <v>2</v>
      </c>
      <c r="G1" s="5" t="s">
        <v>98</v>
      </c>
      <c r="H1" s="5" t="s">
        <v>2</v>
      </c>
      <c r="I1" s="5" t="s">
        <v>3</v>
      </c>
      <c r="K1" s="5" t="s">
        <v>97</v>
      </c>
      <c r="L1" s="5" t="s">
        <v>2</v>
      </c>
      <c r="M1" s="5" t="s">
        <v>98</v>
      </c>
      <c r="N1" s="5" t="s">
        <v>2</v>
      </c>
      <c r="O1" s="5" t="s">
        <v>3</v>
      </c>
      <c r="S1" s="5" t="s">
        <v>1</v>
      </c>
      <c r="T1" s="5" t="s">
        <v>2</v>
      </c>
      <c r="U1" s="5" t="s">
        <v>6</v>
      </c>
      <c r="V1" s="5" t="s">
        <v>99</v>
      </c>
      <c r="W1" s="5" t="s">
        <v>2</v>
      </c>
      <c r="X1" s="5" t="s">
        <v>100</v>
      </c>
      <c r="Y1" s="5" t="s">
        <v>2</v>
      </c>
      <c r="Z1" s="5" t="s">
        <v>3</v>
      </c>
      <c r="AA1" s="5" t="s">
        <v>4</v>
      </c>
      <c r="AC1" s="7" t="s">
        <v>19</v>
      </c>
    </row>
    <row r="2" spans="1:29" x14ac:dyDescent="0.25">
      <c r="A2" s="6">
        <v>42944</v>
      </c>
      <c r="B2" s="5">
        <v>24800</v>
      </c>
      <c r="C2" s="5">
        <f>B2-24800</f>
        <v>0</v>
      </c>
      <c r="D2" s="5">
        <f>C2*100/24800</f>
        <v>0</v>
      </c>
      <c r="E2" s="5">
        <v>405</v>
      </c>
      <c r="F2" s="5">
        <f>E2-405</f>
        <v>0</v>
      </c>
      <c r="G2" s="5">
        <v>345</v>
      </c>
      <c r="H2" s="5">
        <f>G2-345</f>
        <v>0</v>
      </c>
      <c r="I2" s="5">
        <f t="shared" ref="I2" si="0">(H2+F2)*120</f>
        <v>0</v>
      </c>
      <c r="K2" s="5">
        <v>175</v>
      </c>
      <c r="L2" s="5">
        <f>K2-175</f>
        <v>0</v>
      </c>
      <c r="M2" s="5">
        <v>125</v>
      </c>
      <c r="N2" s="5">
        <f>M2-125</f>
        <v>0</v>
      </c>
      <c r="O2" s="5">
        <f>(N2+L2)*80</f>
        <v>0</v>
      </c>
      <c r="S2" s="5">
        <v>9980</v>
      </c>
      <c r="T2" s="5">
        <f>S2-9980</f>
        <v>0</v>
      </c>
      <c r="U2" s="5">
        <f>T2*100/9980</f>
        <v>0</v>
      </c>
      <c r="V2" s="5">
        <v>98</v>
      </c>
      <c r="W2" s="5">
        <f>98-V2</f>
        <v>0</v>
      </c>
      <c r="X2" s="5">
        <v>90</v>
      </c>
      <c r="Y2" s="5">
        <f>90-X2</f>
        <v>0</v>
      </c>
      <c r="Z2" s="5">
        <f>(Y2+W2)*675</f>
        <v>0</v>
      </c>
      <c r="AA2" s="5">
        <f t="shared" ref="AA2" si="1">Z2+O2+I2</f>
        <v>0</v>
      </c>
      <c r="AC2" s="5">
        <v>4240</v>
      </c>
    </row>
    <row r="3" spans="1:29" x14ac:dyDescent="0.25">
      <c r="A3" s="6">
        <v>42944</v>
      </c>
      <c r="B3" s="5">
        <v>24811</v>
      </c>
      <c r="C3" s="5">
        <f>B3-24800</f>
        <v>11</v>
      </c>
      <c r="D3" s="5">
        <f>C3*100/24800</f>
        <v>4.4354838709677422E-2</v>
      </c>
      <c r="E3" s="5">
        <v>438</v>
      </c>
      <c r="F3" s="5">
        <f>E3-405</f>
        <v>33</v>
      </c>
      <c r="G3" s="5">
        <v>310</v>
      </c>
      <c r="H3" s="5">
        <f>G3-345</f>
        <v>-35</v>
      </c>
      <c r="I3" s="5">
        <f t="shared" ref="I3" si="2">(H3+F3)*120</f>
        <v>-240</v>
      </c>
      <c r="K3" s="5">
        <v>185</v>
      </c>
      <c r="L3" s="5">
        <f>K3-175</f>
        <v>10</v>
      </c>
      <c r="M3" s="5">
        <v>95</v>
      </c>
      <c r="N3" s="5">
        <f>M3-125</f>
        <v>-30</v>
      </c>
      <c r="O3" s="5">
        <f>(N3+L3)*80</f>
        <v>-1600</v>
      </c>
      <c r="S3" s="5">
        <v>10014</v>
      </c>
      <c r="T3" s="5">
        <f>S3-9980</f>
        <v>34</v>
      </c>
      <c r="U3" s="5">
        <f>T3*100/9980</f>
        <v>0.34068136272545091</v>
      </c>
      <c r="V3" s="5">
        <v>118</v>
      </c>
      <c r="W3" s="5">
        <f>98-V3</f>
        <v>-20</v>
      </c>
      <c r="X3" s="5">
        <v>75</v>
      </c>
      <c r="Y3" s="5">
        <f>90-X3</f>
        <v>15</v>
      </c>
      <c r="Z3" s="5">
        <f>(Y3+W3)*675</f>
        <v>-3375</v>
      </c>
      <c r="AA3" s="5">
        <f t="shared" ref="AA3" si="3">Z3+O3+I3</f>
        <v>-5215</v>
      </c>
      <c r="AC3" s="5">
        <v>-7600</v>
      </c>
    </row>
    <row r="4" spans="1:29" x14ac:dyDescent="0.25">
      <c r="A4" s="6">
        <v>42947</v>
      </c>
      <c r="B4" s="5">
        <v>25103</v>
      </c>
      <c r="C4" s="5">
        <f>B4-24800</f>
        <v>303</v>
      </c>
      <c r="D4" s="5">
        <f>C4*100/24800</f>
        <v>1.221774193548387</v>
      </c>
      <c r="E4" s="5">
        <v>570</v>
      </c>
      <c r="F4" s="5">
        <f>E4-405</f>
        <v>165</v>
      </c>
      <c r="G4" s="5">
        <v>255</v>
      </c>
      <c r="H4" s="5">
        <f>G4-345</f>
        <v>-90</v>
      </c>
      <c r="I4" s="5">
        <f t="shared" ref="I4" si="4">(H4+F4)*120</f>
        <v>9000</v>
      </c>
      <c r="K4" s="5">
        <v>330</v>
      </c>
      <c r="L4" s="5">
        <f>K4-175</f>
        <v>155</v>
      </c>
      <c r="M4" s="5">
        <v>59</v>
      </c>
      <c r="N4" s="5">
        <f>M4-125</f>
        <v>-66</v>
      </c>
      <c r="O4" s="5">
        <f>(N4+L4)*80</f>
        <v>7120</v>
      </c>
      <c r="S4" s="5">
        <v>10077</v>
      </c>
      <c r="T4" s="5">
        <f>S4-9980</f>
        <v>97</v>
      </c>
      <c r="U4" s="5">
        <f>T4*100/9980</f>
        <v>0.97194388777555107</v>
      </c>
      <c r="V4" s="5">
        <v>154</v>
      </c>
      <c r="W4" s="5">
        <f>98-V4</f>
        <v>-56</v>
      </c>
      <c r="X4" s="5">
        <v>62</v>
      </c>
      <c r="Y4" s="5">
        <f>90-X4</f>
        <v>28</v>
      </c>
      <c r="Z4" s="5">
        <f>(Y4+W4)*675</f>
        <v>-18900</v>
      </c>
      <c r="AA4" s="5">
        <f t="shared" ref="AA4" si="5">Z4+O4+I4</f>
        <v>-2780</v>
      </c>
      <c r="AC4" s="5">
        <v>1520</v>
      </c>
    </row>
    <row r="5" spans="1:29" x14ac:dyDescent="0.25">
      <c r="A5" s="6">
        <v>42948</v>
      </c>
      <c r="B5" s="5">
        <v>25140</v>
      </c>
      <c r="C5" s="5">
        <f>B5-24800</f>
        <v>340</v>
      </c>
      <c r="D5" s="5">
        <f>C5*100/24800</f>
        <v>1.3709677419354838</v>
      </c>
      <c r="E5" s="5">
        <v>600</v>
      </c>
      <c r="F5" s="5">
        <f>E5-405</f>
        <v>195</v>
      </c>
      <c r="G5" s="5">
        <v>220</v>
      </c>
      <c r="H5" s="5">
        <f>G5-345</f>
        <v>-125</v>
      </c>
      <c r="I5" s="5">
        <f t="shared" ref="I5:I6" si="6">(H5+F5)*120</f>
        <v>8400</v>
      </c>
      <c r="K5" s="5">
        <v>376</v>
      </c>
      <c r="L5" s="5">
        <f>K5-175</f>
        <v>201</v>
      </c>
      <c r="M5" s="5">
        <v>33</v>
      </c>
      <c r="N5" s="5">
        <f>M5-125</f>
        <v>-92</v>
      </c>
      <c r="O5" s="5">
        <f>(N5+L5)*80</f>
        <v>8720</v>
      </c>
      <c r="S5" s="5">
        <v>10119</v>
      </c>
      <c r="T5" s="5">
        <f>S5-9980</f>
        <v>139</v>
      </c>
      <c r="U5" s="5">
        <f>T5*100/9980</f>
        <v>1.3927855711422845</v>
      </c>
      <c r="V5" s="5">
        <v>183</v>
      </c>
      <c r="W5" s="5">
        <f>98-V5</f>
        <v>-85</v>
      </c>
      <c r="X5" s="5">
        <v>51</v>
      </c>
      <c r="Y5" s="5">
        <f>90-X5</f>
        <v>39</v>
      </c>
      <c r="Z5" s="5">
        <f>(Y5+W5)*675</f>
        <v>-31050</v>
      </c>
      <c r="AA5" s="5">
        <f t="shared" ref="AA5:AA6" si="7">Z5+O5+I5</f>
        <v>-13930</v>
      </c>
      <c r="AC5" s="5">
        <v>8960</v>
      </c>
    </row>
    <row r="6" spans="1:29" x14ac:dyDescent="0.25">
      <c r="A6" s="6">
        <v>42949</v>
      </c>
      <c r="B6" s="5">
        <v>25121</v>
      </c>
      <c r="C6" s="5">
        <f>B6-24800</f>
        <v>321</v>
      </c>
      <c r="D6" s="5">
        <f>C6*100/24800</f>
        <v>1.2943548387096775</v>
      </c>
      <c r="E6" s="5">
        <v>590</v>
      </c>
      <c r="F6" s="5">
        <f>E6-405</f>
        <v>185</v>
      </c>
      <c r="G6" s="5">
        <v>192</v>
      </c>
      <c r="H6" s="5">
        <f>G6-345</f>
        <v>-153</v>
      </c>
      <c r="I6" s="5">
        <f t="shared" si="6"/>
        <v>3840</v>
      </c>
      <c r="K6" s="5">
        <v>353</v>
      </c>
      <c r="L6" s="5">
        <f>K6-175</f>
        <v>178</v>
      </c>
      <c r="M6" s="5">
        <v>0</v>
      </c>
      <c r="N6" s="5">
        <f>M6-125</f>
        <v>-125</v>
      </c>
      <c r="O6" s="7">
        <f>(N6+L6)*80</f>
        <v>4240</v>
      </c>
      <c r="S6" s="5">
        <v>10092</v>
      </c>
      <c r="T6" s="5">
        <f>S6-9980</f>
        <v>112</v>
      </c>
      <c r="U6" s="5">
        <f>T6*100/9980</f>
        <v>1.1222444889779559</v>
      </c>
      <c r="V6" s="5">
        <v>159</v>
      </c>
      <c r="W6" s="5">
        <f>98-V6</f>
        <v>-61</v>
      </c>
      <c r="X6" s="5">
        <v>54</v>
      </c>
      <c r="Y6" s="5">
        <f>90-X6</f>
        <v>36</v>
      </c>
      <c r="Z6" s="5">
        <f>(Y6+W6)*675</f>
        <v>-16875</v>
      </c>
      <c r="AA6" s="5">
        <f t="shared" si="7"/>
        <v>-8795</v>
      </c>
      <c r="AC6" s="5">
        <v>4560</v>
      </c>
    </row>
    <row r="7" spans="1:29" x14ac:dyDescent="0.25">
      <c r="K7" s="7" t="s">
        <v>101</v>
      </c>
      <c r="AC7" s="5">
        <v>-3680</v>
      </c>
    </row>
    <row r="8" spans="1:29" x14ac:dyDescent="0.25">
      <c r="K8" s="5">
        <v>185</v>
      </c>
      <c r="L8" s="5">
        <f>K8-185</f>
        <v>0</v>
      </c>
      <c r="O8" s="5">
        <f>(N8+L8)*80</f>
        <v>0</v>
      </c>
      <c r="AC8" s="5">
        <v>-6125</v>
      </c>
    </row>
    <row r="9" spans="1:29" x14ac:dyDescent="0.25">
      <c r="A9" s="6">
        <v>42949</v>
      </c>
      <c r="B9" s="5">
        <v>25055</v>
      </c>
      <c r="C9" s="5">
        <f>B9-24800</f>
        <v>255</v>
      </c>
      <c r="D9" s="5">
        <f>C9*100/24800</f>
        <v>1.028225806451613</v>
      </c>
      <c r="E9" s="5">
        <v>480</v>
      </c>
      <c r="F9" s="5">
        <f>E9-405</f>
        <v>75</v>
      </c>
      <c r="G9" s="5">
        <v>254</v>
      </c>
      <c r="H9" s="5">
        <f>G9-345</f>
        <v>-91</v>
      </c>
      <c r="I9" s="5">
        <f t="shared" ref="I9" si="8">(H9+F9)*120</f>
        <v>-1920</v>
      </c>
      <c r="K9" s="5">
        <v>60</v>
      </c>
      <c r="L9" s="5">
        <f>K9-185</f>
        <v>-125</v>
      </c>
      <c r="O9" s="5">
        <f>(N9+L9)*80</f>
        <v>-10000</v>
      </c>
      <c r="S9" s="5">
        <v>10081</v>
      </c>
      <c r="T9" s="5">
        <f>S9-9980</f>
        <v>101</v>
      </c>
      <c r="U9" s="5">
        <f>T9*100/9980</f>
        <v>1.0120240480961924</v>
      </c>
      <c r="V9" s="5">
        <v>139</v>
      </c>
      <c r="W9" s="5">
        <f>98-V9</f>
        <v>-41</v>
      </c>
      <c r="X9" s="5">
        <v>62</v>
      </c>
      <c r="Y9" s="5">
        <f>90-X9</f>
        <v>28</v>
      </c>
      <c r="Z9" s="5">
        <f>(Y9+W9)*675</f>
        <v>-8775</v>
      </c>
      <c r="AA9" s="5">
        <f t="shared" ref="AA9" si="9">Z9+O9+I9</f>
        <v>-20695</v>
      </c>
      <c r="AC9" s="5">
        <v>-8240</v>
      </c>
    </row>
    <row r="10" spans="1:29" x14ac:dyDescent="0.25">
      <c r="K10" s="5">
        <v>0</v>
      </c>
      <c r="L10" s="5">
        <f>K10-185</f>
        <v>-185</v>
      </c>
      <c r="M10" s="5">
        <v>90</v>
      </c>
      <c r="N10" s="5">
        <f>M10-0</f>
        <v>90</v>
      </c>
      <c r="O10" s="7">
        <f>(N10+L10)*80</f>
        <v>-7600</v>
      </c>
      <c r="AC10" s="5">
        <v>-13200</v>
      </c>
    </row>
    <row r="11" spans="1:29" x14ac:dyDescent="0.25">
      <c r="K11" s="7" t="s">
        <v>90</v>
      </c>
      <c r="M11" s="7" t="s">
        <v>102</v>
      </c>
      <c r="AC11" s="8">
        <v>20250</v>
      </c>
    </row>
    <row r="12" spans="1:29" x14ac:dyDescent="0.25">
      <c r="K12" s="5">
        <v>195</v>
      </c>
      <c r="L12" s="5">
        <f t="shared" ref="L12:L17" si="10">K12-195</f>
        <v>0</v>
      </c>
      <c r="M12" s="5">
        <v>95</v>
      </c>
      <c r="N12" s="5">
        <f t="shared" ref="N12:N17" si="11">M12-95</f>
        <v>0</v>
      </c>
      <c r="O12" s="5">
        <f t="shared" ref="O12:O17" si="12">(N12+L12)*80</f>
        <v>0</v>
      </c>
      <c r="AC12" s="5">
        <v>-10000</v>
      </c>
    </row>
    <row r="13" spans="1:29" x14ac:dyDescent="0.25">
      <c r="A13" s="6">
        <v>42950</v>
      </c>
      <c r="B13" s="5">
        <v>24675</v>
      </c>
      <c r="C13" s="5">
        <f>B13-24800</f>
        <v>-125</v>
      </c>
      <c r="D13" s="5">
        <f>C13*100/24800</f>
        <v>-0.50403225806451613</v>
      </c>
      <c r="E13" s="5">
        <v>317</v>
      </c>
      <c r="F13" s="5">
        <f>E13-405</f>
        <v>-88</v>
      </c>
      <c r="G13" s="5">
        <v>335</v>
      </c>
      <c r="H13" s="5">
        <f>G13-345</f>
        <v>-10</v>
      </c>
      <c r="I13" s="5">
        <f t="shared" ref="I13" si="13">(H13+F13)*120</f>
        <v>-11760</v>
      </c>
      <c r="K13" s="5">
        <v>162</v>
      </c>
      <c r="L13" s="5">
        <f t="shared" si="10"/>
        <v>-33</v>
      </c>
      <c r="M13" s="5">
        <v>110</v>
      </c>
      <c r="N13" s="5">
        <f t="shared" si="11"/>
        <v>15</v>
      </c>
      <c r="O13" s="5">
        <f t="shared" si="12"/>
        <v>-1440</v>
      </c>
      <c r="S13" s="5">
        <v>10013</v>
      </c>
      <c r="T13" s="5">
        <f>S13-9980</f>
        <v>33</v>
      </c>
      <c r="U13" s="5">
        <f>T13*100/9980</f>
        <v>0.33066132264529058</v>
      </c>
      <c r="V13" s="5">
        <v>107</v>
      </c>
      <c r="W13" s="5">
        <f>98-V13</f>
        <v>-9</v>
      </c>
      <c r="X13" s="5">
        <v>65</v>
      </c>
      <c r="Y13" s="5">
        <f>90-X13</f>
        <v>25</v>
      </c>
      <c r="Z13" s="5">
        <f>(Y13+W13)*675</f>
        <v>10800</v>
      </c>
      <c r="AA13" s="5">
        <f t="shared" ref="AA13" si="14">Z13+O13+I13</f>
        <v>-2400</v>
      </c>
      <c r="AC13" s="5">
        <v>-12270</v>
      </c>
    </row>
    <row r="14" spans="1:29" x14ac:dyDescent="0.25">
      <c r="A14" s="6">
        <v>42951</v>
      </c>
      <c r="B14" s="5">
        <v>24827</v>
      </c>
      <c r="C14" s="5">
        <f>B14-24800</f>
        <v>27</v>
      </c>
      <c r="D14" s="5">
        <f>C14*100/24800</f>
        <v>0.10887096774193548</v>
      </c>
      <c r="E14" s="5">
        <v>397</v>
      </c>
      <c r="F14" s="5">
        <f>E14-405</f>
        <v>-8</v>
      </c>
      <c r="G14" s="5">
        <v>242</v>
      </c>
      <c r="H14" s="5">
        <f>G14-345</f>
        <v>-103</v>
      </c>
      <c r="I14" s="5">
        <f t="shared" ref="I14" si="15">(H14+F14)*120</f>
        <v>-13320</v>
      </c>
      <c r="K14" s="5">
        <v>250</v>
      </c>
      <c r="L14" s="5">
        <f t="shared" si="10"/>
        <v>55</v>
      </c>
      <c r="M14" s="5">
        <v>48</v>
      </c>
      <c r="N14" s="5">
        <f t="shared" si="11"/>
        <v>-47</v>
      </c>
      <c r="O14" s="5">
        <f t="shared" si="12"/>
        <v>640</v>
      </c>
      <c r="S14" s="5">
        <v>10066</v>
      </c>
      <c r="T14" s="5">
        <f>S14-9980</f>
        <v>86</v>
      </c>
      <c r="U14" s="5">
        <f>T14*100/9980</f>
        <v>0.86172344689378755</v>
      </c>
      <c r="V14" s="5">
        <v>141</v>
      </c>
      <c r="W14" s="5">
        <f>98-V14</f>
        <v>-43</v>
      </c>
      <c r="X14" s="5">
        <v>43</v>
      </c>
      <c r="Y14" s="5">
        <f>90-X14</f>
        <v>47</v>
      </c>
      <c r="Z14" s="5">
        <f>(Y14+W14)*675</f>
        <v>2700</v>
      </c>
      <c r="AA14" s="5">
        <f t="shared" ref="AA14" si="16">Z14+O14+I14</f>
        <v>-9980</v>
      </c>
      <c r="AC14" s="5">
        <v>-240</v>
      </c>
    </row>
    <row r="15" spans="1:29" x14ac:dyDescent="0.25">
      <c r="A15" s="6">
        <v>42954</v>
      </c>
      <c r="B15" s="5">
        <v>24906</v>
      </c>
      <c r="C15" s="5">
        <f>B15-24800</f>
        <v>106</v>
      </c>
      <c r="D15" s="5">
        <f>C15*100/24800</f>
        <v>0.42741935483870969</v>
      </c>
      <c r="E15" s="5">
        <v>390</v>
      </c>
      <c r="F15" s="5">
        <f>E15-405</f>
        <v>-15</v>
      </c>
      <c r="G15" s="5">
        <v>215</v>
      </c>
      <c r="H15" s="5">
        <f>G15-345</f>
        <v>-130</v>
      </c>
      <c r="I15" s="5">
        <f t="shared" ref="I15" si="17">(H15+F15)*120</f>
        <v>-17400</v>
      </c>
      <c r="K15" s="5">
        <v>255</v>
      </c>
      <c r="L15" s="5">
        <f t="shared" si="10"/>
        <v>60</v>
      </c>
      <c r="M15" s="5">
        <v>34</v>
      </c>
      <c r="N15" s="5">
        <f t="shared" si="11"/>
        <v>-61</v>
      </c>
      <c r="O15" s="5">
        <f t="shared" si="12"/>
        <v>-80</v>
      </c>
      <c r="S15" s="5">
        <v>10057</v>
      </c>
      <c r="T15" s="5">
        <f>S15-9980</f>
        <v>77</v>
      </c>
      <c r="U15" s="5">
        <f>T15*100/9980</f>
        <v>0.77154308617234468</v>
      </c>
      <c r="V15" s="5">
        <v>125</v>
      </c>
      <c r="W15" s="5">
        <f>98-V15</f>
        <v>-27</v>
      </c>
      <c r="X15" s="5">
        <v>45</v>
      </c>
      <c r="Y15" s="5">
        <f>90-X15</f>
        <v>45</v>
      </c>
      <c r="Z15" s="5">
        <f>(Y15+W15)*675</f>
        <v>12150</v>
      </c>
      <c r="AA15" s="5">
        <f t="shared" ref="AA15" si="18">Z15+O15+I15</f>
        <v>-5330</v>
      </c>
      <c r="AC15" s="8">
        <v>-45840</v>
      </c>
    </row>
    <row r="16" spans="1:29" x14ac:dyDescent="0.25">
      <c r="A16" s="6">
        <v>42955</v>
      </c>
      <c r="B16" s="5">
        <v>24601</v>
      </c>
      <c r="C16" s="5">
        <f>B16-24800</f>
        <v>-199</v>
      </c>
      <c r="D16" s="5">
        <f>C16*100/24800</f>
        <v>-0.80241935483870963</v>
      </c>
      <c r="E16" s="5">
        <v>254</v>
      </c>
      <c r="F16" s="5">
        <f>E16-405</f>
        <v>-151</v>
      </c>
      <c r="G16" s="5">
        <v>345</v>
      </c>
      <c r="H16" s="5">
        <f>G16-345</f>
        <v>0</v>
      </c>
      <c r="I16" s="5">
        <f t="shared" ref="I16:I17" si="19">(H16+F16)*120</f>
        <v>-18120</v>
      </c>
      <c r="K16" s="5">
        <v>76</v>
      </c>
      <c r="L16" s="5">
        <f t="shared" si="10"/>
        <v>-119</v>
      </c>
      <c r="M16" s="5">
        <v>113</v>
      </c>
      <c r="N16" s="5">
        <f t="shared" si="11"/>
        <v>18</v>
      </c>
      <c r="O16" s="5">
        <f t="shared" si="12"/>
        <v>-8080</v>
      </c>
      <c r="S16" s="5">
        <v>9979</v>
      </c>
      <c r="T16" s="5">
        <f>S16-9980</f>
        <v>-1</v>
      </c>
      <c r="U16" s="5">
        <f>T16*100/9980</f>
        <v>-1.002004008016032E-2</v>
      </c>
      <c r="V16" s="5">
        <v>81</v>
      </c>
      <c r="W16" s="5">
        <f>98-V16</f>
        <v>17</v>
      </c>
      <c r="X16" s="5">
        <v>71</v>
      </c>
      <c r="Y16" s="5">
        <f>90-X16</f>
        <v>19</v>
      </c>
      <c r="Z16" s="5">
        <f>(Y16+W16)*675</f>
        <v>24300</v>
      </c>
      <c r="AA16" s="5">
        <f t="shared" ref="AA16:AA17" si="20">Z16+O16+I16</f>
        <v>-1900</v>
      </c>
      <c r="AC16" s="5">
        <v>39600</v>
      </c>
    </row>
    <row r="17" spans="1:29" x14ac:dyDescent="0.25">
      <c r="A17" s="6">
        <v>42956</v>
      </c>
      <c r="B17" s="5">
        <v>24337</v>
      </c>
      <c r="C17" s="5">
        <f>B17-24800</f>
        <v>-463</v>
      </c>
      <c r="D17" s="5">
        <f>C17*100/24800</f>
        <v>-1.8669354838709677</v>
      </c>
      <c r="E17" s="5">
        <v>163</v>
      </c>
      <c r="F17" s="5">
        <f>E17-405</f>
        <v>-242</v>
      </c>
      <c r="G17" s="5">
        <v>520</v>
      </c>
      <c r="H17" s="5">
        <f>G17-345</f>
        <v>175</v>
      </c>
      <c r="I17" s="5">
        <f t="shared" si="19"/>
        <v>-8040</v>
      </c>
      <c r="K17" s="5">
        <v>0</v>
      </c>
      <c r="L17" s="5">
        <f t="shared" si="10"/>
        <v>-195</v>
      </c>
      <c r="M17" s="5">
        <v>309</v>
      </c>
      <c r="N17" s="5">
        <f t="shared" si="11"/>
        <v>214</v>
      </c>
      <c r="O17" s="7">
        <f t="shared" si="12"/>
        <v>1520</v>
      </c>
      <c r="S17" s="5">
        <v>9925</v>
      </c>
      <c r="T17" s="5">
        <f>S17-9980</f>
        <v>-55</v>
      </c>
      <c r="U17" s="5">
        <f>T17*100/9980</f>
        <v>-0.55110220440881763</v>
      </c>
      <c r="V17" s="5">
        <v>64</v>
      </c>
      <c r="W17" s="5">
        <f>98-V17</f>
        <v>34</v>
      </c>
      <c r="X17" s="5">
        <v>93</v>
      </c>
      <c r="Y17" s="5">
        <f>90-X17</f>
        <v>-3</v>
      </c>
      <c r="Z17" s="5">
        <f>(Y17+W17)*675</f>
        <v>20925</v>
      </c>
      <c r="AA17" s="5">
        <f t="shared" si="20"/>
        <v>14405</v>
      </c>
    </row>
    <row r="18" spans="1:29" x14ac:dyDescent="0.25">
      <c r="M18" s="7" t="s">
        <v>103</v>
      </c>
    </row>
    <row r="19" spans="1:29" x14ac:dyDescent="0.25">
      <c r="M19" s="5">
        <v>223</v>
      </c>
      <c r="N19" s="5">
        <f>M19-223</f>
        <v>0</v>
      </c>
    </row>
    <row r="20" spans="1:29" x14ac:dyDescent="0.25">
      <c r="A20" s="6">
        <v>42956</v>
      </c>
      <c r="B20" s="5">
        <v>24337</v>
      </c>
      <c r="C20" s="5">
        <f>B20-24800</f>
        <v>-463</v>
      </c>
      <c r="D20" s="5">
        <f>C20*100/24800</f>
        <v>-1.8669354838709677</v>
      </c>
      <c r="E20" s="5">
        <v>163</v>
      </c>
      <c r="F20" s="5">
        <f>E20-405</f>
        <v>-242</v>
      </c>
      <c r="G20" s="5">
        <v>520</v>
      </c>
      <c r="H20" s="5">
        <f>G20-345</f>
        <v>175</v>
      </c>
      <c r="I20" s="5">
        <f t="shared" ref="I20" si="21">(H20+F20)*120</f>
        <v>-8040</v>
      </c>
      <c r="M20" s="5">
        <v>220</v>
      </c>
      <c r="N20" s="5">
        <f>M20-223</f>
        <v>-3</v>
      </c>
      <c r="O20" s="5">
        <f t="shared" ref="O20" si="22">(N20+L20)*80</f>
        <v>-240</v>
      </c>
      <c r="S20" s="5">
        <v>9899</v>
      </c>
      <c r="T20" s="5">
        <f>S20-9980</f>
        <v>-81</v>
      </c>
      <c r="U20" s="5">
        <f>T20*100/9980</f>
        <v>-0.81162324649298601</v>
      </c>
      <c r="V20" s="5">
        <v>53</v>
      </c>
      <c r="W20" s="5">
        <f>98-V20</f>
        <v>45</v>
      </c>
      <c r="X20" s="5">
        <v>108</v>
      </c>
      <c r="Y20" s="5">
        <f>90-X20</f>
        <v>-18</v>
      </c>
      <c r="Z20" s="5">
        <f>(Y20+W20)*675</f>
        <v>18225</v>
      </c>
      <c r="AA20" s="5">
        <f t="shared" ref="AA20" si="23">Z20+O20+I20</f>
        <v>9945</v>
      </c>
    </row>
    <row r="21" spans="1:29" x14ac:dyDescent="0.25">
      <c r="A21" s="6">
        <v>42957</v>
      </c>
      <c r="B21" s="5">
        <v>24219</v>
      </c>
      <c r="C21" s="5">
        <f>B21-24800</f>
        <v>-581</v>
      </c>
      <c r="D21" s="5">
        <f>C21*100/24800</f>
        <v>-2.342741935483871</v>
      </c>
      <c r="E21" s="5">
        <v>124</v>
      </c>
      <c r="F21" s="5">
        <f>E21-405</f>
        <v>-281</v>
      </c>
      <c r="G21" s="5">
        <v>595</v>
      </c>
      <c r="H21" s="5">
        <f>G21-345</f>
        <v>250</v>
      </c>
      <c r="I21" s="5">
        <f t="shared" ref="I21" si="24">(H21+F21)*120</f>
        <v>-3720</v>
      </c>
      <c r="M21" s="5">
        <v>335</v>
      </c>
      <c r="N21" s="5">
        <f>M21-223</f>
        <v>112</v>
      </c>
      <c r="O21" s="7">
        <f t="shared" ref="O21" si="25">(N21+L21)*80</f>
        <v>8960</v>
      </c>
      <c r="S21" s="5">
        <v>9854</v>
      </c>
      <c r="T21" s="5">
        <f>S21-9980</f>
        <v>-126</v>
      </c>
      <c r="U21" s="5">
        <f>T21*100/9980</f>
        <v>-1.2625250501002003</v>
      </c>
      <c r="V21" s="5">
        <v>42</v>
      </c>
      <c r="W21" s="5">
        <f>98-V21</f>
        <v>56</v>
      </c>
      <c r="X21" s="5">
        <v>120</v>
      </c>
      <c r="Y21" s="5">
        <f>90-X21</f>
        <v>-30</v>
      </c>
      <c r="Z21" s="5">
        <f>(Y21+W21)*675</f>
        <v>17550</v>
      </c>
      <c r="AA21" s="5">
        <f t="shared" ref="AA21" si="26">Z21+O21+I21</f>
        <v>22790</v>
      </c>
    </row>
    <row r="22" spans="1:29" x14ac:dyDescent="0.25">
      <c r="M22" s="7" t="s">
        <v>104</v>
      </c>
    </row>
    <row r="23" spans="1:29" x14ac:dyDescent="0.25">
      <c r="M23" s="5">
        <v>89</v>
      </c>
      <c r="N23" s="5">
        <f>M23-89</f>
        <v>0</v>
      </c>
      <c r="O23" s="5">
        <f t="shared" ref="O23:O29" si="27">(N23+L23)*80</f>
        <v>0</v>
      </c>
    </row>
    <row r="24" spans="1:29" x14ac:dyDescent="0.25">
      <c r="M24" s="5">
        <v>146</v>
      </c>
      <c r="N24" s="5">
        <f>M24-89</f>
        <v>57</v>
      </c>
      <c r="O24" s="5">
        <f t="shared" si="27"/>
        <v>4560</v>
      </c>
    </row>
    <row r="25" spans="1:29" x14ac:dyDescent="0.25">
      <c r="M25" s="5" t="s">
        <v>105</v>
      </c>
    </row>
    <row r="26" spans="1:29" x14ac:dyDescent="0.25">
      <c r="A26" s="6">
        <v>42957</v>
      </c>
      <c r="B26" s="5">
        <v>24150</v>
      </c>
      <c r="C26" s="5">
        <f>B26-24800</f>
        <v>-650</v>
      </c>
      <c r="D26" s="5">
        <f>C26*100/24800</f>
        <v>-2.620967741935484</v>
      </c>
      <c r="E26" s="5">
        <v>95</v>
      </c>
      <c r="F26" s="5">
        <f>E26-405</f>
        <v>-310</v>
      </c>
      <c r="G26" s="5">
        <v>618</v>
      </c>
      <c r="H26" s="5">
        <f>G26-345</f>
        <v>273</v>
      </c>
      <c r="I26" s="5">
        <f t="shared" ref="I26" si="28">(H26+F26)*120</f>
        <v>-4440</v>
      </c>
      <c r="M26" s="5">
        <v>58</v>
      </c>
      <c r="N26" s="5">
        <f>M26-58</f>
        <v>0</v>
      </c>
      <c r="O26" s="5">
        <f t="shared" si="27"/>
        <v>0</v>
      </c>
      <c r="S26" s="5">
        <v>9803</v>
      </c>
      <c r="T26" s="5">
        <f>S26-9980</f>
        <v>-177</v>
      </c>
      <c r="U26" s="5">
        <f>T26*100/9980</f>
        <v>-1.7735470941883769</v>
      </c>
      <c r="V26" s="5">
        <v>27</v>
      </c>
      <c r="W26" s="5">
        <f>98-V26</f>
        <v>71</v>
      </c>
      <c r="X26" s="5">
        <v>142</v>
      </c>
      <c r="Y26" s="5">
        <f>90-X26</f>
        <v>-52</v>
      </c>
      <c r="Z26" s="5">
        <f>(Y26+W26)*675</f>
        <v>12825</v>
      </c>
      <c r="AA26" s="5">
        <f t="shared" ref="AA26" si="29">Z26+O26+I26</f>
        <v>8385</v>
      </c>
    </row>
    <row r="27" spans="1:29" x14ac:dyDescent="0.25">
      <c r="M27" s="5">
        <v>12</v>
      </c>
      <c r="N27" s="5">
        <f>M27-58</f>
        <v>-46</v>
      </c>
      <c r="O27" s="5">
        <f t="shared" si="27"/>
        <v>-3680</v>
      </c>
    </row>
    <row r="28" spans="1:29" x14ac:dyDescent="0.25">
      <c r="K28" s="7" t="s">
        <v>85</v>
      </c>
      <c r="L28" s="7"/>
      <c r="M28" s="7" t="s">
        <v>105</v>
      </c>
    </row>
    <row r="29" spans="1:29" x14ac:dyDescent="0.25">
      <c r="A29" s="6">
        <v>42957</v>
      </c>
      <c r="B29" s="5">
        <v>24180</v>
      </c>
      <c r="C29" s="5">
        <f>B29-24800</f>
        <v>-620</v>
      </c>
      <c r="D29" s="5">
        <f>C29*100/24800</f>
        <v>-2.5</v>
      </c>
      <c r="E29" s="5">
        <v>104</v>
      </c>
      <c r="F29" s="5">
        <f>E29-405</f>
        <v>-301</v>
      </c>
      <c r="G29" s="5">
        <v>593</v>
      </c>
      <c r="H29" s="5">
        <f>G29-345</f>
        <v>248</v>
      </c>
      <c r="I29" s="5">
        <f t="shared" ref="I29" si="30">(H29+F29)*120</f>
        <v>-6360</v>
      </c>
      <c r="K29" s="5">
        <v>188</v>
      </c>
      <c r="L29" s="5">
        <f>K29-188</f>
        <v>0</v>
      </c>
      <c r="M29" s="5">
        <v>163</v>
      </c>
      <c r="N29" s="5">
        <f>M29-163</f>
        <v>0</v>
      </c>
      <c r="O29" s="5">
        <f t="shared" si="27"/>
        <v>0</v>
      </c>
      <c r="S29" s="5">
        <v>9822</v>
      </c>
      <c r="T29" s="5">
        <f>S29-9980</f>
        <v>-158</v>
      </c>
      <c r="U29" s="5">
        <f>T29*100/9980</f>
        <v>-1.5831663326653307</v>
      </c>
      <c r="V29" s="5">
        <v>34</v>
      </c>
      <c r="W29" s="5">
        <f>98-V29</f>
        <v>64</v>
      </c>
      <c r="X29" s="5">
        <v>128</v>
      </c>
      <c r="Y29" s="5">
        <f>90-X29</f>
        <v>-38</v>
      </c>
      <c r="Z29" s="5">
        <f>(Y29+W29)*675</f>
        <v>17550</v>
      </c>
      <c r="AA29" s="5">
        <f t="shared" ref="AA29" si="31">Z29+O29+I29</f>
        <v>11190</v>
      </c>
    </row>
    <row r="30" spans="1:29" x14ac:dyDescent="0.25">
      <c r="A30" s="6">
        <v>42958</v>
      </c>
      <c r="B30" s="5">
        <v>24150</v>
      </c>
      <c r="C30" s="5">
        <f>B30-24800</f>
        <v>-650</v>
      </c>
      <c r="D30" s="5">
        <f>C30*100/24800</f>
        <v>-2.620967741935484</v>
      </c>
      <c r="E30" s="5">
        <v>82</v>
      </c>
      <c r="F30" s="5">
        <f>E30-405</f>
        <v>-323</v>
      </c>
      <c r="G30" s="5">
        <v>651</v>
      </c>
      <c r="H30" s="5">
        <f>G30-345</f>
        <v>306</v>
      </c>
      <c r="I30" s="5">
        <f t="shared" ref="I30" si="32">(H30+F30)*120</f>
        <v>-2040</v>
      </c>
      <c r="K30" s="5">
        <v>151</v>
      </c>
      <c r="L30" s="5">
        <f>K30-188</f>
        <v>-37</v>
      </c>
      <c r="M30" s="5">
        <v>208</v>
      </c>
      <c r="N30" s="5">
        <f>M30-163</f>
        <v>45</v>
      </c>
      <c r="O30" s="5">
        <f t="shared" ref="O30" si="33">(N30+L30)*80</f>
        <v>640</v>
      </c>
      <c r="S30" s="5">
        <v>9765</v>
      </c>
      <c r="T30" s="5">
        <f>S30-9980</f>
        <v>-215</v>
      </c>
      <c r="U30" s="5">
        <f>T30*100/9980</f>
        <v>-2.1543086172344688</v>
      </c>
      <c r="V30" s="5">
        <v>25</v>
      </c>
      <c r="W30" s="5">
        <f>98-V30</f>
        <v>73</v>
      </c>
      <c r="X30" s="5">
        <v>170</v>
      </c>
      <c r="Y30" s="5">
        <f>90-X30</f>
        <v>-80</v>
      </c>
      <c r="Z30" s="5">
        <f>(Y30+W30)*675</f>
        <v>-4725</v>
      </c>
      <c r="AA30" s="7">
        <f t="shared" ref="AA30" si="34">Z30+O30+I30</f>
        <v>-6125</v>
      </c>
    </row>
    <row r="31" spans="1:29" x14ac:dyDescent="0.25">
      <c r="E31" s="5" t="s">
        <v>106</v>
      </c>
      <c r="G31" s="5" t="s">
        <v>107</v>
      </c>
      <c r="K31" s="7" t="s">
        <v>85</v>
      </c>
      <c r="L31" s="7"/>
      <c r="M31" s="7" t="s">
        <v>105</v>
      </c>
      <c r="V31" s="7" t="s">
        <v>108</v>
      </c>
      <c r="X31" s="7" t="s">
        <v>109</v>
      </c>
      <c r="AC31" s="7">
        <f>SUM(AC2:AC30)</f>
        <v>-28065</v>
      </c>
    </row>
    <row r="32" spans="1:29" x14ac:dyDescent="0.25">
      <c r="A32" s="6">
        <v>42958</v>
      </c>
      <c r="B32" s="5">
        <v>24150</v>
      </c>
      <c r="C32" s="5">
        <f>B32-24800</f>
        <v>-650</v>
      </c>
      <c r="D32" s="5">
        <f>C32*100/24800</f>
        <v>-2.620967741935484</v>
      </c>
      <c r="E32" s="5">
        <v>389</v>
      </c>
      <c r="F32" s="5">
        <f>E32-389</f>
        <v>0</v>
      </c>
      <c r="G32" s="5">
        <v>263</v>
      </c>
      <c r="H32" s="5">
        <f>G32-263</f>
        <v>0</v>
      </c>
      <c r="I32" s="5">
        <f t="shared" ref="I32" si="35">(H32+F32)*120</f>
        <v>0</v>
      </c>
      <c r="K32" s="5">
        <v>177</v>
      </c>
      <c r="L32" s="5">
        <f>K32-177</f>
        <v>0</v>
      </c>
      <c r="M32" s="5">
        <v>184</v>
      </c>
      <c r="N32" s="5">
        <f>M32-184</f>
        <v>0</v>
      </c>
      <c r="O32" s="5">
        <f t="shared" ref="O32" si="36">(N32+L32)*80</f>
        <v>0</v>
      </c>
      <c r="S32" s="5">
        <v>9765</v>
      </c>
      <c r="T32" s="5">
        <f>S32-9980</f>
        <v>-215</v>
      </c>
      <c r="U32" s="5">
        <f>T32*100/9980</f>
        <v>-2.1543086172344688</v>
      </c>
      <c r="V32" s="5">
        <v>84</v>
      </c>
      <c r="W32" s="5">
        <f>84-V32</f>
        <v>0</v>
      </c>
      <c r="X32" s="5">
        <v>80</v>
      </c>
      <c r="Y32" s="5">
        <f>80-X32</f>
        <v>0</v>
      </c>
      <c r="Z32" s="5">
        <f>(Y32+W32)*675</f>
        <v>0</v>
      </c>
      <c r="AA32" s="5">
        <f t="shared" ref="AA32" si="37">Z32+O32+I32</f>
        <v>0</v>
      </c>
    </row>
    <row r="33" spans="1:27" x14ac:dyDescent="0.25">
      <c r="A33" s="6">
        <v>42958</v>
      </c>
      <c r="B33" s="5">
        <v>23985</v>
      </c>
      <c r="C33" s="5">
        <f>B33-24800</f>
        <v>-815</v>
      </c>
      <c r="D33" s="5">
        <f>C33*100/24800</f>
        <v>-3.286290322580645</v>
      </c>
      <c r="E33" s="5">
        <v>320</v>
      </c>
      <c r="F33" s="5">
        <f>E33-389</f>
        <v>-69</v>
      </c>
      <c r="G33" s="5">
        <v>330</v>
      </c>
      <c r="H33" s="5">
        <f>G33-263</f>
        <v>67</v>
      </c>
      <c r="I33" s="5">
        <f t="shared" ref="I33" si="38">(H33+F33)*120</f>
        <v>-240</v>
      </c>
      <c r="K33" s="5">
        <v>107</v>
      </c>
      <c r="L33" s="5">
        <f>K33-177</f>
        <v>-70</v>
      </c>
      <c r="M33" s="5">
        <v>272</v>
      </c>
      <c r="N33" s="5">
        <f>M33-184</f>
        <v>88</v>
      </c>
      <c r="O33" s="5">
        <f t="shared" ref="O33" si="39">(N33+L33)*80</f>
        <v>1440</v>
      </c>
      <c r="S33" s="5">
        <v>9711</v>
      </c>
      <c r="T33" s="5">
        <f>S33-9980</f>
        <v>-269</v>
      </c>
      <c r="U33" s="5">
        <f>T33*100/9980</f>
        <v>-2.6953907815631264</v>
      </c>
      <c r="V33" s="5">
        <v>67</v>
      </c>
      <c r="W33" s="5">
        <f>84-V33</f>
        <v>17</v>
      </c>
      <c r="X33" s="5">
        <v>103</v>
      </c>
      <c r="Y33" s="5">
        <f>80-X33</f>
        <v>-23</v>
      </c>
      <c r="Z33" s="5">
        <f>(Y33+W33)*675</f>
        <v>-4050</v>
      </c>
      <c r="AA33" s="5">
        <f t="shared" ref="AA33" si="40">Z33+O33+I33</f>
        <v>-2850</v>
      </c>
    </row>
    <row r="34" spans="1:27" x14ac:dyDescent="0.25">
      <c r="A34" s="6">
        <v>42961</v>
      </c>
      <c r="B34" s="5">
        <v>24115</v>
      </c>
      <c r="C34" s="5">
        <f>B34-24800</f>
        <v>-685</v>
      </c>
      <c r="D34" s="5">
        <f>C34*100/24800</f>
        <v>-2.7620967741935485</v>
      </c>
      <c r="E34" s="5">
        <v>348</v>
      </c>
      <c r="F34" s="5">
        <f>E34-389</f>
        <v>-41</v>
      </c>
      <c r="G34" s="5">
        <v>264</v>
      </c>
      <c r="H34" s="5">
        <f>G34-263</f>
        <v>1</v>
      </c>
      <c r="I34" s="5">
        <f t="shared" ref="I34" si="41">(H34+F34)*120</f>
        <v>-4800</v>
      </c>
      <c r="K34" s="5">
        <v>104</v>
      </c>
      <c r="L34" s="5">
        <f>K34-177</f>
        <v>-73</v>
      </c>
      <c r="M34" s="5">
        <v>163</v>
      </c>
      <c r="N34" s="5">
        <f>M34-184</f>
        <v>-21</v>
      </c>
      <c r="O34" s="5">
        <f t="shared" ref="O34" si="42">(N34+L34)*80</f>
        <v>-7520</v>
      </c>
      <c r="S34" s="5">
        <v>9794</v>
      </c>
      <c r="T34" s="5">
        <f>S34-9980</f>
        <v>-186</v>
      </c>
      <c r="U34" s="5">
        <f>T34*100/9980</f>
        <v>-1.8637274549098197</v>
      </c>
      <c r="V34" s="5">
        <v>85</v>
      </c>
      <c r="W34" s="5">
        <f>84-V34</f>
        <v>-1</v>
      </c>
      <c r="X34" s="5">
        <v>71</v>
      </c>
      <c r="Y34" s="5">
        <f>80-X34</f>
        <v>9</v>
      </c>
      <c r="Z34" s="5">
        <f>(Y34+W34)*675</f>
        <v>5400</v>
      </c>
      <c r="AA34" s="5">
        <f t="shared" ref="AA34:AA35" si="43">Z34+O34+I34</f>
        <v>-6920</v>
      </c>
    </row>
    <row r="35" spans="1:27" x14ac:dyDescent="0.25">
      <c r="A35" s="6">
        <v>42963</v>
      </c>
      <c r="B35" s="5">
        <v>24141</v>
      </c>
      <c r="C35" s="5">
        <f>B35-24800</f>
        <v>-659</v>
      </c>
      <c r="D35" s="5">
        <f>C35*100/24800</f>
        <v>-2.657258064516129</v>
      </c>
      <c r="E35" s="5">
        <v>328</v>
      </c>
      <c r="F35" s="5">
        <f>E35-389</f>
        <v>-61</v>
      </c>
      <c r="G35" s="5">
        <v>256</v>
      </c>
      <c r="H35" s="5">
        <f>G35-263</f>
        <v>-7</v>
      </c>
      <c r="I35" s="5">
        <f t="shared" ref="I35" si="44">(H35+F35)*120</f>
        <v>-8160</v>
      </c>
      <c r="K35" s="5">
        <v>57</v>
      </c>
      <c r="L35" s="5">
        <f>K35-177</f>
        <v>-120</v>
      </c>
      <c r="M35" s="5">
        <v>126</v>
      </c>
      <c r="N35" s="5">
        <f>M35-184</f>
        <v>-58</v>
      </c>
      <c r="O35" s="5">
        <f t="shared" ref="O35:O36" si="45">(N35+L35)*80</f>
        <v>-14240</v>
      </c>
      <c r="S35" s="5">
        <v>9828</v>
      </c>
      <c r="T35" s="5">
        <f>S35-9980</f>
        <v>-152</v>
      </c>
      <c r="U35" s="5">
        <f>T35*100/9980</f>
        <v>-1.5230460921843687</v>
      </c>
      <c r="V35" s="5">
        <v>89</v>
      </c>
      <c r="W35" s="5">
        <f>84-V35</f>
        <v>-5</v>
      </c>
      <c r="X35" s="5">
        <v>55</v>
      </c>
      <c r="Y35" s="5">
        <f>80-X35</f>
        <v>25</v>
      </c>
      <c r="Z35" s="5">
        <f>(Y35+W35)*675</f>
        <v>13500</v>
      </c>
      <c r="AA35" s="5">
        <f t="shared" si="43"/>
        <v>-8900</v>
      </c>
    </row>
    <row r="36" spans="1:27" x14ac:dyDescent="0.25">
      <c r="K36" s="5">
        <v>256</v>
      </c>
      <c r="L36" s="5">
        <f>K36-177</f>
        <v>79</v>
      </c>
      <c r="M36" s="5">
        <v>2</v>
      </c>
      <c r="N36" s="5">
        <f>M36-184</f>
        <v>-182</v>
      </c>
      <c r="O36" s="7">
        <f t="shared" si="45"/>
        <v>-8240</v>
      </c>
    </row>
    <row r="37" spans="1:27" x14ac:dyDescent="0.25">
      <c r="K37" s="7" t="s">
        <v>110</v>
      </c>
    </row>
    <row r="38" spans="1:27" x14ac:dyDescent="0.25">
      <c r="K38" s="5">
        <v>179</v>
      </c>
      <c r="L38" s="5">
        <f>K38-179</f>
        <v>0</v>
      </c>
    </row>
    <row r="39" spans="1:27" x14ac:dyDescent="0.25">
      <c r="A39" s="6">
        <v>42963</v>
      </c>
      <c r="B39" s="5">
        <v>24444</v>
      </c>
      <c r="C39" s="5">
        <f>B39-24800</f>
        <v>-356</v>
      </c>
      <c r="D39" s="5">
        <f>C39*100/24800</f>
        <v>-1.435483870967742</v>
      </c>
      <c r="E39" s="5">
        <v>458</v>
      </c>
      <c r="F39" s="5">
        <f>E39-389</f>
        <v>69</v>
      </c>
      <c r="G39" s="5">
        <v>169</v>
      </c>
      <c r="H39" s="5">
        <f>G39-263</f>
        <v>-94</v>
      </c>
      <c r="I39" s="5">
        <f t="shared" ref="I39" si="46">(H39+F39)*120</f>
        <v>-3000</v>
      </c>
      <c r="K39" s="5">
        <v>188</v>
      </c>
      <c r="L39" s="5">
        <f>K39-179</f>
        <v>9</v>
      </c>
      <c r="O39" s="5">
        <f t="shared" ref="O39:O40" si="47">(N39+L39)*80</f>
        <v>720</v>
      </c>
      <c r="S39" s="5">
        <v>9901</v>
      </c>
      <c r="T39" s="5">
        <f>S39-9980</f>
        <v>-79</v>
      </c>
      <c r="U39" s="5">
        <f>T39*100/9980</f>
        <v>-0.79158316633266534</v>
      </c>
      <c r="V39" s="5">
        <v>130</v>
      </c>
      <c r="W39" s="5">
        <f>84-V39</f>
        <v>-46</v>
      </c>
      <c r="X39" s="5">
        <v>39</v>
      </c>
      <c r="Y39" s="5">
        <f>80-X39</f>
        <v>41</v>
      </c>
      <c r="Z39" s="5">
        <f>(Y39+W39)*675</f>
        <v>-3375</v>
      </c>
      <c r="AA39" s="5">
        <f t="shared" ref="AA39:AA40" si="48">Z39+O39+I39</f>
        <v>-5655</v>
      </c>
    </row>
    <row r="40" spans="1:27" x14ac:dyDescent="0.25">
      <c r="A40" s="6">
        <v>42964</v>
      </c>
      <c r="B40" s="5">
        <v>24253</v>
      </c>
      <c r="C40" s="5">
        <f>B40-24800</f>
        <v>-547</v>
      </c>
      <c r="D40" s="5">
        <f>C40*100/24800</f>
        <v>-2.2056451612903225</v>
      </c>
      <c r="E40" s="5">
        <v>382</v>
      </c>
      <c r="F40" s="5">
        <f>E40-389</f>
        <v>-7</v>
      </c>
      <c r="G40" s="5">
        <v>198</v>
      </c>
      <c r="H40" s="5">
        <f>G40-263</f>
        <v>-65</v>
      </c>
      <c r="I40" s="5">
        <f t="shared" ref="I40" si="49">(H40+F40)*120</f>
        <v>-8640</v>
      </c>
      <c r="K40" s="5">
        <v>14</v>
      </c>
      <c r="L40" s="5">
        <f>K40-179</f>
        <v>-165</v>
      </c>
      <c r="O40" s="7">
        <f t="shared" si="47"/>
        <v>-13200</v>
      </c>
      <c r="S40" s="5">
        <v>9904</v>
      </c>
      <c r="T40" s="5">
        <f>S40-9980</f>
        <v>-76</v>
      </c>
      <c r="U40" s="5">
        <f>T40*100/9980</f>
        <v>-0.76152304609218435</v>
      </c>
      <c r="V40" s="5">
        <v>125</v>
      </c>
      <c r="W40" s="5">
        <f>84-V40</f>
        <v>-41</v>
      </c>
      <c r="X40" s="5">
        <v>34</v>
      </c>
      <c r="Y40" s="5">
        <f>80-X40</f>
        <v>46</v>
      </c>
      <c r="Z40" s="5">
        <f>(Y40+W40)*675</f>
        <v>3375</v>
      </c>
      <c r="AA40" s="5">
        <f t="shared" si="48"/>
        <v>-18465</v>
      </c>
    </row>
    <row r="41" spans="1:27" x14ac:dyDescent="0.25">
      <c r="K41" s="7" t="s">
        <v>106</v>
      </c>
      <c r="M41" s="7" t="s">
        <v>105</v>
      </c>
    </row>
    <row r="42" spans="1:27" x14ac:dyDescent="0.25">
      <c r="K42" s="5">
        <v>263</v>
      </c>
      <c r="L42" s="5">
        <f>K42-263</f>
        <v>0</v>
      </c>
      <c r="M42" s="5">
        <v>202</v>
      </c>
      <c r="N42" s="5">
        <f>M42-202</f>
        <v>0</v>
      </c>
      <c r="O42" s="5">
        <f t="shared" ref="O42" si="50">(N42+L42)*80</f>
        <v>0</v>
      </c>
    </row>
    <row r="43" spans="1:27" x14ac:dyDescent="0.25">
      <c r="A43" s="6">
        <v>42964</v>
      </c>
      <c r="B43" s="5">
        <v>24253</v>
      </c>
      <c r="C43" s="5">
        <f>B43-24800</f>
        <v>-547</v>
      </c>
      <c r="D43" s="5">
        <f>C43*100/24800</f>
        <v>-2.2056451612903225</v>
      </c>
      <c r="E43" s="5">
        <v>382</v>
      </c>
      <c r="F43" s="5">
        <f>E43-389</f>
        <v>-7</v>
      </c>
      <c r="G43" s="5">
        <v>198</v>
      </c>
      <c r="H43" s="5">
        <f>G43-263</f>
        <v>-65</v>
      </c>
      <c r="I43" s="5">
        <f t="shared" ref="I43" si="51">(H43+F43)*120</f>
        <v>-8640</v>
      </c>
      <c r="K43" s="5">
        <v>305</v>
      </c>
      <c r="L43" s="5">
        <f>K43-263</f>
        <v>42</v>
      </c>
      <c r="M43" s="5">
        <v>160</v>
      </c>
      <c r="N43" s="5">
        <f>M43-202</f>
        <v>-42</v>
      </c>
      <c r="O43" s="5">
        <f t="shared" ref="O43" si="52">(N43+L43)*80</f>
        <v>0</v>
      </c>
      <c r="S43" s="5">
        <v>9904</v>
      </c>
      <c r="T43" s="5">
        <f>S43-9980</f>
        <v>-76</v>
      </c>
      <c r="U43" s="5">
        <f>T43*100/9980</f>
        <v>-0.76152304609218435</v>
      </c>
      <c r="V43" s="5">
        <v>125</v>
      </c>
      <c r="W43" s="5">
        <f>84-V43</f>
        <v>-41</v>
      </c>
      <c r="X43" s="5">
        <v>34</v>
      </c>
      <c r="Y43" s="5">
        <f>80-X43</f>
        <v>46</v>
      </c>
      <c r="Z43" s="5">
        <f>(Y43+W43)*675</f>
        <v>3375</v>
      </c>
      <c r="AA43" s="5">
        <f t="shared" ref="AA43" si="53">Z43+O43+I43</f>
        <v>-5265</v>
      </c>
    </row>
    <row r="44" spans="1:27" x14ac:dyDescent="0.25">
      <c r="A44" s="6">
        <v>42965</v>
      </c>
      <c r="B44" s="5">
        <v>24030</v>
      </c>
      <c r="C44" s="5">
        <f>B44-24800</f>
        <v>-770</v>
      </c>
      <c r="D44" s="5">
        <f>C44*100/24800</f>
        <v>-3.1048387096774195</v>
      </c>
      <c r="E44" s="5">
        <v>253</v>
      </c>
      <c r="F44" s="5">
        <f>E44-389</f>
        <v>-136</v>
      </c>
      <c r="G44" s="5">
        <v>306</v>
      </c>
      <c r="H44" s="5">
        <f>G44-263</f>
        <v>43</v>
      </c>
      <c r="I44" s="5">
        <f t="shared" ref="I44" si="54">(H44+F44)*120</f>
        <v>-11160</v>
      </c>
      <c r="K44" s="5">
        <v>161</v>
      </c>
      <c r="L44" s="5">
        <f>K44-263</f>
        <v>-102</v>
      </c>
      <c r="M44" s="5">
        <v>292</v>
      </c>
      <c r="N44" s="5">
        <f>M44-202</f>
        <v>90</v>
      </c>
      <c r="O44" s="5">
        <f t="shared" ref="O44" si="55">(N44+L44)*80</f>
        <v>-960</v>
      </c>
      <c r="S44" s="5">
        <v>9850</v>
      </c>
      <c r="T44" s="5">
        <f>S44-9980</f>
        <v>-130</v>
      </c>
      <c r="U44" s="5">
        <f>T44*100/9980</f>
        <v>-1.3026052104208417</v>
      </c>
      <c r="V44" s="5">
        <v>88</v>
      </c>
      <c r="W44" s="5">
        <f>84-V44</f>
        <v>-4</v>
      </c>
      <c r="X44" s="5">
        <v>46</v>
      </c>
      <c r="Y44" s="5">
        <f>80-X44</f>
        <v>34</v>
      </c>
      <c r="Z44" s="7">
        <f>(Y44+W44)*675</f>
        <v>20250</v>
      </c>
      <c r="AA44" s="8">
        <f t="shared" ref="AA44" si="56">Z44+O44+I44</f>
        <v>8130</v>
      </c>
    </row>
    <row r="45" spans="1:27" x14ac:dyDescent="0.25">
      <c r="V45" s="7" t="s">
        <v>111</v>
      </c>
      <c r="W45" s="7"/>
      <c r="X45" s="7" t="s">
        <v>112</v>
      </c>
    </row>
    <row r="46" spans="1:27" x14ac:dyDescent="0.25">
      <c r="V46" s="5">
        <v>61</v>
      </c>
      <c r="W46" s="5">
        <f>61-V46</f>
        <v>0</v>
      </c>
      <c r="X46" s="5">
        <v>57</v>
      </c>
      <c r="Y46" s="5">
        <f>57-X46</f>
        <v>0</v>
      </c>
    </row>
    <row r="47" spans="1:27" x14ac:dyDescent="0.25">
      <c r="A47" s="6">
        <v>42965</v>
      </c>
      <c r="B47" s="5">
        <v>24073</v>
      </c>
      <c r="C47" s="5">
        <f>B47-24800</f>
        <v>-727</v>
      </c>
      <c r="D47" s="5">
        <f>C47*100/24800</f>
        <v>-2.931451612903226</v>
      </c>
      <c r="E47" s="5">
        <v>271</v>
      </c>
      <c r="F47" s="5">
        <f>E47-389</f>
        <v>-118</v>
      </c>
      <c r="G47" s="5">
        <v>273</v>
      </c>
      <c r="H47" s="5">
        <f>G47-263</f>
        <v>10</v>
      </c>
      <c r="I47" s="5">
        <f t="shared" ref="I47" si="57">(H47+F47)*120</f>
        <v>-12960</v>
      </c>
      <c r="K47" s="5">
        <v>174</v>
      </c>
      <c r="L47" s="5">
        <f>K47-263</f>
        <v>-89</v>
      </c>
      <c r="M47" s="5">
        <v>242</v>
      </c>
      <c r="N47" s="5">
        <f>M47-202</f>
        <v>40</v>
      </c>
      <c r="O47" s="5">
        <f t="shared" ref="O47" si="58">(N47+L47)*80</f>
        <v>-3920</v>
      </c>
      <c r="S47" s="5">
        <v>9835</v>
      </c>
      <c r="T47" s="5">
        <f>S47-9980</f>
        <v>-145</v>
      </c>
      <c r="U47" s="5">
        <f>T47*100/9980</f>
        <v>-1.4529058116232465</v>
      </c>
      <c r="V47" s="5">
        <v>62</v>
      </c>
      <c r="W47" s="5">
        <f>61-V47</f>
        <v>-1</v>
      </c>
      <c r="X47" s="5">
        <v>54</v>
      </c>
      <c r="Y47" s="5">
        <f>57-X47</f>
        <v>3</v>
      </c>
      <c r="Z47" s="5">
        <f>(Y47+W47)*675</f>
        <v>1350</v>
      </c>
      <c r="AA47" s="5">
        <f t="shared" ref="AA47" si="59">Z47+O47+I47</f>
        <v>-15530</v>
      </c>
    </row>
    <row r="48" spans="1:27" x14ac:dyDescent="0.25">
      <c r="A48" s="6">
        <v>42968</v>
      </c>
      <c r="B48" s="5">
        <v>23936</v>
      </c>
      <c r="C48" s="5">
        <f>B48-24800</f>
        <v>-864</v>
      </c>
      <c r="D48" s="5">
        <f>C48*100/24800</f>
        <v>-3.4838709677419355</v>
      </c>
      <c r="E48" s="5">
        <v>176</v>
      </c>
      <c r="F48" s="5">
        <f>E48-389</f>
        <v>-213</v>
      </c>
      <c r="G48" s="5">
        <v>318</v>
      </c>
      <c r="H48" s="5">
        <f>G48-263</f>
        <v>55</v>
      </c>
      <c r="I48" s="5">
        <f t="shared" ref="I48" si="60">(H48+F48)*120</f>
        <v>-18960</v>
      </c>
      <c r="K48" s="5">
        <v>86</v>
      </c>
      <c r="L48" s="5">
        <f>K48-263</f>
        <v>-177</v>
      </c>
      <c r="M48" s="5">
        <v>310</v>
      </c>
      <c r="N48" s="5">
        <f>M48-202</f>
        <v>108</v>
      </c>
      <c r="O48" s="5">
        <f t="shared" ref="O48" si="61">(N48+L48)*80</f>
        <v>-5520</v>
      </c>
      <c r="S48" s="5">
        <v>9755</v>
      </c>
      <c r="T48" s="5">
        <f>S48-9980</f>
        <v>-225</v>
      </c>
      <c r="U48" s="5">
        <f>T48*100/9980</f>
        <v>-2.2545090180360723</v>
      </c>
      <c r="V48" s="5">
        <v>29</v>
      </c>
      <c r="W48" s="5">
        <f>61-V48</f>
        <v>32</v>
      </c>
      <c r="X48" s="5">
        <v>77</v>
      </c>
      <c r="Y48" s="5">
        <f>57-X48</f>
        <v>-20</v>
      </c>
      <c r="Z48" s="5">
        <f>(Y48+W48)*675</f>
        <v>8100</v>
      </c>
      <c r="AA48" s="5">
        <f t="shared" ref="AA48" si="62">Z48+O48+I48</f>
        <v>-16380</v>
      </c>
    </row>
    <row r="49" spans="1:27" x14ac:dyDescent="0.25">
      <c r="A49" s="6">
        <v>42969</v>
      </c>
      <c r="B49" s="5">
        <v>24015</v>
      </c>
      <c r="C49" s="5">
        <f>B49-24800</f>
        <v>-785</v>
      </c>
      <c r="D49" s="5">
        <f>C49*100/24800</f>
        <v>-3.1653225806451615</v>
      </c>
      <c r="E49" s="5">
        <v>209</v>
      </c>
      <c r="F49" s="5">
        <f>E49-389</f>
        <v>-180</v>
      </c>
      <c r="G49" s="5">
        <v>226</v>
      </c>
      <c r="H49" s="5">
        <f>G49-263</f>
        <v>-37</v>
      </c>
      <c r="I49" s="5">
        <f t="shared" ref="I49" si="63">(H49+F49)*120</f>
        <v>-26040</v>
      </c>
      <c r="K49" s="5">
        <v>102</v>
      </c>
      <c r="L49" s="5">
        <f>K49-263</f>
        <v>-161</v>
      </c>
      <c r="M49" s="5">
        <v>200</v>
      </c>
      <c r="N49" s="5">
        <f>M49-202</f>
        <v>-2</v>
      </c>
      <c r="O49" s="5">
        <f t="shared" ref="O49" si="64">(N49+L49)*80</f>
        <v>-13040</v>
      </c>
      <c r="S49" s="5">
        <v>9778</v>
      </c>
      <c r="T49" s="5">
        <f>S49-9980</f>
        <v>-202</v>
      </c>
      <c r="U49" s="5">
        <f>T49*100/9980</f>
        <v>-2.0240480961923848</v>
      </c>
      <c r="V49" s="5">
        <v>29</v>
      </c>
      <c r="W49" s="5">
        <f>61-V49</f>
        <v>32</v>
      </c>
      <c r="X49" s="5">
        <v>57</v>
      </c>
      <c r="Y49" s="5">
        <f>57-X49</f>
        <v>0</v>
      </c>
      <c r="Z49" s="5">
        <f>(Y49+W49)*675</f>
        <v>21600</v>
      </c>
      <c r="AA49" s="5">
        <f t="shared" ref="AA49" si="65">Z49+O49+I49</f>
        <v>-17480</v>
      </c>
    </row>
    <row r="50" spans="1:27" x14ac:dyDescent="0.25">
      <c r="A50" s="6">
        <v>42970</v>
      </c>
      <c r="B50" s="5">
        <v>24317</v>
      </c>
      <c r="C50" s="5">
        <f>B50-24800</f>
        <v>-483</v>
      </c>
      <c r="D50" s="5">
        <f>C50*100/24800</f>
        <v>-1.9475806451612903</v>
      </c>
      <c r="E50" s="5">
        <v>330</v>
      </c>
      <c r="F50" s="5">
        <f>E50-389</f>
        <v>-59</v>
      </c>
      <c r="G50" s="5">
        <v>110</v>
      </c>
      <c r="H50" s="5">
        <f>G50-263</f>
        <v>-153</v>
      </c>
      <c r="I50" s="5">
        <f t="shared" ref="I50" si="66">(H50+F50)*120</f>
        <v>-25440</v>
      </c>
      <c r="K50" s="5">
        <v>148</v>
      </c>
      <c r="L50" s="5">
        <f>K50-263</f>
        <v>-115</v>
      </c>
      <c r="M50" s="5">
        <v>95</v>
      </c>
      <c r="N50" s="5">
        <f>M50-202</f>
        <v>-107</v>
      </c>
      <c r="O50" s="5">
        <f t="shared" ref="O50:O51" si="67">(N50+L50)*80</f>
        <v>-17760</v>
      </c>
      <c r="S50" s="5">
        <v>9852</v>
      </c>
      <c r="T50" s="5">
        <f>S50-9980</f>
        <v>-128</v>
      </c>
      <c r="U50" s="5">
        <f>T50*100/9980</f>
        <v>-1.282565130260521</v>
      </c>
      <c r="V50" s="5">
        <v>40</v>
      </c>
      <c r="W50" s="5">
        <f>61-V50</f>
        <v>21</v>
      </c>
      <c r="X50" s="5">
        <v>28</v>
      </c>
      <c r="Y50" s="5">
        <f>57-X50</f>
        <v>29</v>
      </c>
      <c r="Z50" s="5">
        <f>(Y50+W50)*675</f>
        <v>33750</v>
      </c>
      <c r="AA50" s="5">
        <f t="shared" ref="AA50" si="68">Z50+O50+I50</f>
        <v>-9450</v>
      </c>
    </row>
    <row r="51" spans="1:27" x14ac:dyDescent="0.25">
      <c r="A51" s="6"/>
      <c r="K51" s="5">
        <v>268</v>
      </c>
      <c r="L51" s="5">
        <f>K51-263</f>
        <v>5</v>
      </c>
      <c r="M51" s="5">
        <v>38</v>
      </c>
      <c r="N51" s="5">
        <f>M51-202</f>
        <v>-164</v>
      </c>
      <c r="O51" s="7">
        <f t="shared" si="67"/>
        <v>-12720</v>
      </c>
    </row>
    <row r="52" spans="1:27" x14ac:dyDescent="0.25">
      <c r="K52" s="7" t="s">
        <v>85</v>
      </c>
    </row>
    <row r="53" spans="1:27" x14ac:dyDescent="0.25">
      <c r="K53" s="5">
        <v>189</v>
      </c>
      <c r="L53" s="5">
        <f>K53-189</f>
        <v>0</v>
      </c>
      <c r="M53" s="5">
        <v>38</v>
      </c>
      <c r="N53" s="5">
        <f>M53-38</f>
        <v>0</v>
      </c>
      <c r="O53" s="5">
        <f t="shared" ref="O53" si="69">(N53+L53)*80</f>
        <v>0</v>
      </c>
    </row>
    <row r="54" spans="1:27" x14ac:dyDescent="0.25">
      <c r="A54" s="6">
        <v>42971</v>
      </c>
      <c r="B54" s="5">
        <v>24344</v>
      </c>
      <c r="C54" s="5">
        <f>B54-24800</f>
        <v>-456</v>
      </c>
      <c r="D54" s="5">
        <f>C54*100/24800</f>
        <v>-1.8387096774193548</v>
      </c>
      <c r="E54" s="5">
        <v>323</v>
      </c>
      <c r="F54" s="5">
        <f>E54-389</f>
        <v>-66</v>
      </c>
      <c r="G54" s="5">
        <v>91</v>
      </c>
      <c r="H54" s="5">
        <f>G54-263</f>
        <v>-172</v>
      </c>
      <c r="I54" s="5">
        <f t="shared" ref="I54" si="70">(H54+F54)*120</f>
        <v>-28560</v>
      </c>
      <c r="K54" s="5">
        <v>102</v>
      </c>
      <c r="L54" s="5">
        <f>K54-189</f>
        <v>-87</v>
      </c>
      <c r="M54" s="5">
        <v>0</v>
      </c>
      <c r="N54" s="5">
        <f>M54-38</f>
        <v>-38</v>
      </c>
      <c r="O54" s="7">
        <f t="shared" ref="O54" si="71">(N54+L54)*80</f>
        <v>-10000</v>
      </c>
      <c r="S54" s="5">
        <v>9873</v>
      </c>
      <c r="T54" s="5">
        <f>S54-9980</f>
        <v>-107</v>
      </c>
      <c r="U54" s="5">
        <f>T54*100/9980</f>
        <v>-1.0721442885771544</v>
      </c>
      <c r="V54" s="5">
        <v>48</v>
      </c>
      <c r="W54" s="5">
        <f>61-V54</f>
        <v>13</v>
      </c>
      <c r="X54" s="5">
        <v>19</v>
      </c>
      <c r="Y54" s="5">
        <f>57-X54</f>
        <v>38</v>
      </c>
      <c r="Z54" s="5">
        <f>(Y54+W54)*675</f>
        <v>34425</v>
      </c>
      <c r="AA54" s="5">
        <f>Z54+O54+I54</f>
        <v>-4135</v>
      </c>
    </row>
    <row r="55" spans="1:27" x14ac:dyDescent="0.25">
      <c r="K55" s="5" t="s">
        <v>110</v>
      </c>
    </row>
    <row r="56" spans="1:27" x14ac:dyDescent="0.25">
      <c r="K56" s="5">
        <v>22</v>
      </c>
      <c r="L56" s="5">
        <f>K56-22</f>
        <v>0</v>
      </c>
    </row>
    <row r="57" spans="1:27" x14ac:dyDescent="0.25">
      <c r="K57" s="5">
        <v>19</v>
      </c>
      <c r="L57" s="5">
        <f>K57-22</f>
        <v>-3</v>
      </c>
      <c r="O57" s="7">
        <f t="shared" ref="O57" si="72">(N57+L57)*80</f>
        <v>-240</v>
      </c>
    </row>
    <row r="58" spans="1:27" x14ac:dyDescent="0.25">
      <c r="K58" s="5" t="s">
        <v>108</v>
      </c>
      <c r="M58" s="5" t="s">
        <v>113</v>
      </c>
    </row>
    <row r="59" spans="1:27" x14ac:dyDescent="0.25">
      <c r="K59" s="5">
        <v>71</v>
      </c>
      <c r="L59" s="5">
        <f>K59-71</f>
        <v>0</v>
      </c>
      <c r="M59" s="5">
        <v>41</v>
      </c>
      <c r="N59" s="5">
        <f>M59-41</f>
        <v>0</v>
      </c>
      <c r="O59" s="5">
        <f>(N59+L59)*225</f>
        <v>0</v>
      </c>
    </row>
    <row r="60" spans="1:27" x14ac:dyDescent="0.25">
      <c r="A60" s="6">
        <v>42971</v>
      </c>
      <c r="B60" s="5">
        <v>24274</v>
      </c>
      <c r="C60" s="5">
        <f>B60-24800</f>
        <v>-526</v>
      </c>
      <c r="D60" s="5">
        <f>C60*100/24800</f>
        <v>-2.120967741935484</v>
      </c>
      <c r="E60" s="5">
        <v>302</v>
      </c>
      <c r="F60" s="5">
        <f>E60-389</f>
        <v>-87</v>
      </c>
      <c r="G60" s="5">
        <v>75</v>
      </c>
      <c r="H60" s="5">
        <f>G60-263</f>
        <v>-188</v>
      </c>
      <c r="I60" s="5">
        <f t="shared" ref="I60" si="73">(H60+F60)*120</f>
        <v>-33000</v>
      </c>
      <c r="K60" s="5">
        <v>71</v>
      </c>
      <c r="L60" s="5">
        <f>K60-71</f>
        <v>0</v>
      </c>
      <c r="M60" s="5">
        <v>38</v>
      </c>
      <c r="N60" s="5">
        <f>M60-41</f>
        <v>-3</v>
      </c>
      <c r="O60" s="5">
        <f>(N60+L60)*225</f>
        <v>-675</v>
      </c>
      <c r="S60" s="5">
        <v>9857</v>
      </c>
      <c r="T60" s="5">
        <f>S60-9980</f>
        <v>-123</v>
      </c>
      <c r="U60" s="5">
        <f>T60*100/9980</f>
        <v>-1.2324649298597194</v>
      </c>
      <c r="V60" s="5">
        <v>43</v>
      </c>
      <c r="W60" s="5">
        <f>61-V60</f>
        <v>18</v>
      </c>
      <c r="X60" s="5">
        <v>18</v>
      </c>
      <c r="Y60" s="5">
        <f>57-X60</f>
        <v>39</v>
      </c>
      <c r="Z60" s="5">
        <f>(Y60+W60)*675</f>
        <v>38475</v>
      </c>
      <c r="AA60" s="5">
        <f>Z60+O60+I60</f>
        <v>4800</v>
      </c>
    </row>
    <row r="61" spans="1:27" x14ac:dyDescent="0.25">
      <c r="A61" s="6">
        <v>42975</v>
      </c>
      <c r="B61" s="5">
        <v>24377</v>
      </c>
      <c r="C61" s="5">
        <f>B61-24800</f>
        <v>-423</v>
      </c>
      <c r="D61" s="5">
        <f>C61*100/24800</f>
        <v>-1.7056451612903225</v>
      </c>
      <c r="E61" s="5">
        <v>310</v>
      </c>
      <c r="F61" s="5">
        <f>E61-389</f>
        <v>-79</v>
      </c>
      <c r="G61" s="5">
        <v>55</v>
      </c>
      <c r="H61" s="5">
        <f>G61-263</f>
        <v>-208</v>
      </c>
      <c r="I61" s="5">
        <f t="shared" ref="I61" si="74">(H61+F61)*120</f>
        <v>-34440</v>
      </c>
      <c r="K61" s="5">
        <v>84</v>
      </c>
      <c r="L61" s="5">
        <f>K61-71</f>
        <v>13</v>
      </c>
      <c r="M61" s="5">
        <v>19</v>
      </c>
      <c r="N61" s="5">
        <f>M61-41</f>
        <v>-22</v>
      </c>
      <c r="O61" s="5">
        <f>(N61+L61)*225</f>
        <v>-2025</v>
      </c>
      <c r="S61" s="5">
        <v>9912</v>
      </c>
      <c r="T61" s="5">
        <f>S61-9980</f>
        <v>-68</v>
      </c>
      <c r="U61" s="5">
        <f>T61*100/9980</f>
        <v>-0.68136272545090182</v>
      </c>
      <c r="V61" s="5">
        <v>51</v>
      </c>
      <c r="W61" s="5">
        <f>61-V61</f>
        <v>10</v>
      </c>
      <c r="X61" s="5">
        <v>8</v>
      </c>
      <c r="Y61" s="5">
        <f>57-X61</f>
        <v>49</v>
      </c>
      <c r="Z61" s="5">
        <f>(Y61+W61)*675</f>
        <v>39825</v>
      </c>
      <c r="AA61" s="5">
        <f>Z61+O61+I61</f>
        <v>3360</v>
      </c>
    </row>
    <row r="62" spans="1:27" x14ac:dyDescent="0.25">
      <c r="A62" s="6">
        <v>42976</v>
      </c>
      <c r="B62" s="5">
        <v>24119</v>
      </c>
      <c r="C62" s="5">
        <f>B62-24800</f>
        <v>-681</v>
      </c>
      <c r="D62" s="5">
        <f>C62*100/24800</f>
        <v>-2.745967741935484</v>
      </c>
      <c r="E62" s="5">
        <v>118</v>
      </c>
      <c r="F62" s="5">
        <f>E62-389</f>
        <v>-271</v>
      </c>
      <c r="G62" s="5">
        <v>125</v>
      </c>
      <c r="H62" s="5">
        <f>G62-263</f>
        <v>-138</v>
      </c>
      <c r="I62" s="5">
        <f t="shared" ref="I62" si="75">(H62+F62)*120</f>
        <v>-49080</v>
      </c>
      <c r="K62" s="5">
        <v>19</v>
      </c>
      <c r="L62" s="5">
        <f>K62-71</f>
        <v>-52</v>
      </c>
      <c r="M62" s="5">
        <v>72</v>
      </c>
      <c r="N62" s="5">
        <f>M62-41</f>
        <v>31</v>
      </c>
      <c r="O62" s="5">
        <f>(N62+L62)*225</f>
        <v>-4725</v>
      </c>
      <c r="S62" s="5">
        <v>9794</v>
      </c>
      <c r="T62" s="5">
        <f>S62-9980</f>
        <v>-186</v>
      </c>
      <c r="U62" s="5">
        <f>T62*100/9980</f>
        <v>-1.8637274549098197</v>
      </c>
      <c r="V62" s="5">
        <v>9</v>
      </c>
      <c r="W62" s="5">
        <f>61-V62</f>
        <v>52</v>
      </c>
      <c r="X62" s="5">
        <v>30</v>
      </c>
      <c r="Y62" s="5">
        <f>57-X62</f>
        <v>27</v>
      </c>
      <c r="Z62" s="5">
        <f>(Y62+W62)*675</f>
        <v>53325</v>
      </c>
      <c r="AA62" s="5">
        <f>Z62+O62+I62</f>
        <v>-480</v>
      </c>
    </row>
    <row r="63" spans="1:27" x14ac:dyDescent="0.25">
      <c r="A63" s="6">
        <v>42977</v>
      </c>
      <c r="B63" s="5">
        <v>24335</v>
      </c>
      <c r="C63" s="5">
        <f>B63-24800</f>
        <v>-465</v>
      </c>
      <c r="D63" s="5">
        <f>C63*100/24800</f>
        <v>-1.875</v>
      </c>
      <c r="E63" s="5">
        <v>249</v>
      </c>
      <c r="F63" s="5">
        <f>E63-389</f>
        <v>-140</v>
      </c>
      <c r="G63" s="5">
        <v>21</v>
      </c>
      <c r="H63" s="5">
        <f>G63-263</f>
        <v>-242</v>
      </c>
      <c r="I63" s="7">
        <f t="shared" ref="I63" si="76">(H63+F63)*120</f>
        <v>-45840</v>
      </c>
      <c r="K63" s="5">
        <v>48</v>
      </c>
      <c r="L63" s="5">
        <f>K63-71</f>
        <v>-23</v>
      </c>
      <c r="M63" s="5">
        <v>15</v>
      </c>
      <c r="N63" s="5">
        <f>M63-41</f>
        <v>-26</v>
      </c>
      <c r="O63" s="5">
        <f>(N63+L63)*225</f>
        <v>-11025</v>
      </c>
      <c r="S63" s="5">
        <v>9880</v>
      </c>
      <c r="T63" s="5">
        <f>S63-9980</f>
        <v>-100</v>
      </c>
      <c r="U63" s="5">
        <f>T63*100/9980</f>
        <v>-1.002004008016032</v>
      </c>
      <c r="V63" s="5">
        <v>23</v>
      </c>
      <c r="W63" s="5">
        <f>61-V63</f>
        <v>38</v>
      </c>
      <c r="X63" s="5">
        <v>5</v>
      </c>
      <c r="Y63" s="5">
        <f>57-X63</f>
        <v>52</v>
      </c>
      <c r="Z63" s="5">
        <f>(Y63+W63)*675</f>
        <v>60750</v>
      </c>
      <c r="AA63" s="5">
        <f>Z63+O63+I63</f>
        <v>3885</v>
      </c>
    </row>
    <row r="64" spans="1:27" x14ac:dyDescent="0.25">
      <c r="E64" s="5" t="s">
        <v>85</v>
      </c>
      <c r="G64" s="5" t="s">
        <v>107</v>
      </c>
    </row>
    <row r="65" spans="1:27" x14ac:dyDescent="0.25">
      <c r="E65" s="5">
        <v>170</v>
      </c>
      <c r="F65" s="5">
        <f>E65-170</f>
        <v>0</v>
      </c>
      <c r="G65" s="5">
        <v>21</v>
      </c>
      <c r="H65" s="5">
        <f>G65-21</f>
        <v>0</v>
      </c>
      <c r="I65" s="5">
        <f t="shared" ref="I65" si="77">(H65+F65)*120</f>
        <v>0</v>
      </c>
    </row>
    <row r="66" spans="1:27" x14ac:dyDescent="0.25">
      <c r="A66" s="6">
        <v>42977</v>
      </c>
      <c r="B66" s="5">
        <v>24318</v>
      </c>
      <c r="C66" s="5">
        <f>B66-24800</f>
        <v>-482</v>
      </c>
      <c r="D66" s="5">
        <f>C66*100/24800</f>
        <v>-1.9435483870967742</v>
      </c>
      <c r="E66" s="5">
        <v>143</v>
      </c>
      <c r="F66" s="5">
        <f>E66-170</f>
        <v>-27</v>
      </c>
      <c r="G66" s="5">
        <v>18</v>
      </c>
      <c r="H66" s="5">
        <f>G66-21</f>
        <v>-3</v>
      </c>
      <c r="I66" s="5">
        <f t="shared" ref="I66" si="78">(H66+F66)*120</f>
        <v>-3600</v>
      </c>
      <c r="K66" s="5">
        <v>46</v>
      </c>
      <c r="L66" s="5">
        <f>K66-71</f>
        <v>-25</v>
      </c>
      <c r="M66" s="5">
        <v>16</v>
      </c>
      <c r="N66" s="5">
        <f>M66-41</f>
        <v>-25</v>
      </c>
      <c r="O66" s="5">
        <f>(N66+L66)*225</f>
        <v>-11250</v>
      </c>
      <c r="S66" s="5">
        <v>9883</v>
      </c>
      <c r="T66" s="5">
        <f>S66-9980</f>
        <v>-97</v>
      </c>
      <c r="U66" s="5">
        <f>T66*100/9980</f>
        <v>-0.97194388777555107</v>
      </c>
      <c r="V66" s="5">
        <v>20</v>
      </c>
      <c r="W66" s="5">
        <f>61-V66</f>
        <v>41</v>
      </c>
      <c r="X66" s="5">
        <v>4</v>
      </c>
      <c r="Y66" s="5">
        <f>57-X66</f>
        <v>53</v>
      </c>
      <c r="Z66" s="5">
        <f>(Y66+W66)*675</f>
        <v>63450</v>
      </c>
      <c r="AA66" s="5">
        <f>Z66+O66+I66</f>
        <v>48600</v>
      </c>
    </row>
    <row r="67" spans="1:27" x14ac:dyDescent="0.25">
      <c r="A67" s="6">
        <v>42978</v>
      </c>
      <c r="B67" s="5">
        <v>24320</v>
      </c>
      <c r="C67" s="5">
        <f>B67-24800</f>
        <v>-480</v>
      </c>
      <c r="D67" s="5">
        <f>C67*100/24800</f>
        <v>-1.935483870967742</v>
      </c>
      <c r="E67" s="5">
        <v>71</v>
      </c>
      <c r="F67" s="5">
        <f>E67-170</f>
        <v>-99</v>
      </c>
      <c r="G67" s="5">
        <v>0</v>
      </c>
      <c r="H67" s="5">
        <f>G67-21</f>
        <v>-21</v>
      </c>
      <c r="I67" s="5">
        <f t="shared" ref="I67" si="79">(H67+F67)*120</f>
        <v>-14400</v>
      </c>
      <c r="K67" s="5">
        <v>43</v>
      </c>
      <c r="L67" s="5">
        <f>K67-71</f>
        <v>-28</v>
      </c>
      <c r="M67" s="5">
        <v>0</v>
      </c>
      <c r="N67" s="5">
        <f>M67-41</f>
        <v>-41</v>
      </c>
      <c r="O67" s="5">
        <f>(N67+L67)*225</f>
        <v>-15525</v>
      </c>
      <c r="S67" s="5">
        <v>9916</v>
      </c>
      <c r="T67" s="5">
        <f>S67-9980</f>
        <v>-64</v>
      </c>
      <c r="U67" s="5">
        <f>T67*100/9980</f>
        <v>-0.6412825651302605</v>
      </c>
      <c r="V67" s="5">
        <v>14</v>
      </c>
      <c r="W67" s="5">
        <f>61-V67</f>
        <v>47</v>
      </c>
      <c r="X67" s="5">
        <v>1</v>
      </c>
      <c r="Y67" s="5">
        <f>57-X67</f>
        <v>56</v>
      </c>
      <c r="Z67" s="5">
        <f>(Y67+W67)*675</f>
        <v>69525</v>
      </c>
      <c r="AA67" s="7">
        <f>Z67+O67+I67</f>
        <v>39600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workbookViewId="0">
      <selection sqref="A1:AC2"/>
    </sheetView>
  </sheetViews>
  <sheetFormatPr defaultRowHeight="15" x14ac:dyDescent="0.25"/>
  <cols>
    <col min="1" max="1" width="7.140625" style="1" bestFit="1" customWidth="1"/>
    <col min="2" max="2" width="6" style="1" bestFit="1" customWidth="1"/>
    <col min="3" max="3" width="4.7109375" style="1" bestFit="1" customWidth="1"/>
    <col min="4" max="4" width="5.7109375" style="1" customWidth="1"/>
    <col min="5" max="5" width="5.5703125" style="1" bestFit="1" customWidth="1"/>
    <col min="6" max="6" width="4.7109375" style="1" bestFit="1" customWidth="1"/>
    <col min="7" max="7" width="5.5703125" style="1" bestFit="1" customWidth="1"/>
    <col min="8" max="8" width="4.7109375" style="1" bestFit="1" customWidth="1"/>
    <col min="9" max="9" width="7.5703125" style="1" customWidth="1"/>
    <col min="10" max="10" width="9.140625" style="1"/>
    <col min="11" max="11" width="6" style="1" bestFit="1" customWidth="1"/>
    <col min="12" max="12" width="4.7109375" style="1" bestFit="1" customWidth="1"/>
    <col min="13" max="13" width="5.7109375" style="1" customWidth="1"/>
    <col min="14" max="14" width="4.28515625" style="1" bestFit="1" customWidth="1"/>
    <col min="15" max="15" width="7.5703125" style="1" bestFit="1" customWidth="1"/>
    <col min="16" max="16" width="4.7109375" style="1" bestFit="1" customWidth="1"/>
    <col min="17" max="17" width="4.5703125" style="1" bestFit="1" customWidth="1"/>
    <col min="18" max="18" width="4.7109375" style="1" bestFit="1" customWidth="1"/>
    <col min="19" max="19" width="6.7109375" style="1" bestFit="1" customWidth="1"/>
    <col min="20" max="20" width="4.28515625" style="1" bestFit="1" customWidth="1"/>
    <col min="21" max="21" width="5.5703125" style="1" bestFit="1" customWidth="1"/>
    <col min="22" max="22" width="4.28515625" style="1" bestFit="1" customWidth="1"/>
    <col min="23" max="23" width="5.5703125" style="1" bestFit="1" customWidth="1"/>
    <col min="24" max="24" width="4.7109375" style="1" bestFit="1" customWidth="1"/>
    <col min="25" max="26" width="6.7109375" style="1" bestFit="1" customWidth="1"/>
    <col min="27" max="27" width="9.140625" style="1"/>
    <col min="28" max="28" width="7.7109375" style="1" bestFit="1" customWidth="1"/>
    <col min="29" max="16384" width="9.140625" style="1"/>
  </cols>
  <sheetData>
    <row r="1" spans="1:29" x14ac:dyDescent="0.25">
      <c r="A1" s="1" t="s">
        <v>0</v>
      </c>
      <c r="B1" s="1" t="s">
        <v>5</v>
      </c>
      <c r="C1" s="1" t="s">
        <v>2</v>
      </c>
      <c r="D1" s="1" t="s">
        <v>6</v>
      </c>
      <c r="E1" s="1" t="s">
        <v>110</v>
      </c>
      <c r="F1" s="1" t="s">
        <v>2</v>
      </c>
      <c r="G1" s="1" t="s">
        <v>104</v>
      </c>
      <c r="H1" s="1" t="s">
        <v>2</v>
      </c>
      <c r="I1" s="1" t="s">
        <v>3</v>
      </c>
      <c r="K1" s="1" t="s">
        <v>1</v>
      </c>
      <c r="L1" s="1" t="s">
        <v>2</v>
      </c>
      <c r="M1" s="1" t="s">
        <v>6</v>
      </c>
      <c r="O1" s="1" t="s">
        <v>111</v>
      </c>
      <c r="P1" s="1" t="s">
        <v>2</v>
      </c>
      <c r="Q1" s="1" t="s">
        <v>100</v>
      </c>
      <c r="R1" s="1" t="s">
        <v>2</v>
      </c>
      <c r="S1" s="1" t="s">
        <v>3</v>
      </c>
      <c r="U1" s="1" t="s">
        <v>114</v>
      </c>
      <c r="V1" s="1" t="s">
        <v>2</v>
      </c>
      <c r="W1" s="1" t="s">
        <v>113</v>
      </c>
      <c r="X1" s="1" t="s">
        <v>2</v>
      </c>
      <c r="Y1" s="1" t="s">
        <v>3</v>
      </c>
      <c r="Z1" s="1" t="s">
        <v>4</v>
      </c>
      <c r="AB1" s="3" t="s">
        <v>19</v>
      </c>
      <c r="AC1" s="1">
        <v>-6450</v>
      </c>
    </row>
    <row r="2" spans="1:29" x14ac:dyDescent="0.25">
      <c r="A2" s="2">
        <v>42978</v>
      </c>
      <c r="B2" s="1">
        <v>24320</v>
      </c>
      <c r="C2" s="1">
        <f t="shared" ref="C2:C9" si="0">B2-24320</f>
        <v>0</v>
      </c>
      <c r="D2" s="1">
        <f t="shared" ref="D2:D9" si="1">C2*100/24320</f>
        <v>0</v>
      </c>
      <c r="E2" s="1">
        <v>390</v>
      </c>
      <c r="F2" s="1">
        <f t="shared" ref="F2:F9" si="2">E2-390</f>
        <v>0</v>
      </c>
      <c r="G2" s="1">
        <v>346</v>
      </c>
      <c r="H2" s="1">
        <f t="shared" ref="H2:H9" si="3">G2-346</f>
        <v>0</v>
      </c>
      <c r="I2" s="1">
        <f t="shared" ref="I2:I3" si="4">(H2+F2)*120</f>
        <v>0</v>
      </c>
      <c r="K2" s="1">
        <v>9915</v>
      </c>
      <c r="L2" s="1">
        <f t="shared" ref="L2:L9" si="5">K2-9915</f>
        <v>0</v>
      </c>
      <c r="M2" s="1">
        <f t="shared" ref="M2:M9" si="6">L2*100/9915</f>
        <v>0</v>
      </c>
      <c r="O2" s="1">
        <v>133</v>
      </c>
      <c r="P2" s="1">
        <f t="shared" ref="P2:P9" si="7">O2-133</f>
        <v>0</v>
      </c>
      <c r="Q2" s="1">
        <v>102</v>
      </c>
      <c r="R2" s="1">
        <f t="shared" ref="R2:R9" si="8">Q2-102</f>
        <v>0</v>
      </c>
      <c r="S2" s="1">
        <f t="shared" ref="S2:S12" si="9">(R2+P2)*225</f>
        <v>0</v>
      </c>
      <c r="U2" s="1">
        <v>83</v>
      </c>
      <c r="V2" s="1">
        <f t="shared" ref="V2:V9" si="10">83-U2</f>
        <v>0</v>
      </c>
      <c r="W2" s="1">
        <v>81</v>
      </c>
      <c r="X2" s="1">
        <f t="shared" ref="X2:X9" si="11">81-W2</f>
        <v>0</v>
      </c>
      <c r="Y2" s="1">
        <f t="shared" ref="Y2:Y9" si="12">(X2+V2)*675</f>
        <v>0</v>
      </c>
      <c r="Z2" s="1">
        <f t="shared" ref="Z2:Z9" si="13">Y2+S2+I2</f>
        <v>0</v>
      </c>
      <c r="AC2" s="1">
        <v>-11920</v>
      </c>
    </row>
    <row r="3" spans="1:29" x14ac:dyDescent="0.25">
      <c r="A3" s="2">
        <v>42979</v>
      </c>
      <c r="B3" s="1">
        <v>24434</v>
      </c>
      <c r="C3" s="1">
        <f t="shared" si="0"/>
        <v>114</v>
      </c>
      <c r="D3" s="1">
        <f t="shared" si="1"/>
        <v>0.46875</v>
      </c>
      <c r="E3" s="1">
        <v>430</v>
      </c>
      <c r="F3" s="1">
        <f t="shared" si="2"/>
        <v>40</v>
      </c>
      <c r="G3" s="1">
        <v>261</v>
      </c>
      <c r="H3" s="1">
        <f t="shared" si="3"/>
        <v>-85</v>
      </c>
      <c r="I3" s="1">
        <f t="shared" si="4"/>
        <v>-5400</v>
      </c>
      <c r="K3" s="1">
        <v>9974</v>
      </c>
      <c r="L3" s="1">
        <f t="shared" si="5"/>
        <v>59</v>
      </c>
      <c r="M3" s="1">
        <f t="shared" si="6"/>
        <v>0.59505799293998995</v>
      </c>
      <c r="O3" s="1">
        <v>173</v>
      </c>
      <c r="P3" s="1">
        <f t="shared" si="7"/>
        <v>40</v>
      </c>
      <c r="Q3" s="1">
        <v>74</v>
      </c>
      <c r="R3" s="1">
        <f t="shared" si="8"/>
        <v>-28</v>
      </c>
      <c r="S3" s="1">
        <f t="shared" si="9"/>
        <v>2700</v>
      </c>
      <c r="U3" s="1">
        <v>113</v>
      </c>
      <c r="V3" s="1">
        <f t="shared" si="10"/>
        <v>-30</v>
      </c>
      <c r="W3" s="1">
        <v>61</v>
      </c>
      <c r="X3" s="1">
        <f t="shared" si="11"/>
        <v>20</v>
      </c>
      <c r="Y3" s="1">
        <f t="shared" si="12"/>
        <v>-6750</v>
      </c>
      <c r="Z3" s="1">
        <f t="shared" si="13"/>
        <v>-9450</v>
      </c>
      <c r="AC3" s="1">
        <v>43875</v>
      </c>
    </row>
    <row r="4" spans="1:29" x14ac:dyDescent="0.25">
      <c r="A4" s="2">
        <v>42982</v>
      </c>
      <c r="B4" s="1">
        <v>24236</v>
      </c>
      <c r="C4" s="1">
        <f t="shared" si="0"/>
        <v>-84</v>
      </c>
      <c r="D4" s="1">
        <f t="shared" si="1"/>
        <v>-0.34539473684210525</v>
      </c>
      <c r="E4" s="1">
        <v>337</v>
      </c>
      <c r="F4" s="1">
        <f t="shared" si="2"/>
        <v>-53</v>
      </c>
      <c r="G4" s="1">
        <v>364</v>
      </c>
      <c r="H4" s="1">
        <f t="shared" si="3"/>
        <v>18</v>
      </c>
      <c r="I4" s="1">
        <f t="shared" ref="I4" si="14">(H4+F4)*120</f>
        <v>-4200</v>
      </c>
      <c r="K4" s="1">
        <v>9913</v>
      </c>
      <c r="L4" s="1">
        <f t="shared" si="5"/>
        <v>-2</v>
      </c>
      <c r="M4" s="1">
        <f t="shared" si="6"/>
        <v>-2.0171457387796268E-2</v>
      </c>
      <c r="O4" s="1">
        <v>129</v>
      </c>
      <c r="P4" s="1">
        <f t="shared" si="7"/>
        <v>-4</v>
      </c>
      <c r="Q4" s="1">
        <v>111</v>
      </c>
      <c r="R4" s="1">
        <f t="shared" si="8"/>
        <v>9</v>
      </c>
      <c r="S4" s="1">
        <f t="shared" si="9"/>
        <v>1125</v>
      </c>
      <c r="U4" s="1">
        <v>80</v>
      </c>
      <c r="V4" s="1">
        <f t="shared" si="10"/>
        <v>3</v>
      </c>
      <c r="W4" s="1">
        <v>95</v>
      </c>
      <c r="X4" s="1">
        <f t="shared" si="11"/>
        <v>-14</v>
      </c>
      <c r="Y4" s="1">
        <f t="shared" si="12"/>
        <v>-7425</v>
      </c>
      <c r="Z4" s="1">
        <f t="shared" si="13"/>
        <v>-10500</v>
      </c>
    </row>
    <row r="5" spans="1:29" x14ac:dyDescent="0.25">
      <c r="A5" s="2">
        <v>42984</v>
      </c>
      <c r="B5" s="1">
        <v>24279</v>
      </c>
      <c r="C5" s="1">
        <f t="shared" si="0"/>
        <v>-41</v>
      </c>
      <c r="D5" s="1">
        <f t="shared" si="1"/>
        <v>-0.16858552631578946</v>
      </c>
      <c r="E5" s="1">
        <v>324</v>
      </c>
      <c r="F5" s="1">
        <f t="shared" si="2"/>
        <v>-66</v>
      </c>
      <c r="G5" s="1">
        <v>307</v>
      </c>
      <c r="H5" s="1">
        <f t="shared" si="3"/>
        <v>-39</v>
      </c>
      <c r="I5" s="1">
        <f t="shared" ref="I5:I9" si="15">(H5+F5)*120</f>
        <v>-12600</v>
      </c>
      <c r="K5" s="1">
        <v>9916</v>
      </c>
      <c r="L5" s="1">
        <f t="shared" si="5"/>
        <v>1</v>
      </c>
      <c r="M5" s="1">
        <f t="shared" si="6"/>
        <v>1.0085728693898134E-2</v>
      </c>
      <c r="O5" s="1">
        <v>139</v>
      </c>
      <c r="P5" s="1">
        <f t="shared" si="7"/>
        <v>6</v>
      </c>
      <c r="Q5" s="1">
        <v>97</v>
      </c>
      <c r="R5" s="1">
        <f t="shared" si="8"/>
        <v>-5</v>
      </c>
      <c r="S5" s="1">
        <f t="shared" si="9"/>
        <v>225</v>
      </c>
      <c r="U5" s="1">
        <v>85</v>
      </c>
      <c r="V5" s="1">
        <f t="shared" si="10"/>
        <v>-2</v>
      </c>
      <c r="W5" s="1">
        <v>82</v>
      </c>
      <c r="X5" s="1">
        <f t="shared" si="11"/>
        <v>-1</v>
      </c>
      <c r="Y5" s="1">
        <f t="shared" si="12"/>
        <v>-2025</v>
      </c>
      <c r="Z5" s="1">
        <f t="shared" si="13"/>
        <v>-14400</v>
      </c>
    </row>
    <row r="6" spans="1:29" x14ac:dyDescent="0.25">
      <c r="A6" s="2">
        <v>42986</v>
      </c>
      <c r="B6" s="1">
        <v>24370</v>
      </c>
      <c r="C6" s="1">
        <f t="shared" si="0"/>
        <v>50</v>
      </c>
      <c r="D6" s="1">
        <f t="shared" si="1"/>
        <v>0.20559210526315788</v>
      </c>
      <c r="E6" s="1">
        <v>323</v>
      </c>
      <c r="F6" s="1">
        <f t="shared" si="2"/>
        <v>-67</v>
      </c>
      <c r="G6" s="1">
        <v>260</v>
      </c>
      <c r="H6" s="1">
        <f t="shared" si="3"/>
        <v>-86</v>
      </c>
      <c r="I6" s="1">
        <f t="shared" si="15"/>
        <v>-18360</v>
      </c>
      <c r="K6" s="1">
        <v>9935</v>
      </c>
      <c r="L6" s="1">
        <f t="shared" si="5"/>
        <v>20</v>
      </c>
      <c r="M6" s="1">
        <f t="shared" si="6"/>
        <v>0.20171457387796268</v>
      </c>
      <c r="O6" s="1">
        <v>131</v>
      </c>
      <c r="P6" s="1">
        <f t="shared" si="7"/>
        <v>-2</v>
      </c>
      <c r="Q6" s="1">
        <v>88</v>
      </c>
      <c r="R6" s="1">
        <f t="shared" si="8"/>
        <v>-14</v>
      </c>
      <c r="S6" s="1">
        <f t="shared" si="9"/>
        <v>-3600</v>
      </c>
      <c r="U6" s="1">
        <v>78</v>
      </c>
      <c r="V6" s="1">
        <f t="shared" si="10"/>
        <v>5</v>
      </c>
      <c r="W6" s="1">
        <v>73</v>
      </c>
      <c r="X6" s="1">
        <f t="shared" si="11"/>
        <v>8</v>
      </c>
      <c r="Y6" s="1">
        <f t="shared" si="12"/>
        <v>8775</v>
      </c>
      <c r="Z6" s="1">
        <f t="shared" si="13"/>
        <v>-13185</v>
      </c>
    </row>
    <row r="7" spans="1:29" x14ac:dyDescent="0.25">
      <c r="A7" s="2">
        <v>42989</v>
      </c>
      <c r="B7" s="1">
        <v>24672</v>
      </c>
      <c r="C7" s="1">
        <f t="shared" si="0"/>
        <v>352</v>
      </c>
      <c r="D7" s="1">
        <f t="shared" si="1"/>
        <v>1.4473684210526316</v>
      </c>
      <c r="E7" s="1">
        <v>474</v>
      </c>
      <c r="F7" s="1">
        <f t="shared" si="2"/>
        <v>84</v>
      </c>
      <c r="G7" s="1">
        <v>140</v>
      </c>
      <c r="H7" s="1">
        <f t="shared" si="3"/>
        <v>-206</v>
      </c>
      <c r="I7" s="1">
        <f t="shared" si="15"/>
        <v>-14640</v>
      </c>
      <c r="K7" s="1">
        <v>10006</v>
      </c>
      <c r="L7" s="1">
        <f t="shared" si="5"/>
        <v>91</v>
      </c>
      <c r="M7" s="1">
        <f t="shared" si="6"/>
        <v>0.91780131114473018</v>
      </c>
      <c r="O7" s="1">
        <v>171</v>
      </c>
      <c r="P7" s="1">
        <f t="shared" si="7"/>
        <v>38</v>
      </c>
      <c r="Q7" s="1">
        <v>51</v>
      </c>
      <c r="R7" s="1">
        <f t="shared" si="8"/>
        <v>-51</v>
      </c>
      <c r="S7" s="1">
        <f t="shared" si="9"/>
        <v>-2925</v>
      </c>
      <c r="U7" s="1">
        <v>104</v>
      </c>
      <c r="V7" s="1">
        <f t="shared" si="10"/>
        <v>-21</v>
      </c>
      <c r="W7" s="1">
        <v>42</v>
      </c>
      <c r="X7" s="1">
        <f t="shared" si="11"/>
        <v>39</v>
      </c>
      <c r="Y7" s="1">
        <f t="shared" si="12"/>
        <v>12150</v>
      </c>
      <c r="Z7" s="1">
        <f t="shared" si="13"/>
        <v>-5415</v>
      </c>
    </row>
    <row r="8" spans="1:29" x14ac:dyDescent="0.25">
      <c r="A8" s="2">
        <v>42990</v>
      </c>
      <c r="B8" s="1">
        <v>24791</v>
      </c>
      <c r="C8" s="1">
        <f t="shared" si="0"/>
        <v>471</v>
      </c>
      <c r="D8" s="1">
        <f t="shared" si="1"/>
        <v>1.9366776315789473</v>
      </c>
      <c r="E8" s="1">
        <v>560</v>
      </c>
      <c r="F8" s="1">
        <f t="shared" si="2"/>
        <v>170</v>
      </c>
      <c r="G8" s="1">
        <v>96</v>
      </c>
      <c r="H8" s="1">
        <f t="shared" si="3"/>
        <v>-250</v>
      </c>
      <c r="I8" s="1">
        <f t="shared" si="15"/>
        <v>-9600</v>
      </c>
      <c r="K8" s="1">
        <v>10087</v>
      </c>
      <c r="L8" s="1">
        <f t="shared" si="5"/>
        <v>172</v>
      </c>
      <c r="M8" s="1">
        <f t="shared" si="6"/>
        <v>1.7347453353504791</v>
      </c>
      <c r="O8" s="1">
        <v>229</v>
      </c>
      <c r="P8" s="1">
        <f t="shared" si="7"/>
        <v>96</v>
      </c>
      <c r="Q8" s="1">
        <v>29</v>
      </c>
      <c r="R8" s="1">
        <f t="shared" si="8"/>
        <v>-73</v>
      </c>
      <c r="S8" s="1">
        <f t="shared" si="9"/>
        <v>5175</v>
      </c>
      <c r="U8" s="1">
        <v>147</v>
      </c>
      <c r="V8" s="1">
        <f t="shared" si="10"/>
        <v>-64</v>
      </c>
      <c r="W8" s="1">
        <v>24</v>
      </c>
      <c r="X8" s="1">
        <f t="shared" si="11"/>
        <v>57</v>
      </c>
      <c r="Y8" s="1">
        <f t="shared" si="12"/>
        <v>-4725</v>
      </c>
      <c r="Z8" s="1">
        <f t="shared" si="13"/>
        <v>-9150</v>
      </c>
    </row>
    <row r="9" spans="1:29" x14ac:dyDescent="0.25">
      <c r="A9" s="2">
        <v>42991</v>
      </c>
      <c r="B9" s="1">
        <v>24871</v>
      </c>
      <c r="C9" s="1">
        <f t="shared" si="0"/>
        <v>551</v>
      </c>
      <c r="D9" s="1">
        <f t="shared" si="1"/>
        <v>2.265625</v>
      </c>
      <c r="E9" s="1">
        <v>630</v>
      </c>
      <c r="F9" s="1">
        <f t="shared" si="2"/>
        <v>240</v>
      </c>
      <c r="G9" s="1">
        <v>71</v>
      </c>
      <c r="H9" s="1">
        <f t="shared" si="3"/>
        <v>-275</v>
      </c>
      <c r="I9" s="4">
        <f t="shared" si="15"/>
        <v>-4200</v>
      </c>
      <c r="K9" s="1">
        <v>10108</v>
      </c>
      <c r="L9" s="1">
        <f t="shared" si="5"/>
        <v>193</v>
      </c>
      <c r="M9" s="1">
        <f t="shared" si="6"/>
        <v>1.9465456379223398</v>
      </c>
      <c r="O9" s="1">
        <v>243</v>
      </c>
      <c r="P9" s="1">
        <f t="shared" si="7"/>
        <v>110</v>
      </c>
      <c r="Q9" s="1">
        <v>27</v>
      </c>
      <c r="R9" s="1">
        <f t="shared" si="8"/>
        <v>-75</v>
      </c>
      <c r="S9" s="4">
        <f t="shared" si="9"/>
        <v>7875</v>
      </c>
      <c r="U9" s="1">
        <v>156</v>
      </c>
      <c r="V9" s="1">
        <f t="shared" si="10"/>
        <v>-73</v>
      </c>
      <c r="W9" s="1">
        <v>23</v>
      </c>
      <c r="X9" s="1">
        <f t="shared" si="11"/>
        <v>58</v>
      </c>
      <c r="Y9" s="1">
        <f t="shared" si="12"/>
        <v>-10125</v>
      </c>
      <c r="Z9" s="3">
        <f t="shared" si="13"/>
        <v>-6450</v>
      </c>
    </row>
    <row r="10" spans="1:29" x14ac:dyDescent="0.25">
      <c r="A10" s="2"/>
      <c r="I10" s="4"/>
      <c r="S10" s="4"/>
    </row>
    <row r="11" spans="1:29" x14ac:dyDescent="0.25">
      <c r="E11" s="1" t="s">
        <v>88</v>
      </c>
      <c r="G11" s="1" t="s">
        <v>104</v>
      </c>
      <c r="O11" s="1" t="s">
        <v>99</v>
      </c>
      <c r="Q11" s="1" t="s">
        <v>100</v>
      </c>
      <c r="U11" s="1" t="s">
        <v>115</v>
      </c>
      <c r="W11" s="1" t="s">
        <v>116</v>
      </c>
    </row>
    <row r="12" spans="1:29" x14ac:dyDescent="0.25">
      <c r="E12" s="1">
        <v>474</v>
      </c>
      <c r="F12" s="1">
        <f t="shared" ref="F12:F21" si="16">E12-474</f>
        <v>0</v>
      </c>
      <c r="G12" s="1">
        <v>71</v>
      </c>
      <c r="H12" s="1">
        <f t="shared" ref="H12:H21" si="17">G12-71</f>
        <v>0</v>
      </c>
      <c r="I12" s="1">
        <f t="shared" ref="I12" si="18">(H12+F12)*120</f>
        <v>0</v>
      </c>
      <c r="O12" s="1">
        <v>123</v>
      </c>
      <c r="P12" s="1">
        <f t="shared" ref="P12:P19" si="19">O12-123</f>
        <v>0</v>
      </c>
      <c r="Q12" s="1">
        <v>27</v>
      </c>
      <c r="R12" s="1">
        <f t="shared" ref="R12:R19" si="20">Q12-27</f>
        <v>0</v>
      </c>
      <c r="S12" s="1">
        <f t="shared" si="9"/>
        <v>0</v>
      </c>
      <c r="U12" s="1">
        <v>156</v>
      </c>
      <c r="V12" s="1">
        <f t="shared" ref="V12:V19" si="21">156-U12</f>
        <v>0</v>
      </c>
      <c r="W12" s="1">
        <v>66</v>
      </c>
      <c r="X12" s="1">
        <f t="shared" ref="X12:X19" si="22">66-W12</f>
        <v>0</v>
      </c>
      <c r="Y12" s="1">
        <f t="shared" ref="Y12" si="23">(X12+V12)*675</f>
        <v>0</v>
      </c>
      <c r="Z12" s="1">
        <f t="shared" ref="Z12" si="24">Y12+S12+I12</f>
        <v>0</v>
      </c>
    </row>
    <row r="13" spans="1:29" x14ac:dyDescent="0.25">
      <c r="A13" s="2">
        <v>42991</v>
      </c>
      <c r="B13" s="1">
        <v>24830</v>
      </c>
      <c r="C13" s="1">
        <f t="shared" ref="C13" si="25">B13-24320</f>
        <v>510</v>
      </c>
      <c r="D13" s="1">
        <f t="shared" ref="D13" si="26">C13*100/24320</f>
        <v>2.0970394736842106</v>
      </c>
      <c r="E13" s="1">
        <v>437</v>
      </c>
      <c r="F13" s="1">
        <f t="shared" si="16"/>
        <v>-37</v>
      </c>
      <c r="G13" s="1">
        <v>80</v>
      </c>
      <c r="H13" s="1">
        <f t="shared" si="17"/>
        <v>9</v>
      </c>
      <c r="I13" s="1">
        <f t="shared" ref="I13" si="27">(H13+F13)*120</f>
        <v>-3360</v>
      </c>
      <c r="K13" s="1">
        <v>10086</v>
      </c>
      <c r="L13" s="1">
        <f t="shared" ref="L13" si="28">K13-9915</f>
        <v>171</v>
      </c>
      <c r="M13" s="1">
        <f t="shared" ref="M13" si="29">L13*100/9915</f>
        <v>1.7246596066565809</v>
      </c>
      <c r="O13" s="1">
        <v>101</v>
      </c>
      <c r="P13" s="1">
        <f t="shared" si="19"/>
        <v>-22</v>
      </c>
      <c r="Q13" s="1">
        <v>23</v>
      </c>
      <c r="R13" s="1">
        <f t="shared" si="20"/>
        <v>-4</v>
      </c>
      <c r="S13" s="1">
        <f t="shared" ref="S13" si="30">(R13+P13)*225</f>
        <v>-5850</v>
      </c>
      <c r="U13" s="1">
        <v>139</v>
      </c>
      <c r="V13" s="1">
        <f t="shared" si="21"/>
        <v>17</v>
      </c>
      <c r="W13" s="1">
        <v>73</v>
      </c>
      <c r="X13" s="1">
        <f t="shared" si="22"/>
        <v>-7</v>
      </c>
      <c r="Y13" s="1">
        <f t="shared" ref="Y13" si="31">(X13+V13)*675</f>
        <v>6750</v>
      </c>
      <c r="Z13" s="1">
        <f t="shared" ref="Z13" si="32">Y13+S13+I13</f>
        <v>-2460</v>
      </c>
    </row>
    <row r="14" spans="1:29" x14ac:dyDescent="0.25">
      <c r="A14" s="2">
        <v>42993</v>
      </c>
      <c r="B14" s="1">
        <v>24847</v>
      </c>
      <c r="C14" s="1">
        <f t="shared" ref="C14" si="33">B14-24320</f>
        <v>527</v>
      </c>
      <c r="D14" s="1">
        <f t="shared" ref="D14" si="34">C14*100/24320</f>
        <v>2.1669407894736841</v>
      </c>
      <c r="E14" s="1">
        <v>433</v>
      </c>
      <c r="F14" s="1">
        <f t="shared" si="16"/>
        <v>-41</v>
      </c>
      <c r="G14" s="1">
        <v>62</v>
      </c>
      <c r="H14" s="1">
        <f t="shared" si="17"/>
        <v>-9</v>
      </c>
      <c r="I14" s="1">
        <f t="shared" ref="I14" si="35">(H14+F14)*120</f>
        <v>-6000</v>
      </c>
      <c r="K14" s="1">
        <v>10085</v>
      </c>
      <c r="L14" s="1">
        <f t="shared" ref="L14" si="36">K14-9915</f>
        <v>170</v>
      </c>
      <c r="M14" s="1">
        <f t="shared" ref="M14" si="37">L14*100/9915</f>
        <v>1.7145738779626829</v>
      </c>
      <c r="O14" s="1">
        <v>98</v>
      </c>
      <c r="P14" s="1">
        <f t="shared" si="19"/>
        <v>-25</v>
      </c>
      <c r="Q14" s="1">
        <v>25</v>
      </c>
      <c r="R14" s="1">
        <f t="shared" si="20"/>
        <v>-2</v>
      </c>
      <c r="S14" s="1">
        <f t="shared" ref="S14" si="38">(R14+P14)*225</f>
        <v>-6075</v>
      </c>
      <c r="U14" s="1">
        <v>135</v>
      </c>
      <c r="V14" s="1">
        <f t="shared" si="21"/>
        <v>21</v>
      </c>
      <c r="W14" s="1">
        <v>69</v>
      </c>
      <c r="X14" s="1">
        <f t="shared" si="22"/>
        <v>-3</v>
      </c>
      <c r="Y14" s="1">
        <f t="shared" ref="Y14" si="39">(X14+V14)*675</f>
        <v>12150</v>
      </c>
      <c r="Z14" s="1">
        <f t="shared" ref="Z14" si="40">Y14+S14+I14</f>
        <v>75</v>
      </c>
    </row>
    <row r="15" spans="1:29" x14ac:dyDescent="0.25">
      <c r="A15" s="2">
        <v>42996</v>
      </c>
      <c r="B15" s="1">
        <v>25039</v>
      </c>
      <c r="C15" s="1">
        <f t="shared" ref="C15" si="41">B15-24320</f>
        <v>719</v>
      </c>
      <c r="D15" s="1">
        <f t="shared" ref="D15" si="42">C15*100/24320</f>
        <v>2.9564144736842106</v>
      </c>
      <c r="E15" s="1">
        <v>582</v>
      </c>
      <c r="F15" s="1">
        <f t="shared" si="16"/>
        <v>108</v>
      </c>
      <c r="G15" s="1">
        <v>25</v>
      </c>
      <c r="H15" s="1">
        <f t="shared" si="17"/>
        <v>-46</v>
      </c>
      <c r="I15" s="1">
        <f t="shared" ref="I15:I19" si="43">(H15+F15)*120</f>
        <v>7440</v>
      </c>
      <c r="K15" s="1">
        <v>10154</v>
      </c>
      <c r="L15" s="1">
        <f t="shared" ref="L15" si="44">K15-9915</f>
        <v>239</v>
      </c>
      <c r="M15" s="1">
        <f t="shared" ref="M15" si="45">L15*100/9915</f>
        <v>2.4104891578416541</v>
      </c>
      <c r="O15" s="1">
        <v>148</v>
      </c>
      <c r="P15" s="1">
        <f t="shared" si="19"/>
        <v>25</v>
      </c>
      <c r="Q15" s="1">
        <v>12</v>
      </c>
      <c r="R15" s="1">
        <f t="shared" si="20"/>
        <v>-15</v>
      </c>
      <c r="S15" s="1">
        <f t="shared" ref="S15:S19" si="46">(R15+P15)*225</f>
        <v>2250</v>
      </c>
      <c r="U15" s="1">
        <v>195</v>
      </c>
      <c r="V15" s="1">
        <f t="shared" si="21"/>
        <v>-39</v>
      </c>
      <c r="W15" s="1">
        <v>48</v>
      </c>
      <c r="X15" s="1">
        <f t="shared" si="22"/>
        <v>18</v>
      </c>
      <c r="Y15" s="1">
        <f t="shared" ref="Y15:Y19" si="47">(X15+V15)*675</f>
        <v>-14175</v>
      </c>
      <c r="Z15" s="1">
        <f t="shared" ref="Z15:Z19" si="48">Y15+S15+I15</f>
        <v>-4485</v>
      </c>
    </row>
    <row r="16" spans="1:29" x14ac:dyDescent="0.25">
      <c r="A16" s="2">
        <v>42997</v>
      </c>
      <c r="B16" s="1">
        <v>25041</v>
      </c>
      <c r="C16" s="1">
        <f t="shared" ref="C16:C21" si="49">B16-24320</f>
        <v>721</v>
      </c>
      <c r="D16" s="1">
        <f t="shared" ref="D16:D21" si="50">C16*100/24320</f>
        <v>2.9646381578947367</v>
      </c>
      <c r="E16" s="1">
        <v>600</v>
      </c>
      <c r="F16" s="1">
        <f t="shared" si="16"/>
        <v>126</v>
      </c>
      <c r="G16" s="1">
        <v>25</v>
      </c>
      <c r="H16" s="1">
        <f t="shared" si="17"/>
        <v>-46</v>
      </c>
      <c r="I16" s="1">
        <f t="shared" si="43"/>
        <v>9600</v>
      </c>
      <c r="K16" s="1">
        <v>10147</v>
      </c>
      <c r="L16" s="1">
        <f t="shared" ref="L16:L19" si="51">K16-9915</f>
        <v>232</v>
      </c>
      <c r="M16" s="1">
        <f t="shared" ref="M16:M19" si="52">L16*100/9915</f>
        <v>2.3398890569843673</v>
      </c>
      <c r="O16" s="1">
        <v>139</v>
      </c>
      <c r="P16" s="1">
        <f t="shared" si="19"/>
        <v>16</v>
      </c>
      <c r="Q16" s="1">
        <v>10</v>
      </c>
      <c r="R16" s="1">
        <f t="shared" si="20"/>
        <v>-17</v>
      </c>
      <c r="S16" s="1">
        <f t="shared" si="46"/>
        <v>-225</v>
      </c>
      <c r="U16" s="1">
        <v>186</v>
      </c>
      <c r="V16" s="1">
        <f t="shared" si="21"/>
        <v>-30</v>
      </c>
      <c r="W16" s="1">
        <v>48</v>
      </c>
      <c r="X16" s="1">
        <f t="shared" si="22"/>
        <v>18</v>
      </c>
      <c r="Y16" s="1">
        <f t="shared" si="47"/>
        <v>-8100</v>
      </c>
      <c r="Z16" s="1">
        <f t="shared" si="48"/>
        <v>1275</v>
      </c>
    </row>
    <row r="17" spans="1:29" x14ac:dyDescent="0.25">
      <c r="A17" s="2">
        <v>42998</v>
      </c>
      <c r="B17" s="1">
        <v>24952</v>
      </c>
      <c r="C17" s="1">
        <f t="shared" si="49"/>
        <v>632</v>
      </c>
      <c r="D17" s="1">
        <f t="shared" si="50"/>
        <v>2.5986842105263159</v>
      </c>
      <c r="E17" s="1">
        <v>550</v>
      </c>
      <c r="F17" s="1">
        <f t="shared" si="16"/>
        <v>76</v>
      </c>
      <c r="G17" s="1">
        <v>24</v>
      </c>
      <c r="H17" s="1">
        <f t="shared" si="17"/>
        <v>-47</v>
      </c>
      <c r="I17" s="1">
        <f t="shared" si="43"/>
        <v>3480</v>
      </c>
      <c r="K17" s="1">
        <v>10141</v>
      </c>
      <c r="L17" s="1">
        <f t="shared" si="51"/>
        <v>226</v>
      </c>
      <c r="M17" s="1">
        <f t="shared" si="52"/>
        <v>2.2793746848209784</v>
      </c>
      <c r="O17" s="1">
        <v>140</v>
      </c>
      <c r="P17" s="1">
        <f t="shared" si="19"/>
        <v>17</v>
      </c>
      <c r="Q17" s="1">
        <v>10</v>
      </c>
      <c r="R17" s="1">
        <f t="shared" si="20"/>
        <v>-17</v>
      </c>
      <c r="S17" s="1">
        <f t="shared" si="46"/>
        <v>0</v>
      </c>
      <c r="U17" s="1">
        <v>185</v>
      </c>
      <c r="V17" s="1">
        <f t="shared" si="21"/>
        <v>-29</v>
      </c>
      <c r="W17" s="1">
        <v>50</v>
      </c>
      <c r="X17" s="1">
        <f t="shared" si="22"/>
        <v>16</v>
      </c>
      <c r="Y17" s="1">
        <f t="shared" si="47"/>
        <v>-8775</v>
      </c>
      <c r="Z17" s="1">
        <f t="shared" si="48"/>
        <v>-5295</v>
      </c>
    </row>
    <row r="18" spans="1:29" x14ac:dyDescent="0.25">
      <c r="A18" s="2">
        <v>42999</v>
      </c>
      <c r="B18" s="1">
        <v>24815</v>
      </c>
      <c r="C18" s="1">
        <f t="shared" si="49"/>
        <v>495</v>
      </c>
      <c r="D18" s="1">
        <f t="shared" si="50"/>
        <v>2.0353618421052633</v>
      </c>
      <c r="E18" s="1">
        <v>397</v>
      </c>
      <c r="F18" s="1">
        <f t="shared" si="16"/>
        <v>-77</v>
      </c>
      <c r="G18" s="1">
        <v>31</v>
      </c>
      <c r="H18" s="1">
        <f t="shared" si="17"/>
        <v>-40</v>
      </c>
      <c r="I18" s="1">
        <f t="shared" si="43"/>
        <v>-14040</v>
      </c>
      <c r="K18" s="1">
        <v>10120</v>
      </c>
      <c r="L18" s="1">
        <f t="shared" si="51"/>
        <v>205</v>
      </c>
      <c r="M18" s="1">
        <f t="shared" si="52"/>
        <v>2.0675743822491177</v>
      </c>
      <c r="O18" s="1">
        <v>109</v>
      </c>
      <c r="P18" s="1">
        <f t="shared" si="19"/>
        <v>-14</v>
      </c>
      <c r="Q18" s="1">
        <v>8</v>
      </c>
      <c r="R18" s="1">
        <f t="shared" si="20"/>
        <v>-19</v>
      </c>
      <c r="S18" s="1">
        <f t="shared" si="46"/>
        <v>-7425</v>
      </c>
      <c r="U18" s="1">
        <v>154</v>
      </c>
      <c r="V18" s="1">
        <f t="shared" si="21"/>
        <v>2</v>
      </c>
      <c r="W18" s="1">
        <v>51</v>
      </c>
      <c r="X18" s="1">
        <f t="shared" si="22"/>
        <v>15</v>
      </c>
      <c r="Y18" s="1">
        <f t="shared" si="47"/>
        <v>11475</v>
      </c>
      <c r="Z18" s="1">
        <f t="shared" si="48"/>
        <v>-9990</v>
      </c>
    </row>
    <row r="19" spans="1:29" x14ac:dyDescent="0.25">
      <c r="A19" s="2">
        <v>43000</v>
      </c>
      <c r="B19" s="1">
        <v>24434</v>
      </c>
      <c r="C19" s="1">
        <f t="shared" si="49"/>
        <v>114</v>
      </c>
      <c r="D19" s="1">
        <f t="shared" si="50"/>
        <v>0.46875</v>
      </c>
      <c r="E19" s="1">
        <v>176</v>
      </c>
      <c r="F19" s="4">
        <f t="shared" si="16"/>
        <v>-298</v>
      </c>
      <c r="G19" s="1">
        <v>99</v>
      </c>
      <c r="H19" s="1">
        <f t="shared" si="17"/>
        <v>28</v>
      </c>
      <c r="I19" s="1">
        <f t="shared" si="43"/>
        <v>-32400</v>
      </c>
      <c r="K19" s="1">
        <v>9958</v>
      </c>
      <c r="L19" s="1">
        <f t="shared" si="51"/>
        <v>43</v>
      </c>
      <c r="M19" s="1">
        <f t="shared" si="52"/>
        <v>0.43368633383761979</v>
      </c>
      <c r="O19" s="1">
        <v>31</v>
      </c>
      <c r="P19" s="1">
        <f t="shared" si="19"/>
        <v>-92</v>
      </c>
      <c r="Q19" s="1">
        <v>39</v>
      </c>
      <c r="R19" s="1">
        <f t="shared" si="20"/>
        <v>12</v>
      </c>
      <c r="S19" s="1">
        <f t="shared" si="46"/>
        <v>-18000</v>
      </c>
      <c r="U19" s="1">
        <v>52</v>
      </c>
      <c r="V19" s="1">
        <f t="shared" si="21"/>
        <v>104</v>
      </c>
      <c r="W19" s="1">
        <v>100</v>
      </c>
      <c r="X19" s="1">
        <f t="shared" si="22"/>
        <v>-34</v>
      </c>
      <c r="Y19" s="1">
        <f t="shared" si="47"/>
        <v>47250</v>
      </c>
      <c r="Z19" s="1">
        <f t="shared" si="48"/>
        <v>-3150</v>
      </c>
    </row>
    <row r="20" spans="1:29" x14ac:dyDescent="0.25">
      <c r="A20" s="2">
        <v>43000</v>
      </c>
      <c r="B20" s="1">
        <v>24368</v>
      </c>
      <c r="C20" s="1">
        <f t="shared" si="49"/>
        <v>48</v>
      </c>
      <c r="D20" s="1">
        <f t="shared" si="50"/>
        <v>0.19736842105263158</v>
      </c>
      <c r="E20" s="1">
        <v>125</v>
      </c>
      <c r="F20" s="1">
        <f t="shared" si="16"/>
        <v>-349</v>
      </c>
      <c r="G20" s="1">
        <v>130</v>
      </c>
      <c r="H20" s="1">
        <f t="shared" si="17"/>
        <v>59</v>
      </c>
      <c r="I20" s="1">
        <f>H20*120+F20*80</f>
        <v>-20840</v>
      </c>
      <c r="K20" s="1">
        <v>9958</v>
      </c>
      <c r="L20" s="1">
        <f t="shared" ref="L20:L21" si="53">K20-9915</f>
        <v>43</v>
      </c>
      <c r="M20" s="1">
        <f t="shared" ref="M20:M21" si="54">L20*100/9915</f>
        <v>0.43368633383761979</v>
      </c>
      <c r="O20" s="1">
        <v>31</v>
      </c>
      <c r="P20" s="1">
        <f t="shared" ref="P20:P21" si="55">O20-123</f>
        <v>-92</v>
      </c>
      <c r="Q20" s="1">
        <v>39</v>
      </c>
      <c r="R20" s="1">
        <f t="shared" ref="R20:R21" si="56">Q20-27</f>
        <v>12</v>
      </c>
      <c r="S20" s="1">
        <f t="shared" ref="S20:S21" si="57">(R20+P20)*225</f>
        <v>-18000</v>
      </c>
      <c r="U20" s="1">
        <v>52</v>
      </c>
      <c r="V20" s="1">
        <f t="shared" ref="V20:V21" si="58">156-U20</f>
        <v>104</v>
      </c>
      <c r="W20" s="1">
        <v>100</v>
      </c>
      <c r="X20" s="1">
        <f t="shared" ref="X20:X21" si="59">66-W20</f>
        <v>-34</v>
      </c>
      <c r="Y20" s="1">
        <f t="shared" ref="Y20:Y21" si="60">(X20+V20)*675</f>
        <v>47250</v>
      </c>
      <c r="Z20" s="1">
        <f t="shared" ref="Z20:Z21" si="61">Y20+S20+I20</f>
        <v>8410</v>
      </c>
    </row>
    <row r="21" spans="1:29" x14ac:dyDescent="0.25">
      <c r="A21" s="2">
        <v>43003</v>
      </c>
      <c r="B21" s="1">
        <v>24071</v>
      </c>
      <c r="C21" s="1">
        <f t="shared" si="49"/>
        <v>-249</v>
      </c>
      <c r="D21" s="1">
        <f t="shared" si="50"/>
        <v>-1.0238486842105263</v>
      </c>
      <c r="E21" s="1">
        <v>27</v>
      </c>
      <c r="F21" s="1">
        <f t="shared" si="16"/>
        <v>-447</v>
      </c>
      <c r="G21" s="1">
        <v>214</v>
      </c>
      <c r="H21" s="1">
        <f t="shared" si="17"/>
        <v>143</v>
      </c>
      <c r="I21" s="1">
        <f>H21*120+F21*80</f>
        <v>-18600</v>
      </c>
      <c r="K21" s="1">
        <v>9837</v>
      </c>
      <c r="L21" s="1">
        <f t="shared" si="53"/>
        <v>-78</v>
      </c>
      <c r="M21" s="1">
        <f t="shared" si="54"/>
        <v>-0.78668683812405449</v>
      </c>
      <c r="O21" s="1">
        <v>7</v>
      </c>
      <c r="P21" s="1">
        <f t="shared" si="55"/>
        <v>-116</v>
      </c>
      <c r="Q21" s="1">
        <v>68</v>
      </c>
      <c r="R21" s="1">
        <f t="shared" si="56"/>
        <v>41</v>
      </c>
      <c r="S21" s="1">
        <f t="shared" si="57"/>
        <v>-16875</v>
      </c>
      <c r="U21" s="1">
        <v>19</v>
      </c>
      <c r="V21" s="1">
        <f t="shared" si="58"/>
        <v>137</v>
      </c>
      <c r="W21" s="1">
        <v>138</v>
      </c>
      <c r="X21" s="1">
        <f t="shared" si="59"/>
        <v>-72</v>
      </c>
      <c r="Y21" s="3">
        <f t="shared" si="60"/>
        <v>43875</v>
      </c>
      <c r="Z21" s="1">
        <f t="shared" si="61"/>
        <v>8400</v>
      </c>
    </row>
    <row r="22" spans="1:29" x14ac:dyDescent="0.25">
      <c r="U22" s="1" t="s">
        <v>117</v>
      </c>
    </row>
    <row r="23" spans="1:29" x14ac:dyDescent="0.25">
      <c r="U23" s="1">
        <v>30</v>
      </c>
      <c r="V23" s="1">
        <f>30-U23</f>
        <v>0</v>
      </c>
      <c r="W23" s="1">
        <v>138</v>
      </c>
      <c r="X23" s="1">
        <f>138-W23</f>
        <v>0</v>
      </c>
    </row>
    <row r="24" spans="1:29" x14ac:dyDescent="0.25">
      <c r="A24" s="2">
        <v>43003</v>
      </c>
      <c r="B24" s="1">
        <v>24165</v>
      </c>
      <c r="C24" s="1">
        <f t="shared" ref="C24" si="62">B24-24320</f>
        <v>-155</v>
      </c>
      <c r="D24" s="1">
        <f t="shared" ref="D24" si="63">C24*100/24320</f>
        <v>-0.63733552631578949</v>
      </c>
      <c r="E24" s="1">
        <v>32</v>
      </c>
      <c r="F24" s="1">
        <f t="shared" ref="F24:F26" si="64">E24-474</f>
        <v>-442</v>
      </c>
      <c r="G24" s="1">
        <v>179</v>
      </c>
      <c r="H24" s="1">
        <f t="shared" ref="H24" si="65">G24-71</f>
        <v>108</v>
      </c>
      <c r="I24" s="1">
        <f>H24*120+F24*80</f>
        <v>-22400</v>
      </c>
      <c r="K24" s="1">
        <v>9874</v>
      </c>
      <c r="L24" s="1">
        <f t="shared" ref="L24" si="66">K24-9915</f>
        <v>-41</v>
      </c>
      <c r="M24" s="1">
        <f t="shared" ref="M24" si="67">L24*100/9915</f>
        <v>-0.41351487644982349</v>
      </c>
      <c r="O24" s="1">
        <v>6</v>
      </c>
      <c r="P24" s="1">
        <f t="shared" ref="P24:P26" si="68">O24-123</f>
        <v>-117</v>
      </c>
      <c r="Q24" s="1">
        <v>57</v>
      </c>
      <c r="R24" s="1">
        <f t="shared" ref="R24" si="69">Q24-27</f>
        <v>30</v>
      </c>
      <c r="S24" s="1">
        <f t="shared" ref="S24" si="70">(R24+P24)*225</f>
        <v>-19575</v>
      </c>
      <c r="U24" s="1">
        <v>24</v>
      </c>
      <c r="V24" s="1">
        <f>30-U24</f>
        <v>6</v>
      </c>
      <c r="W24" s="1">
        <v>132</v>
      </c>
      <c r="X24" s="1">
        <f>138-W24</f>
        <v>6</v>
      </c>
      <c r="Y24" s="1">
        <f t="shared" ref="Y24" si="71">(X24+V24)*675</f>
        <v>8100</v>
      </c>
      <c r="Z24" s="1">
        <f t="shared" ref="Z24" si="72">Y24+S24+I24</f>
        <v>-33875</v>
      </c>
      <c r="AC24" s="1">
        <f>SUM(AC1:AC23)</f>
        <v>25505</v>
      </c>
    </row>
    <row r="25" spans="1:29" x14ac:dyDescent="0.25">
      <c r="A25" s="2">
        <v>43004</v>
      </c>
      <c r="B25" s="1">
        <v>24199</v>
      </c>
      <c r="C25" s="1">
        <f t="shared" ref="C25:C26" si="73">B25-24320</f>
        <v>-121</v>
      </c>
      <c r="D25" s="1">
        <f t="shared" ref="D25:D26" si="74">C25*100/24320</f>
        <v>-0.49753289473684209</v>
      </c>
      <c r="E25" s="1">
        <v>18</v>
      </c>
      <c r="F25" s="1">
        <f t="shared" si="64"/>
        <v>-456</v>
      </c>
      <c r="G25" s="1">
        <v>150</v>
      </c>
      <c r="H25" s="1">
        <f t="shared" ref="H25:H26" si="75">G25-71</f>
        <v>79</v>
      </c>
      <c r="I25" s="1">
        <f>H25*120+F25*80</f>
        <v>-27000</v>
      </c>
      <c r="K25" s="1">
        <v>9871</v>
      </c>
      <c r="L25" s="1">
        <f t="shared" ref="L25" si="76">K25-9915</f>
        <v>-44</v>
      </c>
      <c r="M25" s="1">
        <f t="shared" ref="M25" si="77">L25*100/9915</f>
        <v>-0.44377206253151791</v>
      </c>
      <c r="O25" s="1">
        <v>2</v>
      </c>
      <c r="P25" s="1">
        <f t="shared" si="68"/>
        <v>-121</v>
      </c>
      <c r="Q25" s="1">
        <v>62</v>
      </c>
      <c r="R25" s="1">
        <f t="shared" ref="R25:R26" si="78">Q25-27</f>
        <v>35</v>
      </c>
      <c r="S25" s="1">
        <f t="shared" ref="S25:S26" si="79">(R25+P25)*225</f>
        <v>-19350</v>
      </c>
      <c r="U25" s="1">
        <v>11</v>
      </c>
      <c r="V25" s="1">
        <f>30-U25</f>
        <v>19</v>
      </c>
      <c r="W25" s="1">
        <v>138</v>
      </c>
      <c r="X25" s="1">
        <f>138-W25</f>
        <v>0</v>
      </c>
      <c r="Y25" s="1">
        <f t="shared" ref="Y25" si="80">(X25+V25)*675</f>
        <v>12825</v>
      </c>
      <c r="Z25" s="1">
        <f t="shared" ref="Z25" si="81">Y25+S25+I25</f>
        <v>-33525</v>
      </c>
    </row>
    <row r="26" spans="1:29" x14ac:dyDescent="0.25">
      <c r="A26" s="2">
        <v>43005</v>
      </c>
      <c r="B26" s="1">
        <v>23800</v>
      </c>
      <c r="C26" s="1">
        <f t="shared" si="73"/>
        <v>-520</v>
      </c>
      <c r="D26" s="1">
        <f t="shared" si="74"/>
        <v>-2.138157894736842</v>
      </c>
      <c r="E26" s="1">
        <v>0</v>
      </c>
      <c r="F26" s="1">
        <f t="shared" si="64"/>
        <v>-474</v>
      </c>
      <c r="G26" s="1">
        <v>500</v>
      </c>
      <c r="H26" s="1">
        <f t="shared" si="75"/>
        <v>429</v>
      </c>
      <c r="I26" s="1">
        <f>H26*120+F26*80</f>
        <v>13560</v>
      </c>
      <c r="K26" s="1">
        <v>9800</v>
      </c>
      <c r="L26" s="1">
        <f t="shared" ref="L26" si="82">K26-9915</f>
        <v>-115</v>
      </c>
      <c r="M26" s="1">
        <f t="shared" ref="M26" si="83">L26*100/9915</f>
        <v>-1.1598587997982854</v>
      </c>
      <c r="O26" s="1">
        <v>0</v>
      </c>
      <c r="P26" s="1">
        <f t="shared" si="68"/>
        <v>-123</v>
      </c>
      <c r="Q26" s="1">
        <v>100</v>
      </c>
      <c r="R26" s="1">
        <f t="shared" si="78"/>
        <v>73</v>
      </c>
      <c r="S26" s="1">
        <f t="shared" si="79"/>
        <v>-11250</v>
      </c>
      <c r="U26" s="1">
        <v>0</v>
      </c>
      <c r="V26" s="1">
        <f>30-U26</f>
        <v>30</v>
      </c>
      <c r="W26" s="1">
        <v>197</v>
      </c>
      <c r="X26" s="1">
        <f>138-W26</f>
        <v>-59</v>
      </c>
      <c r="Y26" s="1">
        <f t="shared" ref="Y26" si="84">(X26+V26)*675</f>
        <v>-19575</v>
      </c>
      <c r="Z26" s="1">
        <f t="shared" ref="Z26" si="85">Y26+S26+I26</f>
        <v>-17265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2017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amundhe</dc:creator>
  <cp:lastModifiedBy>Mundhe, Atul</cp:lastModifiedBy>
  <dcterms:created xsi:type="dcterms:W3CDTF">2017-02-03T08:48:01Z</dcterms:created>
  <dcterms:modified xsi:type="dcterms:W3CDTF">2017-09-29T10:10:02Z</dcterms:modified>
</cp:coreProperties>
</file>