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mundhe\Desktop\"/>
    </mc:Choice>
  </mc:AlternateContent>
  <bookViews>
    <workbookView xWindow="0" yWindow="0" windowWidth="20490" windowHeight="775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9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7" i="7" l="1"/>
  <c r="V87" i="7" s="1"/>
  <c r="U86" i="7"/>
  <c r="S87" i="7"/>
  <c r="S86" i="7"/>
  <c r="Q86" i="7"/>
  <c r="M87" i="7"/>
  <c r="M86" i="7"/>
  <c r="K87" i="7"/>
  <c r="K86" i="7"/>
  <c r="G87" i="7"/>
  <c r="H87" i="7" s="1"/>
  <c r="G86" i="7"/>
  <c r="E87" i="7"/>
  <c r="C87" i="7"/>
  <c r="E86" i="7"/>
  <c r="C86" i="7"/>
  <c r="Q87" i="7"/>
  <c r="N87" i="7"/>
  <c r="Y86" i="7"/>
  <c r="H86" i="7"/>
  <c r="U83" i="7"/>
  <c r="V83" i="7"/>
  <c r="U82" i="7"/>
  <c r="S83" i="7"/>
  <c r="Q83" i="7"/>
  <c r="S82" i="7"/>
  <c r="Q82" i="7"/>
  <c r="M83" i="7"/>
  <c r="M82" i="7"/>
  <c r="K83" i="7"/>
  <c r="N83" i="7" s="1"/>
  <c r="K82" i="7"/>
  <c r="G83" i="7"/>
  <c r="E83" i="7"/>
  <c r="C83" i="7"/>
  <c r="E82" i="7"/>
  <c r="C82" i="7"/>
  <c r="H83" i="7"/>
  <c r="Y82" i="7"/>
  <c r="G82" i="7"/>
  <c r="H82" i="7" s="1"/>
  <c r="U79" i="7"/>
  <c r="U78" i="7"/>
  <c r="S79" i="7"/>
  <c r="V79" i="7" s="1"/>
  <c r="Q79" i="7"/>
  <c r="S78" i="7"/>
  <c r="Q78" i="7"/>
  <c r="M79" i="7"/>
  <c r="M78" i="7"/>
  <c r="K79" i="7"/>
  <c r="K78" i="7"/>
  <c r="G79" i="7"/>
  <c r="G78" i="7"/>
  <c r="E79" i="7"/>
  <c r="C79" i="7"/>
  <c r="E78" i="7"/>
  <c r="C78" i="7"/>
  <c r="N79" i="7"/>
  <c r="Y78" i="7"/>
  <c r="H78" i="7"/>
  <c r="U75" i="7"/>
  <c r="U74" i="7"/>
  <c r="Q75" i="7"/>
  <c r="S75" i="7"/>
  <c r="S74" i="7"/>
  <c r="Q74" i="7"/>
  <c r="M75" i="7"/>
  <c r="M74" i="7"/>
  <c r="K75" i="7"/>
  <c r="N75" i="7" s="1"/>
  <c r="K74" i="7"/>
  <c r="G75" i="7"/>
  <c r="E75" i="7"/>
  <c r="C75" i="7"/>
  <c r="E74" i="7"/>
  <c r="C74" i="7"/>
  <c r="Y74" i="7"/>
  <c r="N74" i="7"/>
  <c r="G74" i="7"/>
  <c r="U71" i="7"/>
  <c r="U70" i="7"/>
  <c r="S71" i="7"/>
  <c r="Q71" i="7"/>
  <c r="S70" i="7"/>
  <c r="Q70" i="7"/>
  <c r="M71" i="7"/>
  <c r="M70" i="7"/>
  <c r="K71" i="7"/>
  <c r="K70" i="7"/>
  <c r="G71" i="7"/>
  <c r="G70" i="7"/>
  <c r="E71" i="7"/>
  <c r="C71" i="7"/>
  <c r="E70" i="7"/>
  <c r="C70" i="7"/>
  <c r="V71" i="7"/>
  <c r="N71" i="7"/>
  <c r="H71" i="7"/>
  <c r="Y70" i="7"/>
  <c r="V70" i="7"/>
  <c r="N70" i="7"/>
  <c r="U67" i="7"/>
  <c r="U66" i="7"/>
  <c r="S67" i="7"/>
  <c r="V67" i="7" s="1"/>
  <c r="Q67" i="7"/>
  <c r="S66" i="7"/>
  <c r="Q66" i="7"/>
  <c r="M67" i="7"/>
  <c r="N67" i="7" s="1"/>
  <c r="M66" i="7"/>
  <c r="K67" i="7"/>
  <c r="K66" i="7"/>
  <c r="E67" i="7"/>
  <c r="E66" i="7"/>
  <c r="G67" i="7"/>
  <c r="H67" i="7" s="1"/>
  <c r="G66" i="7"/>
  <c r="C67" i="7"/>
  <c r="C66" i="7"/>
  <c r="Y66" i="7"/>
  <c r="H66" i="7"/>
  <c r="U63" i="7"/>
  <c r="U62" i="7"/>
  <c r="V62" i="7" s="1"/>
  <c r="S63" i="7"/>
  <c r="Q63" i="7"/>
  <c r="S62" i="7"/>
  <c r="Q62" i="7"/>
  <c r="K63" i="7"/>
  <c r="K62" i="7"/>
  <c r="G63" i="7"/>
  <c r="G62" i="7"/>
  <c r="E63" i="7"/>
  <c r="C63" i="7"/>
  <c r="E62" i="7"/>
  <c r="C62" i="7"/>
  <c r="M63" i="7"/>
  <c r="H63" i="7"/>
  <c r="Y62" i="7"/>
  <c r="N62" i="7"/>
  <c r="M62" i="7"/>
  <c r="U59" i="7"/>
  <c r="U58" i="7"/>
  <c r="V58" i="7" s="1"/>
  <c r="S59" i="7"/>
  <c r="Q59" i="7"/>
  <c r="S58" i="7"/>
  <c r="Q58" i="7"/>
  <c r="M59" i="7"/>
  <c r="M58" i="7"/>
  <c r="K59" i="7"/>
  <c r="K58" i="7"/>
  <c r="G59" i="7"/>
  <c r="G58" i="7"/>
  <c r="E59" i="7"/>
  <c r="C59" i="7"/>
  <c r="E58" i="7"/>
  <c r="C58" i="7"/>
  <c r="Y58" i="7"/>
  <c r="N58" i="7"/>
  <c r="U55" i="7"/>
  <c r="U54" i="7"/>
  <c r="S55" i="7"/>
  <c r="Q55" i="7"/>
  <c r="S54" i="7"/>
  <c r="Q54" i="7"/>
  <c r="M55" i="7"/>
  <c r="M54" i="7"/>
  <c r="K55" i="7"/>
  <c r="K54" i="7"/>
  <c r="G55" i="7"/>
  <c r="G54" i="7"/>
  <c r="H54" i="7" s="1"/>
  <c r="E55" i="7"/>
  <c r="E54" i="7"/>
  <c r="C55" i="7"/>
  <c r="C54" i="7"/>
  <c r="Y54" i="7"/>
  <c r="U51" i="7"/>
  <c r="U50" i="7"/>
  <c r="S51" i="7"/>
  <c r="Q51" i="7"/>
  <c r="S50" i="7"/>
  <c r="Q50" i="7"/>
  <c r="M51" i="7"/>
  <c r="M50" i="7"/>
  <c r="K51" i="7"/>
  <c r="N51" i="7" s="1"/>
  <c r="K50" i="7"/>
  <c r="G51" i="7"/>
  <c r="G50" i="7"/>
  <c r="H50" i="7" s="1"/>
  <c r="E51" i="7"/>
  <c r="C51" i="7"/>
  <c r="E50" i="7"/>
  <c r="C50" i="7"/>
  <c r="V51" i="7"/>
  <c r="H51" i="7"/>
  <c r="Y50" i="7"/>
  <c r="V50" i="7"/>
  <c r="Y47" i="7"/>
  <c r="Y43" i="7"/>
  <c r="Y39" i="7"/>
  <c r="Y35" i="7"/>
  <c r="Y31" i="7"/>
  <c r="Y27" i="7"/>
  <c r="Y23" i="7"/>
  <c r="Y19" i="7"/>
  <c r="Y14" i="7"/>
  <c r="Y9" i="7"/>
  <c r="Y4" i="7"/>
  <c r="Y46" i="7"/>
  <c r="Y42" i="7"/>
  <c r="Y38" i="7"/>
  <c r="Y34" i="7"/>
  <c r="Y30" i="7"/>
  <c r="Y26" i="7"/>
  <c r="Y22" i="7"/>
  <c r="Y18" i="7"/>
  <c r="Y17" i="7"/>
  <c r="Y13" i="7"/>
  <c r="Y12" i="7"/>
  <c r="Y8" i="7"/>
  <c r="Y7" i="7"/>
  <c r="Y3" i="7"/>
  <c r="Y2" i="7"/>
  <c r="U47" i="7"/>
  <c r="Q47" i="7"/>
  <c r="U46" i="7"/>
  <c r="S47" i="7"/>
  <c r="S46" i="7"/>
  <c r="Q46" i="7"/>
  <c r="M47" i="7"/>
  <c r="N47" i="7" s="1"/>
  <c r="M46" i="7"/>
  <c r="K47" i="7"/>
  <c r="K46" i="7"/>
  <c r="G47" i="7"/>
  <c r="H47" i="7"/>
  <c r="G46" i="7"/>
  <c r="E47" i="7"/>
  <c r="C47" i="7"/>
  <c r="E46" i="7"/>
  <c r="C46" i="7"/>
  <c r="V47" i="7"/>
  <c r="V46" i="7"/>
  <c r="N46" i="7"/>
  <c r="X43" i="7"/>
  <c r="M43" i="7"/>
  <c r="M42" i="7"/>
  <c r="K43" i="7"/>
  <c r="K42" i="7"/>
  <c r="G43" i="7"/>
  <c r="G42" i="7"/>
  <c r="E43" i="7"/>
  <c r="E42" i="7"/>
  <c r="X39" i="7"/>
  <c r="M39" i="7"/>
  <c r="N39" i="7" s="1"/>
  <c r="M38" i="7"/>
  <c r="K39" i="7"/>
  <c r="K38" i="7"/>
  <c r="G39" i="7"/>
  <c r="G38" i="7"/>
  <c r="E39" i="7"/>
  <c r="E38" i="7"/>
  <c r="H38" i="7" s="1"/>
  <c r="X35" i="7"/>
  <c r="M35" i="7"/>
  <c r="M34" i="7"/>
  <c r="K35" i="7"/>
  <c r="K34" i="7"/>
  <c r="G35" i="7"/>
  <c r="G34" i="7"/>
  <c r="E35" i="7"/>
  <c r="E34" i="7"/>
  <c r="X31" i="7"/>
  <c r="M31" i="7"/>
  <c r="M30" i="7"/>
  <c r="K31" i="7"/>
  <c r="K30" i="7"/>
  <c r="G31" i="7"/>
  <c r="H31" i="7" s="1"/>
  <c r="G30" i="7"/>
  <c r="E31" i="7"/>
  <c r="E30" i="7"/>
  <c r="X27" i="7"/>
  <c r="M27" i="7"/>
  <c r="M26" i="7"/>
  <c r="K27" i="7"/>
  <c r="K26" i="7"/>
  <c r="G27" i="7"/>
  <c r="G26" i="7"/>
  <c r="H26" i="7"/>
  <c r="E27" i="7"/>
  <c r="E26" i="7"/>
  <c r="X23" i="7"/>
  <c r="M23" i="7"/>
  <c r="M22" i="7"/>
  <c r="K23" i="7"/>
  <c r="K22" i="7"/>
  <c r="G23" i="7"/>
  <c r="G22" i="7"/>
  <c r="H22" i="7"/>
  <c r="E23" i="7"/>
  <c r="E22" i="7"/>
  <c r="X19" i="7"/>
  <c r="M19" i="7"/>
  <c r="M18" i="7"/>
  <c r="M17" i="7"/>
  <c r="K19" i="7"/>
  <c r="K18" i="7"/>
  <c r="K17" i="7"/>
  <c r="G19" i="7"/>
  <c r="G18" i="7"/>
  <c r="H18" i="7" s="1"/>
  <c r="G17" i="7"/>
  <c r="E19" i="7"/>
  <c r="E18" i="7"/>
  <c r="E17" i="7"/>
  <c r="H17" i="7"/>
  <c r="X14" i="7"/>
  <c r="M14" i="7"/>
  <c r="M13" i="7"/>
  <c r="N13" i="7" s="1"/>
  <c r="M12" i="7"/>
  <c r="K14" i="7"/>
  <c r="K13" i="7"/>
  <c r="K12" i="7"/>
  <c r="G14" i="7"/>
  <c r="G13" i="7"/>
  <c r="G12" i="7"/>
  <c r="H12" i="7"/>
  <c r="E14" i="7"/>
  <c r="E13" i="7"/>
  <c r="H13" i="7" s="1"/>
  <c r="E12" i="7"/>
  <c r="X9" i="7"/>
  <c r="M9" i="7"/>
  <c r="M8" i="7"/>
  <c r="M7" i="7"/>
  <c r="K9" i="7"/>
  <c r="K8" i="7"/>
  <c r="K7" i="7"/>
  <c r="E9" i="7"/>
  <c r="H9" i="7" s="1"/>
  <c r="E8" i="7"/>
  <c r="E7" i="7"/>
  <c r="H7" i="7"/>
  <c r="G9" i="7"/>
  <c r="G8" i="7"/>
  <c r="H8" i="7" s="1"/>
  <c r="G7" i="7"/>
  <c r="M4" i="7"/>
  <c r="M3" i="7"/>
  <c r="M2" i="7"/>
  <c r="K4" i="7"/>
  <c r="K3" i="7"/>
  <c r="K2" i="7"/>
  <c r="G4" i="7"/>
  <c r="G3" i="7"/>
  <c r="G2" i="7"/>
  <c r="E4" i="7"/>
  <c r="E3" i="7"/>
  <c r="E2" i="7"/>
  <c r="U43" i="7"/>
  <c r="V43" i="7" s="1"/>
  <c r="S43" i="7"/>
  <c r="Q43" i="7"/>
  <c r="N43" i="7"/>
  <c r="H43" i="7"/>
  <c r="C43" i="7"/>
  <c r="U42" i="7"/>
  <c r="V42" i="7" s="1"/>
  <c r="S42" i="7"/>
  <c r="Q42" i="7"/>
  <c r="N42" i="7"/>
  <c r="H42" i="7"/>
  <c r="C42" i="7"/>
  <c r="U39" i="7"/>
  <c r="V39" i="7" s="1"/>
  <c r="S39" i="7"/>
  <c r="Q39" i="7"/>
  <c r="H39" i="7"/>
  <c r="C39" i="7"/>
  <c r="U38" i="7"/>
  <c r="V38" i="7" s="1"/>
  <c r="S38" i="7"/>
  <c r="Q38" i="7"/>
  <c r="C38" i="7"/>
  <c r="U35" i="7"/>
  <c r="V35" i="7" s="1"/>
  <c r="S35" i="7"/>
  <c r="Q35" i="7"/>
  <c r="N35" i="7"/>
  <c r="C35" i="7"/>
  <c r="U34" i="7"/>
  <c r="V34" i="7" s="1"/>
  <c r="S34" i="7"/>
  <c r="Q34" i="7"/>
  <c r="N34" i="7"/>
  <c r="H34" i="7"/>
  <c r="C34" i="7"/>
  <c r="U31" i="7"/>
  <c r="V31" i="7" s="1"/>
  <c r="S31" i="7"/>
  <c r="Q31" i="7"/>
  <c r="C31" i="7"/>
  <c r="U30" i="7"/>
  <c r="V30" i="7" s="1"/>
  <c r="S30" i="7"/>
  <c r="Q30" i="7"/>
  <c r="N30" i="7"/>
  <c r="H30" i="7"/>
  <c r="C30" i="7"/>
  <c r="U27" i="7"/>
  <c r="V27" i="7" s="1"/>
  <c r="S27" i="7"/>
  <c r="Q27" i="7"/>
  <c r="N27" i="7"/>
  <c r="H27" i="7"/>
  <c r="C27" i="7"/>
  <c r="U26" i="7"/>
  <c r="V26" i="7" s="1"/>
  <c r="S26" i="7"/>
  <c r="Q26" i="7"/>
  <c r="N26" i="7"/>
  <c r="C26" i="7"/>
  <c r="U23" i="7"/>
  <c r="V23" i="7" s="1"/>
  <c r="S23" i="7"/>
  <c r="Q23" i="7"/>
  <c r="N23" i="7"/>
  <c r="H23" i="7"/>
  <c r="C23" i="7"/>
  <c r="U22" i="7"/>
  <c r="V22" i="7" s="1"/>
  <c r="S22" i="7"/>
  <c r="Q22" i="7"/>
  <c r="C22" i="7"/>
  <c r="U19" i="7"/>
  <c r="V19" i="7" s="1"/>
  <c r="S19" i="7"/>
  <c r="Q19" i="7"/>
  <c r="N19" i="7"/>
  <c r="H19" i="7"/>
  <c r="C19" i="7"/>
  <c r="U18" i="7"/>
  <c r="V18" i="7" s="1"/>
  <c r="S18" i="7"/>
  <c r="Q18" i="7"/>
  <c r="N18" i="7"/>
  <c r="C18" i="7"/>
  <c r="U17" i="7"/>
  <c r="V17" i="7" s="1"/>
  <c r="S17" i="7"/>
  <c r="Q17" i="7"/>
  <c r="N17" i="7"/>
  <c r="C17" i="7"/>
  <c r="U14" i="7"/>
  <c r="V14" i="7" s="1"/>
  <c r="S14" i="7"/>
  <c r="Q14" i="7"/>
  <c r="H14" i="7"/>
  <c r="C14" i="7"/>
  <c r="U13" i="7"/>
  <c r="V13" i="7" s="1"/>
  <c r="S13" i="7"/>
  <c r="Q13" i="7"/>
  <c r="C13" i="7"/>
  <c r="U12" i="7"/>
  <c r="V12" i="7" s="1"/>
  <c r="S12" i="7"/>
  <c r="Q12" i="7"/>
  <c r="C12" i="7"/>
  <c r="U9" i="7"/>
  <c r="V9" i="7" s="1"/>
  <c r="S9" i="7"/>
  <c r="Q9" i="7"/>
  <c r="C9" i="7"/>
  <c r="U8" i="7"/>
  <c r="V8" i="7" s="1"/>
  <c r="S8" i="7"/>
  <c r="Q8" i="7"/>
  <c r="C8" i="7"/>
  <c r="U7" i="7"/>
  <c r="V7" i="7" s="1"/>
  <c r="S7" i="7"/>
  <c r="Q7" i="7"/>
  <c r="C7" i="7"/>
  <c r="U4" i="7"/>
  <c r="V4" i="7" s="1"/>
  <c r="S4" i="7"/>
  <c r="Q4" i="7"/>
  <c r="N4" i="7"/>
  <c r="C4" i="7"/>
  <c r="U3" i="7"/>
  <c r="V3" i="7" s="1"/>
  <c r="S3" i="7"/>
  <c r="Q3" i="7"/>
  <c r="N3" i="7"/>
  <c r="H3" i="7"/>
  <c r="C3" i="7"/>
  <c r="U2" i="7"/>
  <c r="V2" i="7" s="1"/>
  <c r="S2" i="7"/>
  <c r="Q2" i="7"/>
  <c r="H2" i="7"/>
  <c r="C2" i="7"/>
  <c r="U14" i="6"/>
  <c r="U13" i="6"/>
  <c r="U9" i="6"/>
  <c r="U8" i="6"/>
  <c r="U4" i="6"/>
  <c r="U3" i="6"/>
  <c r="U2" i="6"/>
  <c r="U7" i="6"/>
  <c r="P14" i="6"/>
  <c r="P13" i="6"/>
  <c r="R13" i="6" s="1"/>
  <c r="P9" i="6"/>
  <c r="P8" i="6"/>
  <c r="P4" i="6"/>
  <c r="P3" i="6"/>
  <c r="R14" i="6"/>
  <c r="O14" i="6"/>
  <c r="O13" i="6"/>
  <c r="O12" i="6"/>
  <c r="M14" i="6"/>
  <c r="M13" i="6"/>
  <c r="K14" i="6"/>
  <c r="K13" i="6"/>
  <c r="M12" i="6"/>
  <c r="E14" i="6"/>
  <c r="E13" i="6"/>
  <c r="E12" i="6"/>
  <c r="G14" i="6"/>
  <c r="G13" i="6"/>
  <c r="G12" i="6"/>
  <c r="K12" i="6"/>
  <c r="H14" i="6"/>
  <c r="C14" i="6"/>
  <c r="C13" i="6"/>
  <c r="H12" i="6"/>
  <c r="C12" i="6"/>
  <c r="O9" i="6"/>
  <c r="R8" i="6"/>
  <c r="O8" i="6"/>
  <c r="O7" i="6"/>
  <c r="P7" i="6" s="1"/>
  <c r="M9" i="6"/>
  <c r="M8" i="6"/>
  <c r="K9" i="6"/>
  <c r="K8" i="6"/>
  <c r="E9" i="6"/>
  <c r="G9" i="6"/>
  <c r="G8" i="6"/>
  <c r="H8" i="6" s="1"/>
  <c r="M7" i="6"/>
  <c r="K7" i="6"/>
  <c r="G7" i="6"/>
  <c r="E8" i="6"/>
  <c r="C8" i="6"/>
  <c r="O3" i="6"/>
  <c r="M3" i="6"/>
  <c r="K3" i="6"/>
  <c r="G3" i="6"/>
  <c r="E3" i="6"/>
  <c r="C3" i="6"/>
  <c r="C4" i="6"/>
  <c r="C9" i="6"/>
  <c r="E7" i="6"/>
  <c r="C7" i="6"/>
  <c r="O4" i="6"/>
  <c r="K4" i="6"/>
  <c r="K2" i="6"/>
  <c r="M4" i="6"/>
  <c r="H4" i="6"/>
  <c r="G4" i="6"/>
  <c r="E4" i="6"/>
  <c r="H2" i="6"/>
  <c r="O2" i="6"/>
  <c r="M2" i="6"/>
  <c r="G2" i="6"/>
  <c r="E2" i="6"/>
  <c r="C2" i="6"/>
  <c r="G47" i="5"/>
  <c r="G46" i="5"/>
  <c r="E47" i="5"/>
  <c r="E46" i="5"/>
  <c r="M47" i="5"/>
  <c r="N47" i="5" s="1"/>
  <c r="U47" i="5"/>
  <c r="U46" i="5"/>
  <c r="S47" i="5"/>
  <c r="V47" i="5" s="1"/>
  <c r="S46" i="5"/>
  <c r="Q47" i="5"/>
  <c r="Q46" i="5"/>
  <c r="M46" i="5"/>
  <c r="C47" i="5"/>
  <c r="K47" i="5"/>
  <c r="K46" i="5"/>
  <c r="N46" i="5" s="1"/>
  <c r="C46" i="5"/>
  <c r="Y43" i="5"/>
  <c r="Y39" i="5"/>
  <c r="Y35" i="5"/>
  <c r="Y31" i="5"/>
  <c r="Y27" i="5"/>
  <c r="Y23" i="5"/>
  <c r="Y19" i="5"/>
  <c r="Y14" i="5"/>
  <c r="Y9" i="5"/>
  <c r="Y4" i="5"/>
  <c r="Y3" i="5"/>
  <c r="Y2" i="5"/>
  <c r="Y46" i="5"/>
  <c r="Y42" i="5"/>
  <c r="Y38" i="5"/>
  <c r="Y34" i="5"/>
  <c r="Y30" i="5"/>
  <c r="Y26" i="5"/>
  <c r="Y22" i="5"/>
  <c r="Y18" i="5"/>
  <c r="Y17" i="5"/>
  <c r="Y13" i="5"/>
  <c r="Y12" i="5"/>
  <c r="Y8" i="5"/>
  <c r="Y7" i="5"/>
  <c r="X4" i="5"/>
  <c r="X9" i="5"/>
  <c r="X14" i="5"/>
  <c r="J19" i="2"/>
  <c r="J18" i="2"/>
  <c r="M23" i="5"/>
  <c r="M22" i="5"/>
  <c r="K23" i="5"/>
  <c r="K22" i="5"/>
  <c r="M4" i="5"/>
  <c r="M3" i="5"/>
  <c r="M2" i="5"/>
  <c r="K4" i="5"/>
  <c r="K3" i="5"/>
  <c r="K2" i="5"/>
  <c r="V46" i="5"/>
  <c r="V43" i="5"/>
  <c r="X43" i="5" s="1"/>
  <c r="U43" i="5"/>
  <c r="S43" i="5"/>
  <c r="Q43" i="5"/>
  <c r="N43" i="5"/>
  <c r="M43" i="5"/>
  <c r="K43" i="5"/>
  <c r="G43" i="5"/>
  <c r="H43" i="5" s="1"/>
  <c r="E43" i="5"/>
  <c r="C43" i="5"/>
  <c r="V42" i="5"/>
  <c r="X42" i="5" s="1"/>
  <c r="U42" i="5"/>
  <c r="S42" i="5"/>
  <c r="Q42" i="5"/>
  <c r="N42" i="5"/>
  <c r="M42" i="5"/>
  <c r="K42" i="5"/>
  <c r="G42" i="5"/>
  <c r="H42" i="5" s="1"/>
  <c r="E42" i="5"/>
  <c r="C42" i="5"/>
  <c r="V39" i="5"/>
  <c r="X39" i="5" s="1"/>
  <c r="U39" i="5"/>
  <c r="S39" i="5"/>
  <c r="Q39" i="5"/>
  <c r="N39" i="5"/>
  <c r="M39" i="5"/>
  <c r="K39" i="5"/>
  <c r="G39" i="5"/>
  <c r="H39" i="5" s="1"/>
  <c r="E39" i="5"/>
  <c r="C39" i="5"/>
  <c r="V38" i="5"/>
  <c r="X38" i="5" s="1"/>
  <c r="U38" i="5"/>
  <c r="S38" i="5"/>
  <c r="Q38" i="5"/>
  <c r="N38" i="5"/>
  <c r="M38" i="5"/>
  <c r="K38" i="5"/>
  <c r="G38" i="5"/>
  <c r="H38" i="5" s="1"/>
  <c r="E38" i="5"/>
  <c r="C38" i="5"/>
  <c r="V35" i="5"/>
  <c r="X35" i="5" s="1"/>
  <c r="U35" i="5"/>
  <c r="S35" i="5"/>
  <c r="Q35" i="5"/>
  <c r="N35" i="5"/>
  <c r="M35" i="5"/>
  <c r="K35" i="5"/>
  <c r="G35" i="5"/>
  <c r="H35" i="5" s="1"/>
  <c r="E35" i="5"/>
  <c r="C35" i="5"/>
  <c r="V34" i="5"/>
  <c r="X34" i="5" s="1"/>
  <c r="U34" i="5"/>
  <c r="S34" i="5"/>
  <c r="Q34" i="5"/>
  <c r="N34" i="5"/>
  <c r="M34" i="5"/>
  <c r="K34" i="5"/>
  <c r="G34" i="5"/>
  <c r="H34" i="5" s="1"/>
  <c r="E34" i="5"/>
  <c r="C34" i="5"/>
  <c r="V31" i="5"/>
  <c r="X31" i="5" s="1"/>
  <c r="U31" i="5"/>
  <c r="S31" i="5"/>
  <c r="Q31" i="5"/>
  <c r="N31" i="5"/>
  <c r="M31" i="5"/>
  <c r="K31" i="5"/>
  <c r="G31" i="5"/>
  <c r="H31" i="5" s="1"/>
  <c r="E31" i="5"/>
  <c r="C31" i="5"/>
  <c r="V30" i="5"/>
  <c r="X30" i="5" s="1"/>
  <c r="U30" i="5"/>
  <c r="S30" i="5"/>
  <c r="Q30" i="5"/>
  <c r="N30" i="5"/>
  <c r="M30" i="5"/>
  <c r="K30" i="5"/>
  <c r="G30" i="5"/>
  <c r="H30" i="5" s="1"/>
  <c r="E30" i="5"/>
  <c r="C30" i="5"/>
  <c r="V27" i="5"/>
  <c r="X27" i="5" s="1"/>
  <c r="U27" i="5"/>
  <c r="S27" i="5"/>
  <c r="Q27" i="5"/>
  <c r="N27" i="5"/>
  <c r="M27" i="5"/>
  <c r="K27" i="5"/>
  <c r="G27" i="5"/>
  <c r="H27" i="5" s="1"/>
  <c r="E27" i="5"/>
  <c r="C27" i="5"/>
  <c r="V26" i="5"/>
  <c r="X26" i="5" s="1"/>
  <c r="U26" i="5"/>
  <c r="S26" i="5"/>
  <c r="Q26" i="5"/>
  <c r="N26" i="5"/>
  <c r="M26" i="5"/>
  <c r="K26" i="5"/>
  <c r="G26" i="5"/>
  <c r="H26" i="5" s="1"/>
  <c r="E26" i="5"/>
  <c r="C26" i="5"/>
  <c r="V23" i="5"/>
  <c r="U23" i="5"/>
  <c r="S23" i="5"/>
  <c r="Q23" i="5"/>
  <c r="N23" i="5"/>
  <c r="G23" i="5"/>
  <c r="H23" i="5" s="1"/>
  <c r="E23" i="5"/>
  <c r="C23" i="5"/>
  <c r="V22" i="5"/>
  <c r="U22" i="5"/>
  <c r="S22" i="5"/>
  <c r="Q22" i="5"/>
  <c r="N22" i="5"/>
  <c r="G22" i="5"/>
  <c r="H22" i="5" s="1"/>
  <c r="E22" i="5"/>
  <c r="C22" i="5"/>
  <c r="V19" i="5"/>
  <c r="X19" i="5" s="1"/>
  <c r="U19" i="5"/>
  <c r="S19" i="5"/>
  <c r="Q19" i="5"/>
  <c r="N19" i="5"/>
  <c r="M19" i="5"/>
  <c r="K19" i="5"/>
  <c r="G19" i="5"/>
  <c r="H19" i="5" s="1"/>
  <c r="E19" i="5"/>
  <c r="C19" i="5"/>
  <c r="V18" i="5"/>
  <c r="X18" i="5" s="1"/>
  <c r="U18" i="5"/>
  <c r="S18" i="5"/>
  <c r="Q18" i="5"/>
  <c r="N18" i="5"/>
  <c r="M18" i="5"/>
  <c r="K18" i="5"/>
  <c r="G18" i="5"/>
  <c r="H18" i="5" s="1"/>
  <c r="E18" i="5"/>
  <c r="C18" i="5"/>
  <c r="V17" i="5"/>
  <c r="X17" i="5" s="1"/>
  <c r="U17" i="5"/>
  <c r="S17" i="5"/>
  <c r="Q17" i="5"/>
  <c r="N17" i="5"/>
  <c r="M17" i="5"/>
  <c r="K17" i="5"/>
  <c r="G17" i="5"/>
  <c r="H17" i="5" s="1"/>
  <c r="E17" i="5"/>
  <c r="C17" i="5"/>
  <c r="V14" i="5"/>
  <c r="U14" i="5"/>
  <c r="S14" i="5"/>
  <c r="Q14" i="5"/>
  <c r="N14" i="5"/>
  <c r="M14" i="5"/>
  <c r="K14" i="5"/>
  <c r="G14" i="5"/>
  <c r="H14" i="5" s="1"/>
  <c r="E14" i="5"/>
  <c r="C14" i="5"/>
  <c r="V13" i="5"/>
  <c r="X13" i="5" s="1"/>
  <c r="U13" i="5"/>
  <c r="S13" i="5"/>
  <c r="Q13" i="5"/>
  <c r="N13" i="5"/>
  <c r="M13" i="5"/>
  <c r="K13" i="5"/>
  <c r="G13" i="5"/>
  <c r="H13" i="5" s="1"/>
  <c r="E13" i="5"/>
  <c r="C13" i="5"/>
  <c r="V12" i="5"/>
  <c r="X12" i="5" s="1"/>
  <c r="U12" i="5"/>
  <c r="S12" i="5"/>
  <c r="Q12" i="5"/>
  <c r="N12" i="5"/>
  <c r="M12" i="5"/>
  <c r="K12" i="5"/>
  <c r="G12" i="5"/>
  <c r="H12" i="5" s="1"/>
  <c r="E12" i="5"/>
  <c r="C12" i="5"/>
  <c r="V9" i="5"/>
  <c r="U9" i="5"/>
  <c r="S9" i="5"/>
  <c r="Q9" i="5"/>
  <c r="N9" i="5"/>
  <c r="M9" i="5"/>
  <c r="K9" i="5"/>
  <c r="G9" i="5"/>
  <c r="H9" i="5" s="1"/>
  <c r="E9" i="5"/>
  <c r="C9" i="5"/>
  <c r="V8" i="5"/>
  <c r="X8" i="5" s="1"/>
  <c r="U8" i="5"/>
  <c r="S8" i="5"/>
  <c r="Q8" i="5"/>
  <c r="N8" i="5"/>
  <c r="M8" i="5"/>
  <c r="K8" i="5"/>
  <c r="G8" i="5"/>
  <c r="H8" i="5" s="1"/>
  <c r="E8" i="5"/>
  <c r="C8" i="5"/>
  <c r="V7" i="5"/>
  <c r="X7" i="5" s="1"/>
  <c r="U7" i="5"/>
  <c r="S7" i="5"/>
  <c r="Q7" i="5"/>
  <c r="N7" i="5"/>
  <c r="M7" i="5"/>
  <c r="K7" i="5"/>
  <c r="G7" i="5"/>
  <c r="H7" i="5" s="1"/>
  <c r="E7" i="5"/>
  <c r="C7" i="5"/>
  <c r="V4" i="5"/>
  <c r="U4" i="5"/>
  <c r="S4" i="5"/>
  <c r="Q4" i="5"/>
  <c r="N4" i="5"/>
  <c r="G4" i="5"/>
  <c r="H4" i="5" s="1"/>
  <c r="E4" i="5"/>
  <c r="C4" i="5"/>
  <c r="V3" i="5"/>
  <c r="U3" i="5"/>
  <c r="S3" i="5"/>
  <c r="Q3" i="5"/>
  <c r="N3" i="5"/>
  <c r="G3" i="5"/>
  <c r="H3" i="5" s="1"/>
  <c r="E3" i="5"/>
  <c r="C3" i="5"/>
  <c r="V2" i="5"/>
  <c r="U2" i="5"/>
  <c r="S2" i="5"/>
  <c r="Q2" i="5"/>
  <c r="G2" i="5"/>
  <c r="H2" i="5" s="1"/>
  <c r="E2" i="5"/>
  <c r="C2" i="5"/>
  <c r="L25" i="4"/>
  <c r="L24" i="4"/>
  <c r="J25" i="4"/>
  <c r="J24" i="4"/>
  <c r="G25" i="4"/>
  <c r="G24" i="4"/>
  <c r="E25" i="4"/>
  <c r="C25" i="4"/>
  <c r="E24" i="4"/>
  <c r="C24" i="4"/>
  <c r="M25" i="4"/>
  <c r="L21" i="4"/>
  <c r="L20" i="4"/>
  <c r="M20" i="4" s="1"/>
  <c r="J21" i="4"/>
  <c r="J20" i="4"/>
  <c r="G21" i="4"/>
  <c r="E21" i="4"/>
  <c r="C21" i="4"/>
  <c r="G20" i="4"/>
  <c r="E20" i="4"/>
  <c r="C20" i="4"/>
  <c r="M21" i="4"/>
  <c r="H20" i="4"/>
  <c r="L17" i="4"/>
  <c r="L16" i="4"/>
  <c r="J17" i="4"/>
  <c r="J16" i="4"/>
  <c r="G17" i="4"/>
  <c r="G16" i="4"/>
  <c r="E17" i="4"/>
  <c r="C17" i="4"/>
  <c r="E16" i="4"/>
  <c r="C16" i="4"/>
  <c r="J13" i="4"/>
  <c r="M13" i="4" s="1"/>
  <c r="J12" i="4"/>
  <c r="E13" i="4"/>
  <c r="H13" i="4" s="1"/>
  <c r="G13" i="4"/>
  <c r="G12" i="4"/>
  <c r="H12" i="4" s="1"/>
  <c r="L13" i="4"/>
  <c r="C13" i="4"/>
  <c r="M12" i="4"/>
  <c r="L12" i="4"/>
  <c r="E12" i="4"/>
  <c r="C12" i="4"/>
  <c r="J9" i="4"/>
  <c r="L9" i="4"/>
  <c r="L8" i="4"/>
  <c r="J8" i="4"/>
  <c r="G9" i="4"/>
  <c r="G8" i="4"/>
  <c r="E9" i="4"/>
  <c r="E8" i="4"/>
  <c r="C9" i="4"/>
  <c r="C8" i="4"/>
  <c r="M8" i="4"/>
  <c r="L4" i="4"/>
  <c r="M4" i="4" s="1"/>
  <c r="J4" i="4"/>
  <c r="G4" i="4"/>
  <c r="H4" i="4" s="1"/>
  <c r="E4" i="4"/>
  <c r="C4" i="4"/>
  <c r="L3" i="4"/>
  <c r="J3" i="4"/>
  <c r="G3" i="4"/>
  <c r="H3" i="4" s="1"/>
  <c r="G2" i="4"/>
  <c r="H2" i="4" s="1"/>
  <c r="E3" i="4"/>
  <c r="C3" i="4"/>
  <c r="L2" i="4"/>
  <c r="J2" i="4"/>
  <c r="M2" i="4" s="1"/>
  <c r="E2" i="4"/>
  <c r="C2" i="4"/>
  <c r="U47" i="3"/>
  <c r="V47" i="3" s="1"/>
  <c r="S47" i="3"/>
  <c r="Q47" i="3"/>
  <c r="M47" i="3"/>
  <c r="N47" i="3" s="1"/>
  <c r="K47" i="3"/>
  <c r="G47" i="3"/>
  <c r="H47" i="3" s="1"/>
  <c r="E47" i="3"/>
  <c r="C47" i="3"/>
  <c r="U46" i="3"/>
  <c r="V46" i="3" s="1"/>
  <c r="S46" i="3"/>
  <c r="Q46" i="3"/>
  <c r="M46" i="3"/>
  <c r="N46" i="3" s="1"/>
  <c r="K46" i="3"/>
  <c r="G46" i="3"/>
  <c r="H46" i="3" s="1"/>
  <c r="E46" i="3"/>
  <c r="C46" i="3"/>
  <c r="U43" i="3"/>
  <c r="U42" i="3"/>
  <c r="S43" i="3"/>
  <c r="Q43" i="3"/>
  <c r="S42" i="3"/>
  <c r="Q42" i="3"/>
  <c r="M43" i="3"/>
  <c r="M42" i="3"/>
  <c r="K43" i="3"/>
  <c r="K42" i="3"/>
  <c r="G43" i="3"/>
  <c r="G42" i="3"/>
  <c r="E43" i="3"/>
  <c r="C43" i="3"/>
  <c r="E42" i="3"/>
  <c r="C42" i="3"/>
  <c r="N42" i="3"/>
  <c r="U39" i="3"/>
  <c r="V39" i="3"/>
  <c r="U38" i="3"/>
  <c r="S39" i="3"/>
  <c r="S38" i="3"/>
  <c r="Q39" i="3"/>
  <c r="Q38" i="3"/>
  <c r="M39" i="3"/>
  <c r="M38" i="3"/>
  <c r="K39" i="3"/>
  <c r="K38" i="3"/>
  <c r="G39" i="3"/>
  <c r="H39" i="3" s="1"/>
  <c r="G38" i="3"/>
  <c r="E39" i="3"/>
  <c r="E38" i="3"/>
  <c r="C39" i="3"/>
  <c r="C38" i="3"/>
  <c r="M19" i="2"/>
  <c r="M18" i="2"/>
  <c r="M2" i="2"/>
  <c r="M3" i="2"/>
  <c r="M4" i="2"/>
  <c r="M5" i="2"/>
  <c r="M6" i="2"/>
  <c r="M7" i="2"/>
  <c r="M8" i="2"/>
  <c r="M9" i="2"/>
  <c r="M10" i="2"/>
  <c r="M11" i="2"/>
  <c r="M12" i="2"/>
  <c r="M1" i="2"/>
  <c r="H12" i="2"/>
  <c r="M113" i="1"/>
  <c r="N113" i="1" s="1"/>
  <c r="P113" i="1" s="1"/>
  <c r="K113" i="1"/>
  <c r="G113" i="1"/>
  <c r="H113" i="1" s="1"/>
  <c r="E113" i="1"/>
  <c r="C113" i="1"/>
  <c r="N112" i="1"/>
  <c r="P112" i="1" s="1"/>
  <c r="M112" i="1"/>
  <c r="K112" i="1"/>
  <c r="G112" i="1"/>
  <c r="H112" i="1" s="1"/>
  <c r="E112" i="1"/>
  <c r="C112" i="1"/>
  <c r="M111" i="1"/>
  <c r="M109" i="1"/>
  <c r="N109" i="1" s="1"/>
  <c r="P109" i="1" s="1"/>
  <c r="K109" i="1"/>
  <c r="G109" i="1"/>
  <c r="H109" i="1" s="1"/>
  <c r="E109" i="1"/>
  <c r="C109" i="1"/>
  <c r="M108" i="1"/>
  <c r="K108" i="1"/>
  <c r="G108" i="1"/>
  <c r="E108" i="1"/>
  <c r="C108" i="1"/>
  <c r="H11" i="2"/>
  <c r="M105" i="1"/>
  <c r="N105" i="1" s="1"/>
  <c r="P105" i="1" s="1"/>
  <c r="M102" i="1"/>
  <c r="M99" i="1"/>
  <c r="M96" i="1"/>
  <c r="K96" i="1"/>
  <c r="M95" i="1"/>
  <c r="K95" i="1"/>
  <c r="K105" i="1"/>
  <c r="G105" i="1"/>
  <c r="H105" i="1" s="1"/>
  <c r="E105" i="1"/>
  <c r="C105" i="1"/>
  <c r="K104" i="1"/>
  <c r="N102" i="1"/>
  <c r="P102" i="1" s="1"/>
  <c r="K102" i="1"/>
  <c r="G102" i="1"/>
  <c r="E102" i="1"/>
  <c r="H102" i="1" s="1"/>
  <c r="C102" i="1"/>
  <c r="K101" i="1"/>
  <c r="N99" i="1"/>
  <c r="P99" i="1" s="1"/>
  <c r="K99" i="1"/>
  <c r="G99" i="1"/>
  <c r="E99" i="1"/>
  <c r="C99" i="1"/>
  <c r="K98" i="1"/>
  <c r="G96" i="1"/>
  <c r="G95" i="1"/>
  <c r="E96" i="1"/>
  <c r="E95" i="1"/>
  <c r="C96" i="1"/>
  <c r="C95" i="1"/>
  <c r="H10" i="2"/>
  <c r="N92" i="1"/>
  <c r="P92" i="1" s="1"/>
  <c r="M92" i="1"/>
  <c r="K92" i="1"/>
  <c r="G92" i="1"/>
  <c r="E92" i="1"/>
  <c r="C92" i="1"/>
  <c r="M91" i="1"/>
  <c r="M89" i="1"/>
  <c r="N89" i="1" s="1"/>
  <c r="P89" i="1" s="1"/>
  <c r="K89" i="1"/>
  <c r="G89" i="1"/>
  <c r="H89" i="1" s="1"/>
  <c r="E89" i="1"/>
  <c r="C89" i="1"/>
  <c r="M88" i="1"/>
  <c r="K88" i="1"/>
  <c r="G88" i="1"/>
  <c r="E88" i="1"/>
  <c r="C88" i="1"/>
  <c r="H9" i="2"/>
  <c r="M85" i="1"/>
  <c r="K85" i="1"/>
  <c r="G85" i="1"/>
  <c r="H85" i="1" s="1"/>
  <c r="E85" i="1"/>
  <c r="C85" i="1"/>
  <c r="N84" i="1"/>
  <c r="P84" i="1" s="1"/>
  <c r="M84" i="1"/>
  <c r="K84" i="1"/>
  <c r="G84" i="1"/>
  <c r="E84" i="1"/>
  <c r="C84" i="1"/>
  <c r="M83" i="1"/>
  <c r="N81" i="1"/>
  <c r="P81" i="1" s="1"/>
  <c r="M81" i="1"/>
  <c r="K81" i="1"/>
  <c r="G81" i="1"/>
  <c r="E81" i="1"/>
  <c r="C81" i="1"/>
  <c r="M80" i="1"/>
  <c r="M78" i="1"/>
  <c r="N78" i="1" s="1"/>
  <c r="P78" i="1" s="1"/>
  <c r="K78" i="1"/>
  <c r="G78" i="1"/>
  <c r="H78" i="1" s="1"/>
  <c r="E78" i="1"/>
  <c r="C78" i="1"/>
  <c r="M77" i="1"/>
  <c r="K77" i="1"/>
  <c r="G77" i="1"/>
  <c r="E77" i="1"/>
  <c r="C77" i="1"/>
  <c r="U35" i="3"/>
  <c r="U34" i="3"/>
  <c r="V34" i="3" s="1"/>
  <c r="S35" i="3"/>
  <c r="Q35" i="3"/>
  <c r="Q34" i="3"/>
  <c r="M35" i="3"/>
  <c r="M34" i="3"/>
  <c r="K35" i="3"/>
  <c r="K34" i="3"/>
  <c r="G35" i="3"/>
  <c r="G34" i="3"/>
  <c r="E35" i="3"/>
  <c r="C35" i="3"/>
  <c r="E34" i="3"/>
  <c r="C34" i="3"/>
  <c r="S34" i="3"/>
  <c r="U31" i="3"/>
  <c r="U30" i="3"/>
  <c r="S31" i="3"/>
  <c r="S30" i="3"/>
  <c r="Q31" i="3"/>
  <c r="Q30" i="3"/>
  <c r="M31" i="3"/>
  <c r="M30" i="3"/>
  <c r="K31" i="3"/>
  <c r="K30" i="3"/>
  <c r="G31" i="3"/>
  <c r="G30" i="3"/>
  <c r="E31" i="3"/>
  <c r="E30" i="3"/>
  <c r="C31" i="3"/>
  <c r="C30" i="3"/>
  <c r="H30" i="3"/>
  <c r="H8" i="2"/>
  <c r="M74" i="1"/>
  <c r="N74" i="1" s="1"/>
  <c r="P74" i="1" s="1"/>
  <c r="K74" i="1"/>
  <c r="G74" i="1"/>
  <c r="H74" i="1" s="1"/>
  <c r="E74" i="1"/>
  <c r="C74" i="1"/>
  <c r="M73" i="1"/>
  <c r="K73" i="1"/>
  <c r="G73" i="1"/>
  <c r="E73" i="1"/>
  <c r="C73" i="1"/>
  <c r="H73" i="1"/>
  <c r="H7" i="2"/>
  <c r="M70" i="1"/>
  <c r="N70" i="1" s="1"/>
  <c r="P70" i="1" s="1"/>
  <c r="K70" i="1"/>
  <c r="G70" i="1"/>
  <c r="H70" i="1" s="1"/>
  <c r="E70" i="1"/>
  <c r="C70" i="1"/>
  <c r="N69" i="1"/>
  <c r="P69" i="1" s="1"/>
  <c r="M69" i="1"/>
  <c r="K69" i="1"/>
  <c r="G69" i="1"/>
  <c r="H69" i="1" s="1"/>
  <c r="E69" i="1"/>
  <c r="C69" i="1"/>
  <c r="M68" i="1"/>
  <c r="M66" i="1"/>
  <c r="N66" i="1" s="1"/>
  <c r="P66" i="1" s="1"/>
  <c r="K66" i="1"/>
  <c r="G66" i="1"/>
  <c r="H66" i="1" s="1"/>
  <c r="E66" i="1"/>
  <c r="C66" i="1"/>
  <c r="M65" i="1"/>
  <c r="K65" i="1"/>
  <c r="G65" i="1"/>
  <c r="E65" i="1"/>
  <c r="C65" i="1"/>
  <c r="H65" i="1"/>
  <c r="H6" i="2"/>
  <c r="N62" i="1"/>
  <c r="P62" i="1" s="1"/>
  <c r="M62" i="1"/>
  <c r="K62" i="1"/>
  <c r="G62" i="1"/>
  <c r="H62" i="1" s="1"/>
  <c r="E62" i="1"/>
  <c r="C62" i="1"/>
  <c r="M61" i="1"/>
  <c r="M59" i="1"/>
  <c r="K59" i="1"/>
  <c r="G59" i="1"/>
  <c r="E59" i="1"/>
  <c r="C59" i="1"/>
  <c r="M58" i="1"/>
  <c r="K58" i="1"/>
  <c r="G58" i="1"/>
  <c r="E58" i="1"/>
  <c r="C58" i="1"/>
  <c r="N59" i="1"/>
  <c r="N58" i="1"/>
  <c r="I19" i="2"/>
  <c r="I18" i="2"/>
  <c r="H5" i="2"/>
  <c r="M55" i="1"/>
  <c r="N55" i="1" s="1"/>
  <c r="P55" i="1" s="1"/>
  <c r="K55" i="1"/>
  <c r="G55" i="1"/>
  <c r="H55" i="1" s="1"/>
  <c r="E55" i="1"/>
  <c r="C55" i="1"/>
  <c r="M54" i="1"/>
  <c r="K54" i="1"/>
  <c r="G54" i="1"/>
  <c r="E54" i="1"/>
  <c r="C54" i="1"/>
  <c r="U27" i="3"/>
  <c r="U26" i="3"/>
  <c r="S27" i="3"/>
  <c r="V27" i="3" s="1"/>
  <c r="S26" i="3"/>
  <c r="Q27" i="3"/>
  <c r="Q26" i="3"/>
  <c r="M27" i="3"/>
  <c r="N27" i="3" s="1"/>
  <c r="M26" i="3"/>
  <c r="N26" i="3" s="1"/>
  <c r="K27" i="3"/>
  <c r="K26" i="3"/>
  <c r="G27" i="3"/>
  <c r="G26" i="3"/>
  <c r="E27" i="3"/>
  <c r="E26" i="3"/>
  <c r="C27" i="3"/>
  <c r="C26" i="3"/>
  <c r="X2" i="3"/>
  <c r="X3" i="3"/>
  <c r="X4" i="3"/>
  <c r="X7" i="3"/>
  <c r="X8" i="3"/>
  <c r="X9" i="3"/>
  <c r="X12" i="3"/>
  <c r="X13" i="3"/>
  <c r="X14" i="3"/>
  <c r="X17" i="3"/>
  <c r="X18" i="3"/>
  <c r="X19" i="3"/>
  <c r="X22" i="3"/>
  <c r="X23" i="3"/>
  <c r="V26" i="3"/>
  <c r="U23" i="3"/>
  <c r="U22" i="3"/>
  <c r="S23" i="3"/>
  <c r="S22" i="3"/>
  <c r="Q23" i="3"/>
  <c r="Q22" i="3"/>
  <c r="M23" i="3"/>
  <c r="M22" i="3"/>
  <c r="K23" i="3"/>
  <c r="K22" i="3"/>
  <c r="G23" i="3"/>
  <c r="H23" i="3" s="1"/>
  <c r="G22" i="3"/>
  <c r="E23" i="3"/>
  <c r="E22" i="3"/>
  <c r="H22" i="3" s="1"/>
  <c r="C23" i="3"/>
  <c r="C22" i="3"/>
  <c r="U19" i="3"/>
  <c r="U18" i="3"/>
  <c r="U17" i="3"/>
  <c r="U14" i="3"/>
  <c r="U13" i="3"/>
  <c r="S19" i="3"/>
  <c r="S18" i="3"/>
  <c r="Q19" i="3"/>
  <c r="Q18" i="3"/>
  <c r="S17" i="3"/>
  <c r="Q17" i="3"/>
  <c r="M18" i="3"/>
  <c r="M19" i="3"/>
  <c r="M17" i="3"/>
  <c r="K19" i="3"/>
  <c r="K18" i="3"/>
  <c r="K17" i="3"/>
  <c r="G19" i="3"/>
  <c r="G18" i="3"/>
  <c r="H18" i="3" s="1"/>
  <c r="G17" i="3"/>
  <c r="E19" i="3"/>
  <c r="E18" i="3"/>
  <c r="C19" i="3"/>
  <c r="C18" i="3"/>
  <c r="E17" i="3"/>
  <c r="C17" i="3"/>
  <c r="H19" i="3"/>
  <c r="H17" i="3"/>
  <c r="S14" i="3"/>
  <c r="S13" i="3"/>
  <c r="Q14" i="3"/>
  <c r="Q13" i="3"/>
  <c r="S12" i="3"/>
  <c r="Q12" i="3"/>
  <c r="M14" i="3"/>
  <c r="M13" i="3"/>
  <c r="M12" i="3"/>
  <c r="K14" i="3"/>
  <c r="K13" i="3"/>
  <c r="K12" i="3"/>
  <c r="G14" i="3"/>
  <c r="G13" i="3"/>
  <c r="G12" i="3"/>
  <c r="E14" i="3"/>
  <c r="E13" i="3"/>
  <c r="E12" i="3"/>
  <c r="H12" i="3" s="1"/>
  <c r="C14" i="3"/>
  <c r="C13" i="3"/>
  <c r="C12" i="3"/>
  <c r="H14" i="3"/>
  <c r="U12" i="3"/>
  <c r="U9" i="3"/>
  <c r="V9" i="3"/>
  <c r="U8" i="3"/>
  <c r="U7" i="3"/>
  <c r="S9" i="3"/>
  <c r="S8" i="3"/>
  <c r="S7" i="3"/>
  <c r="Q9" i="3"/>
  <c r="Q8" i="3"/>
  <c r="Q7" i="3"/>
  <c r="Q4" i="3"/>
  <c r="Q3" i="3"/>
  <c r="Q2" i="3"/>
  <c r="M8" i="3"/>
  <c r="M9" i="3"/>
  <c r="M7" i="3"/>
  <c r="K9" i="3"/>
  <c r="K8" i="3"/>
  <c r="K7" i="3"/>
  <c r="G9" i="3"/>
  <c r="G8" i="3"/>
  <c r="G7" i="3"/>
  <c r="E9" i="3"/>
  <c r="E8" i="3"/>
  <c r="C9" i="3"/>
  <c r="C8" i="3"/>
  <c r="E7" i="3"/>
  <c r="C7" i="3"/>
  <c r="N9" i="3"/>
  <c r="N7" i="3"/>
  <c r="U4" i="3"/>
  <c r="V4" i="3" s="1"/>
  <c r="S4" i="3"/>
  <c r="M4" i="3"/>
  <c r="N4" i="3" s="1"/>
  <c r="K4" i="3"/>
  <c r="G4" i="3"/>
  <c r="H4" i="3" s="1"/>
  <c r="E4" i="3"/>
  <c r="C4" i="3"/>
  <c r="H4" i="2"/>
  <c r="H3" i="2"/>
  <c r="H2" i="2"/>
  <c r="H1" i="2"/>
  <c r="H19" i="2" s="1"/>
  <c r="U3" i="3"/>
  <c r="V3" i="3" s="1"/>
  <c r="S3" i="3"/>
  <c r="M3" i="3"/>
  <c r="K3" i="3"/>
  <c r="N3" i="3" s="1"/>
  <c r="G3" i="3"/>
  <c r="H3" i="3" s="1"/>
  <c r="E3" i="3"/>
  <c r="C3" i="3"/>
  <c r="U2" i="3"/>
  <c r="S2" i="3"/>
  <c r="M2" i="3"/>
  <c r="K2" i="3"/>
  <c r="G2" i="3"/>
  <c r="E2" i="3"/>
  <c r="C2" i="3"/>
  <c r="P51" i="1"/>
  <c r="N51" i="1"/>
  <c r="M51" i="1"/>
  <c r="K51" i="1"/>
  <c r="G51" i="1"/>
  <c r="H51" i="1" s="1"/>
  <c r="E51" i="1"/>
  <c r="C51" i="1"/>
  <c r="M50" i="1"/>
  <c r="N48" i="1"/>
  <c r="P48" i="1" s="1"/>
  <c r="M48" i="1"/>
  <c r="K48" i="1"/>
  <c r="G48" i="1"/>
  <c r="H48" i="1" s="1"/>
  <c r="E48" i="1"/>
  <c r="C48" i="1"/>
  <c r="K47" i="1"/>
  <c r="E45" i="1"/>
  <c r="C45" i="1"/>
  <c r="M45" i="1"/>
  <c r="K45" i="1"/>
  <c r="G45" i="1"/>
  <c r="H45" i="1"/>
  <c r="M44" i="1"/>
  <c r="K44" i="1"/>
  <c r="G44" i="1"/>
  <c r="E44" i="1"/>
  <c r="C44" i="1"/>
  <c r="N41" i="1"/>
  <c r="P41" i="1" s="1"/>
  <c r="M41" i="1"/>
  <c r="K41" i="1"/>
  <c r="G41" i="1"/>
  <c r="H41" i="1" s="1"/>
  <c r="E41" i="1"/>
  <c r="C41" i="1"/>
  <c r="M40" i="1"/>
  <c r="N38" i="1"/>
  <c r="P38" i="1" s="1"/>
  <c r="M38" i="1"/>
  <c r="K38" i="1"/>
  <c r="G38" i="1"/>
  <c r="H38" i="1" s="1"/>
  <c r="E38" i="1"/>
  <c r="C38" i="1"/>
  <c r="M37" i="1"/>
  <c r="N35" i="1"/>
  <c r="P35" i="1" s="1"/>
  <c r="M35" i="1"/>
  <c r="K35" i="1"/>
  <c r="G35" i="1"/>
  <c r="H35" i="1" s="1"/>
  <c r="E35" i="1"/>
  <c r="C35" i="1"/>
  <c r="M34" i="1"/>
  <c r="N32" i="1"/>
  <c r="P32" i="1" s="1"/>
  <c r="M32" i="1"/>
  <c r="K32" i="1"/>
  <c r="G32" i="1"/>
  <c r="H32" i="1" s="1"/>
  <c r="E32" i="1"/>
  <c r="C32" i="1"/>
  <c r="M31" i="1"/>
  <c r="M29" i="1"/>
  <c r="N29" i="1" s="1"/>
  <c r="P29" i="1" s="1"/>
  <c r="K29" i="1"/>
  <c r="M28" i="1"/>
  <c r="K28" i="1"/>
  <c r="G29" i="1"/>
  <c r="H29" i="1" s="1"/>
  <c r="G28" i="1"/>
  <c r="H28" i="1" s="1"/>
  <c r="E29" i="1"/>
  <c r="C29" i="1"/>
  <c r="E28" i="1"/>
  <c r="C28" i="1"/>
  <c r="M25" i="1"/>
  <c r="K25" i="1"/>
  <c r="G25" i="1"/>
  <c r="H25" i="1" s="1"/>
  <c r="E25" i="1"/>
  <c r="C25" i="1"/>
  <c r="K24" i="1"/>
  <c r="M22" i="1"/>
  <c r="N22" i="1" s="1"/>
  <c r="P22" i="1" s="1"/>
  <c r="K22" i="1"/>
  <c r="G22" i="1"/>
  <c r="H22" i="1" s="1"/>
  <c r="E22" i="1"/>
  <c r="C22" i="1"/>
  <c r="K21" i="1"/>
  <c r="M19" i="1"/>
  <c r="N19" i="1" s="1"/>
  <c r="P19" i="1" s="1"/>
  <c r="K19" i="1"/>
  <c r="G19" i="1"/>
  <c r="H19" i="1" s="1"/>
  <c r="E19" i="1"/>
  <c r="C19" i="1"/>
  <c r="M18" i="1"/>
  <c r="K18" i="1"/>
  <c r="G18" i="1"/>
  <c r="E18" i="1"/>
  <c r="C18" i="1"/>
  <c r="K15" i="1"/>
  <c r="E15" i="1"/>
  <c r="M15" i="1"/>
  <c r="G15" i="1"/>
  <c r="C15" i="1"/>
  <c r="K14" i="1"/>
  <c r="K12" i="1"/>
  <c r="M12" i="1"/>
  <c r="G12" i="1"/>
  <c r="H12" i="1" s="1"/>
  <c r="E12" i="1"/>
  <c r="C12" i="1"/>
  <c r="K11" i="1"/>
  <c r="K9" i="1"/>
  <c r="M9" i="1"/>
  <c r="G9" i="1"/>
  <c r="E9" i="1"/>
  <c r="C9" i="1"/>
  <c r="K8" i="1"/>
  <c r="K6" i="1"/>
  <c r="M6" i="1"/>
  <c r="N6" i="1"/>
  <c r="G6" i="1"/>
  <c r="E6" i="1"/>
  <c r="C6" i="1"/>
  <c r="K5" i="1"/>
  <c r="P3" i="1"/>
  <c r="M3" i="1"/>
  <c r="N3" i="1" s="1"/>
  <c r="K3" i="1"/>
  <c r="G3" i="1"/>
  <c r="H3" i="1" s="1"/>
  <c r="E3" i="1"/>
  <c r="C3" i="1"/>
  <c r="P2" i="1"/>
  <c r="N2" i="1"/>
  <c r="M2" i="1"/>
  <c r="K2" i="1"/>
  <c r="H2" i="1"/>
  <c r="G2" i="1"/>
  <c r="E2" i="1"/>
  <c r="C2" i="1"/>
  <c r="V86" i="7" l="1"/>
  <c r="N86" i="7"/>
  <c r="X86" i="7" s="1"/>
  <c r="X87" i="7"/>
  <c r="Y87" i="7"/>
  <c r="V82" i="7"/>
  <c r="X82" i="7" s="1"/>
  <c r="N82" i="7"/>
  <c r="Y83" i="7"/>
  <c r="X83" i="7"/>
  <c r="V78" i="7"/>
  <c r="N78" i="7"/>
  <c r="H79" i="7"/>
  <c r="Y79" i="7" s="1"/>
  <c r="X79" i="7"/>
  <c r="V75" i="7"/>
  <c r="V74" i="7"/>
  <c r="H74" i="7"/>
  <c r="X74" i="7" s="1"/>
  <c r="H75" i="7"/>
  <c r="Y75" i="7"/>
  <c r="X71" i="7"/>
  <c r="H70" i="7"/>
  <c r="Y71" i="7"/>
  <c r="X70" i="7"/>
  <c r="V66" i="7"/>
  <c r="N66" i="7"/>
  <c r="X66" i="7"/>
  <c r="X67" i="7"/>
  <c r="Y67" i="7"/>
  <c r="V63" i="7"/>
  <c r="Y63" i="7" s="1"/>
  <c r="N63" i="7"/>
  <c r="X63" i="7" s="1"/>
  <c r="H62" i="7"/>
  <c r="X62" i="7" s="1"/>
  <c r="V59" i="7"/>
  <c r="N59" i="7"/>
  <c r="H59" i="7"/>
  <c r="H58" i="7"/>
  <c r="X58" i="7"/>
  <c r="X59" i="7"/>
  <c r="V55" i="7"/>
  <c r="V54" i="7"/>
  <c r="N55" i="7"/>
  <c r="N54" i="7"/>
  <c r="H55" i="7"/>
  <c r="Y55" i="7" s="1"/>
  <c r="N50" i="7"/>
  <c r="X50" i="7" s="1"/>
  <c r="Y51" i="7"/>
  <c r="X51" i="7"/>
  <c r="H46" i="7"/>
  <c r="X47" i="7"/>
  <c r="X46" i="7"/>
  <c r="N38" i="7"/>
  <c r="X38" i="7" s="1"/>
  <c r="H35" i="7"/>
  <c r="N31" i="7"/>
  <c r="N22" i="7"/>
  <c r="N14" i="7"/>
  <c r="N12" i="7"/>
  <c r="X12" i="7" s="1"/>
  <c r="N9" i="7"/>
  <c r="N8" i="7"/>
  <c r="X8" i="7" s="1"/>
  <c r="N7" i="7"/>
  <c r="X7" i="7" s="1"/>
  <c r="N2" i="7"/>
  <c r="X2" i="7" s="1"/>
  <c r="H4" i="7"/>
  <c r="X4" i="7" s="1"/>
  <c r="X3" i="7"/>
  <c r="X13" i="7"/>
  <c r="X17" i="7"/>
  <c r="X18" i="7"/>
  <c r="X22" i="7"/>
  <c r="X26" i="7"/>
  <c r="X30" i="7"/>
  <c r="X34" i="7"/>
  <c r="X42" i="7"/>
  <c r="P12" i="6"/>
  <c r="H13" i="6"/>
  <c r="H3" i="6"/>
  <c r="R3" i="6" s="1"/>
  <c r="R4" i="6"/>
  <c r="H7" i="6"/>
  <c r="R7" i="6"/>
  <c r="H9" i="6"/>
  <c r="P2" i="6"/>
  <c r="R2" i="6" s="1"/>
  <c r="H47" i="5"/>
  <c r="X47" i="5" s="1"/>
  <c r="H46" i="5"/>
  <c r="X46" i="5" s="1"/>
  <c r="Y47" i="5"/>
  <c r="X23" i="5"/>
  <c r="X22" i="5"/>
  <c r="N2" i="5"/>
  <c r="X2" i="5" s="1"/>
  <c r="X3" i="5"/>
  <c r="M24" i="4"/>
  <c r="H25" i="4"/>
  <c r="N25" i="4" s="1"/>
  <c r="H24" i="4"/>
  <c r="N24" i="4" s="1"/>
  <c r="H21" i="4"/>
  <c r="N21" i="4" s="1"/>
  <c r="N20" i="4"/>
  <c r="M17" i="4"/>
  <c r="M16" i="4"/>
  <c r="H17" i="4"/>
  <c r="H16" i="4"/>
  <c r="N17" i="4"/>
  <c r="N13" i="4"/>
  <c r="N12" i="4"/>
  <c r="M9" i="4"/>
  <c r="N9" i="4" s="1"/>
  <c r="N4" i="4"/>
  <c r="M3" i="4"/>
  <c r="N3" i="4" s="1"/>
  <c r="H9" i="4"/>
  <c r="H8" i="4"/>
  <c r="N8" i="4"/>
  <c r="N2" i="4"/>
  <c r="X46" i="3"/>
  <c r="X47" i="3"/>
  <c r="V43" i="3"/>
  <c r="V42" i="3"/>
  <c r="X42" i="3" s="1"/>
  <c r="N43" i="3"/>
  <c r="H43" i="3"/>
  <c r="H42" i="3"/>
  <c r="V38" i="3"/>
  <c r="N39" i="3"/>
  <c r="X39" i="3" s="1"/>
  <c r="N38" i="3"/>
  <c r="H38" i="3"/>
  <c r="N108" i="1"/>
  <c r="H108" i="1"/>
  <c r="H99" i="1"/>
  <c r="N96" i="1"/>
  <c r="H96" i="1"/>
  <c r="P96" i="1" s="1"/>
  <c r="N95" i="1"/>
  <c r="H95" i="1"/>
  <c r="H92" i="1"/>
  <c r="N88" i="1"/>
  <c r="H88" i="1"/>
  <c r="P88" i="1"/>
  <c r="H18" i="2"/>
  <c r="N85" i="1"/>
  <c r="P85" i="1"/>
  <c r="H84" i="1"/>
  <c r="H81" i="1"/>
  <c r="N77" i="1"/>
  <c r="H77" i="1"/>
  <c r="P77" i="1"/>
  <c r="V35" i="3"/>
  <c r="N35" i="3"/>
  <c r="N34" i="3"/>
  <c r="H34" i="3"/>
  <c r="X34" i="3" s="1"/>
  <c r="H35" i="3"/>
  <c r="V31" i="3"/>
  <c r="V30" i="3"/>
  <c r="N31" i="3"/>
  <c r="N30" i="3"/>
  <c r="H31" i="3"/>
  <c r="X31" i="3" s="1"/>
  <c r="N73" i="1"/>
  <c r="P73" i="1" s="1"/>
  <c r="N65" i="1"/>
  <c r="P65" i="1"/>
  <c r="H59" i="1"/>
  <c r="P59" i="1" s="1"/>
  <c r="H58" i="1"/>
  <c r="P58" i="1"/>
  <c r="N54" i="1"/>
  <c r="H54" i="1"/>
  <c r="H27" i="3"/>
  <c r="X27" i="3"/>
  <c r="H26" i="3"/>
  <c r="X26" i="3" s="1"/>
  <c r="V2" i="3"/>
  <c r="N22" i="3"/>
  <c r="N23" i="3"/>
  <c r="V22" i="3"/>
  <c r="V23" i="3"/>
  <c r="V19" i="3"/>
  <c r="V18" i="3"/>
  <c r="V17" i="3"/>
  <c r="N19" i="3"/>
  <c r="N18" i="3"/>
  <c r="N17" i="3"/>
  <c r="V14" i="3"/>
  <c r="V13" i="3"/>
  <c r="V12" i="3"/>
  <c r="N14" i="3"/>
  <c r="N13" i="3"/>
  <c r="N12" i="3"/>
  <c r="H13" i="3"/>
  <c r="V8" i="3"/>
  <c r="V7" i="3"/>
  <c r="N8" i="3"/>
  <c r="H8" i="3"/>
  <c r="H9" i="3"/>
  <c r="H7" i="3"/>
  <c r="N2" i="3"/>
  <c r="H2" i="3"/>
  <c r="N45" i="1"/>
  <c r="P45" i="1"/>
  <c r="N44" i="1"/>
  <c r="H44" i="1"/>
  <c r="N28" i="1"/>
  <c r="P28" i="1"/>
  <c r="N25" i="1"/>
  <c r="P25" i="1"/>
  <c r="N18" i="1"/>
  <c r="H18" i="1"/>
  <c r="P18" i="1"/>
  <c r="N15" i="1"/>
  <c r="H15" i="1"/>
  <c r="P15" i="1" s="1"/>
  <c r="N12" i="1"/>
  <c r="P12" i="1"/>
  <c r="N9" i="1"/>
  <c r="H9" i="1"/>
  <c r="P9" i="1" s="1"/>
  <c r="H6" i="1"/>
  <c r="P6" i="1" s="1"/>
  <c r="X78" i="7" l="1"/>
  <c r="X75" i="7"/>
  <c r="Y59" i="7"/>
  <c r="X54" i="7"/>
  <c r="X55" i="7"/>
  <c r="R9" i="6"/>
  <c r="N16" i="4"/>
  <c r="X43" i="3"/>
  <c r="X38" i="3"/>
  <c r="P108" i="1"/>
  <c r="P95" i="1"/>
  <c r="X35" i="3"/>
  <c r="X30" i="3"/>
  <c r="P54" i="1"/>
  <c r="P44" i="1"/>
</calcChain>
</file>

<file path=xl/sharedStrings.xml><?xml version="1.0" encoding="utf-8"?>
<sst xmlns="http://schemas.openxmlformats.org/spreadsheetml/2006/main" count="1162" uniqueCount="145">
  <si>
    <t>Date</t>
  </si>
  <si>
    <t>NF</t>
  </si>
  <si>
    <t>Diff</t>
  </si>
  <si>
    <t>80 C</t>
  </si>
  <si>
    <t>80 P</t>
  </si>
  <si>
    <t>Net</t>
  </si>
  <si>
    <t>81 C</t>
  </si>
  <si>
    <t>78 P</t>
  </si>
  <si>
    <t>785 P</t>
  </si>
  <si>
    <t>Total</t>
  </si>
  <si>
    <t>78 C</t>
  </si>
  <si>
    <t>77 C</t>
  </si>
  <si>
    <t>75 C</t>
  </si>
  <si>
    <t>Jan</t>
  </si>
  <si>
    <t>If we cover it early then we get above 90.</t>
  </si>
  <si>
    <t>74 C</t>
  </si>
  <si>
    <t>74 P</t>
  </si>
  <si>
    <t>755 C</t>
  </si>
  <si>
    <t>73 P</t>
  </si>
  <si>
    <t>72 C</t>
  </si>
  <si>
    <t>79 P</t>
  </si>
  <si>
    <t>77 P</t>
  </si>
  <si>
    <t>76 P</t>
  </si>
  <si>
    <t>75 P</t>
  </si>
  <si>
    <t>70 P</t>
  </si>
  <si>
    <t>72 P</t>
  </si>
  <si>
    <t>79 C</t>
  </si>
  <si>
    <t>BNF</t>
  </si>
  <si>
    <t>18 C</t>
  </si>
  <si>
    <t>191 C</t>
  </si>
  <si>
    <t>Feb</t>
  </si>
  <si>
    <t>70 C</t>
  </si>
  <si>
    <t>71 C</t>
  </si>
  <si>
    <t>685 P</t>
  </si>
  <si>
    <t>69 P</t>
  </si>
  <si>
    <t>71 P</t>
  </si>
  <si>
    <t>Mar</t>
  </si>
  <si>
    <t>785 C</t>
  </si>
  <si>
    <t>Apr</t>
  </si>
  <si>
    <t>805 C</t>
  </si>
  <si>
    <t>795 P</t>
  </si>
  <si>
    <t>795 C</t>
  </si>
  <si>
    <t>18 P</t>
  </si>
  <si>
    <t>169 C</t>
  </si>
  <si>
    <t>169 P</t>
  </si>
  <si>
    <t>735 P</t>
  </si>
  <si>
    <t>154 C</t>
  </si>
  <si>
    <t>154 P</t>
  </si>
  <si>
    <t>705 C</t>
  </si>
  <si>
    <t>135 C</t>
  </si>
  <si>
    <t>135 P</t>
  </si>
  <si>
    <t>775 C</t>
  </si>
  <si>
    <t>775 P</t>
  </si>
  <si>
    <t>765 P</t>
  </si>
  <si>
    <t>161 C</t>
  </si>
  <si>
    <t>161 P</t>
  </si>
  <si>
    <t>167 C</t>
  </si>
  <si>
    <t>167 P</t>
  </si>
  <si>
    <t>805 P</t>
  </si>
  <si>
    <t>815 C</t>
  </si>
  <si>
    <t>174 C</t>
  </si>
  <si>
    <t>174 P</t>
  </si>
  <si>
    <t>May</t>
  </si>
  <si>
    <t>Jun</t>
  </si>
  <si>
    <t>81 P</t>
  </si>
  <si>
    <t>82 C</t>
  </si>
  <si>
    <t>83 C</t>
  </si>
  <si>
    <t>83 P</t>
  </si>
  <si>
    <t>835 C</t>
  </si>
  <si>
    <t>84 C</t>
  </si>
  <si>
    <t>815 P</t>
  </si>
  <si>
    <t>82 P</t>
  </si>
  <si>
    <t>Jul</t>
  </si>
  <si>
    <t>87 C</t>
  </si>
  <si>
    <t>87 P</t>
  </si>
  <si>
    <t>88 C</t>
  </si>
  <si>
    <t>855 P</t>
  </si>
  <si>
    <t>Aug</t>
  </si>
  <si>
    <t>179 C</t>
  </si>
  <si>
    <t>179 P</t>
  </si>
  <si>
    <t>865 C</t>
  </si>
  <si>
    <t>865 P</t>
  </si>
  <si>
    <t>875 C</t>
  </si>
  <si>
    <t>86 P</t>
  </si>
  <si>
    <t>191 P</t>
  </si>
  <si>
    <t>86 C</t>
  </si>
  <si>
    <t>85 P</t>
  </si>
  <si>
    <t>Sep</t>
  </si>
  <si>
    <t>Oct</t>
  </si>
  <si>
    <t>845 P</t>
  </si>
  <si>
    <t>Nov</t>
  </si>
  <si>
    <t>Dec</t>
  </si>
  <si>
    <t>193 C</t>
  </si>
  <si>
    <t>193 P</t>
  </si>
  <si>
    <t>192 C</t>
  </si>
  <si>
    <t>192 P</t>
  </si>
  <si>
    <t>sell</t>
  </si>
  <si>
    <t>buy</t>
  </si>
  <si>
    <t>68 P</t>
  </si>
  <si>
    <t>195 C</t>
  </si>
  <si>
    <t>195 P</t>
  </si>
  <si>
    <t>185 C</t>
  </si>
  <si>
    <t>175 P</t>
  </si>
  <si>
    <t>200 C</t>
  </si>
  <si>
    <t>190 C</t>
  </si>
  <si>
    <t>209 C</t>
  </si>
  <si>
    <t>215 C</t>
  </si>
  <si>
    <t>205 P</t>
  </si>
  <si>
    <t>90 C</t>
  </si>
  <si>
    <t>90 P</t>
  </si>
  <si>
    <t>183 C</t>
  </si>
  <si>
    <t>183 P</t>
  </si>
  <si>
    <t>895 C</t>
  </si>
  <si>
    <t>895 P</t>
  </si>
  <si>
    <t>885 P</t>
  </si>
  <si>
    <t>209 P</t>
  </si>
  <si>
    <t>92 C</t>
  </si>
  <si>
    <t>92 P</t>
  </si>
  <si>
    <t>925 C</t>
  </si>
  <si>
    <t>91 P</t>
  </si>
  <si>
    <t>216 C</t>
  </si>
  <si>
    <t>216 P</t>
  </si>
  <si>
    <t>935 C</t>
  </si>
  <si>
    <t>935 P</t>
  </si>
  <si>
    <t>945 C</t>
  </si>
  <si>
    <t>925 P</t>
  </si>
  <si>
    <t>223 C</t>
  </si>
  <si>
    <t>223 P</t>
  </si>
  <si>
    <t>95 C</t>
  </si>
  <si>
    <t>95 P</t>
  </si>
  <si>
    <t>96 C</t>
  </si>
  <si>
    <t>94 P</t>
  </si>
  <si>
    <t>232 C</t>
  </si>
  <si>
    <t>232 P</t>
  </si>
  <si>
    <t>100 C</t>
  </si>
  <si>
    <t>100 P</t>
  </si>
  <si>
    <t>101 C</t>
  </si>
  <si>
    <t>995 P</t>
  </si>
  <si>
    <t>249 C</t>
  </si>
  <si>
    <t>249 P</t>
  </si>
  <si>
    <t>99 C</t>
  </si>
  <si>
    <t>99 P</t>
  </si>
  <si>
    <t>985 P</t>
  </si>
  <si>
    <t>243 C</t>
  </si>
  <si>
    <t>243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</si>
</sst>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workbookViewId="0">
      <selection activeCell="S6" sqref="S5:S6"/>
    </sheetView>
  </sheetViews>
  <sheetFormatPr defaultRowHeight="15" x14ac:dyDescent="0.25"/>
  <cols>
    <col min="1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J1" s="1" t="s">
        <v>6</v>
      </c>
      <c r="K1" s="1" t="s">
        <v>2</v>
      </c>
      <c r="L1" s="1" t="s">
        <v>8</v>
      </c>
      <c r="M1" s="1" t="s">
        <v>2</v>
      </c>
      <c r="N1" s="1" t="s">
        <v>5</v>
      </c>
      <c r="P1" s="1" t="s">
        <v>9</v>
      </c>
    </row>
    <row r="2" spans="1:19" x14ac:dyDescent="0.25">
      <c r="A2" s="2">
        <v>43100</v>
      </c>
      <c r="B2" s="1">
        <v>7947</v>
      </c>
      <c r="C2" s="1">
        <f>B2-7947</f>
        <v>0</v>
      </c>
      <c r="D2" s="1">
        <v>147</v>
      </c>
      <c r="E2" s="1">
        <f>D2-147</f>
        <v>0</v>
      </c>
      <c r="F2" s="1">
        <v>171</v>
      </c>
      <c r="G2" s="1">
        <f>F2-171</f>
        <v>0</v>
      </c>
      <c r="H2" s="1">
        <f>G2+E2</f>
        <v>0</v>
      </c>
      <c r="J2" s="1">
        <v>50</v>
      </c>
      <c r="K2" s="1">
        <f>50-J2</f>
        <v>0</v>
      </c>
      <c r="L2" s="1">
        <v>74</v>
      </c>
      <c r="M2" s="1">
        <f>74-L2</f>
        <v>0</v>
      </c>
      <c r="N2" s="1">
        <f>M2+K2</f>
        <v>0</v>
      </c>
      <c r="P2" s="1">
        <f>N2+H2</f>
        <v>0</v>
      </c>
      <c r="S2" s="1">
        <v>105</v>
      </c>
    </row>
    <row r="3" spans="1:19" x14ac:dyDescent="0.25">
      <c r="A3" s="2">
        <v>42740</v>
      </c>
      <c r="B3" s="1">
        <v>7784</v>
      </c>
      <c r="C3" s="1">
        <f>B3-7947</f>
        <v>-163</v>
      </c>
      <c r="D3" s="1">
        <v>98</v>
      </c>
      <c r="E3" s="1">
        <f>D3-147</f>
        <v>-49</v>
      </c>
      <c r="F3" s="1">
        <v>268</v>
      </c>
      <c r="G3" s="1">
        <f>F3-171</f>
        <v>97</v>
      </c>
      <c r="H3" s="1">
        <f>G3+E3</f>
        <v>48</v>
      </c>
      <c r="J3" s="1">
        <v>24</v>
      </c>
      <c r="K3" s="3">
        <f>50-J3</f>
        <v>26</v>
      </c>
      <c r="L3" s="1">
        <v>146</v>
      </c>
      <c r="M3" s="1">
        <f>74-L3</f>
        <v>-72</v>
      </c>
      <c r="N3" s="1">
        <f>M3+K3</f>
        <v>-46</v>
      </c>
      <c r="P3" s="1">
        <f>N3+H3</f>
        <v>2</v>
      </c>
      <c r="S3" s="1">
        <v>121</v>
      </c>
    </row>
    <row r="4" spans="1:19" x14ac:dyDescent="0.25">
      <c r="J4" s="1" t="s">
        <v>6</v>
      </c>
    </row>
    <row r="5" spans="1:19" x14ac:dyDescent="0.25">
      <c r="J5" s="1">
        <v>64</v>
      </c>
      <c r="K5" s="1">
        <f>64-J5</f>
        <v>0</v>
      </c>
    </row>
    <row r="6" spans="1:19" x14ac:dyDescent="0.25">
      <c r="A6" s="2">
        <v>42742</v>
      </c>
      <c r="B6" s="1">
        <v>7568</v>
      </c>
      <c r="C6" s="1">
        <f>B6-7947</f>
        <v>-379</v>
      </c>
      <c r="D6" s="1">
        <v>43</v>
      </c>
      <c r="E6" s="1">
        <f>D6-147</f>
        <v>-104</v>
      </c>
      <c r="F6" s="1">
        <v>429</v>
      </c>
      <c r="G6" s="1">
        <f>F6-171</f>
        <v>258</v>
      </c>
      <c r="H6" s="1">
        <f>G6+E6</f>
        <v>154</v>
      </c>
      <c r="J6" s="1">
        <v>27</v>
      </c>
      <c r="K6" s="3">
        <f>64-J6</f>
        <v>37</v>
      </c>
      <c r="L6" s="1">
        <v>297</v>
      </c>
      <c r="M6" s="1">
        <f>74-L6</f>
        <v>-223</v>
      </c>
      <c r="N6" s="1">
        <f>M6+K6</f>
        <v>-186</v>
      </c>
      <c r="P6" s="1">
        <f>N6+H6</f>
        <v>-32</v>
      </c>
    </row>
    <row r="7" spans="1:19" x14ac:dyDescent="0.25">
      <c r="J7" s="1" t="s">
        <v>10</v>
      </c>
    </row>
    <row r="8" spans="1:19" x14ac:dyDescent="0.25">
      <c r="J8" s="1">
        <v>99</v>
      </c>
      <c r="K8" s="1">
        <f>99-J8</f>
        <v>0</v>
      </c>
    </row>
    <row r="9" spans="1:19" x14ac:dyDescent="0.25">
      <c r="A9" s="2">
        <v>42750</v>
      </c>
      <c r="B9" s="1">
        <v>7437</v>
      </c>
      <c r="C9" s="1">
        <f>B9-7947</f>
        <v>-510</v>
      </c>
      <c r="D9" s="1">
        <v>20</v>
      </c>
      <c r="E9" s="1">
        <f>D9-147</f>
        <v>-127</v>
      </c>
      <c r="F9" s="1">
        <v>540</v>
      </c>
      <c r="G9" s="1">
        <f>F9-171</f>
        <v>369</v>
      </c>
      <c r="H9" s="1">
        <f>G9+E9</f>
        <v>242</v>
      </c>
      <c r="J9" s="1">
        <v>52</v>
      </c>
      <c r="K9" s="3">
        <f>99-J9</f>
        <v>47</v>
      </c>
      <c r="L9" s="1">
        <v>409</v>
      </c>
      <c r="M9" s="1">
        <f>74-L9</f>
        <v>-335</v>
      </c>
      <c r="N9" s="1">
        <f>M9+K9</f>
        <v>-288</v>
      </c>
      <c r="P9" s="1">
        <f>N9+H9</f>
        <v>-46</v>
      </c>
    </row>
    <row r="10" spans="1:19" x14ac:dyDescent="0.25">
      <c r="J10" s="1" t="s">
        <v>11</v>
      </c>
    </row>
    <row r="11" spans="1:19" x14ac:dyDescent="0.25">
      <c r="J11" s="1">
        <v>78</v>
      </c>
      <c r="K11" s="1">
        <f>78-J11</f>
        <v>0</v>
      </c>
    </row>
    <row r="12" spans="1:19" x14ac:dyDescent="0.25">
      <c r="A12" s="2">
        <v>42756</v>
      </c>
      <c r="B12" s="1">
        <v>7276</v>
      </c>
      <c r="C12" s="1">
        <f>B12-7947</f>
        <v>-671</v>
      </c>
      <c r="D12" s="1">
        <v>9</v>
      </c>
      <c r="E12" s="1">
        <f>D12-147</f>
        <v>-138</v>
      </c>
      <c r="F12" s="1">
        <v>692</v>
      </c>
      <c r="G12" s="1">
        <f>F12-171</f>
        <v>521</v>
      </c>
      <c r="H12" s="1">
        <f>G12+E12</f>
        <v>383</v>
      </c>
      <c r="J12" s="1">
        <v>33</v>
      </c>
      <c r="K12" s="3">
        <f>78-J12</f>
        <v>45</v>
      </c>
      <c r="L12" s="1">
        <v>516</v>
      </c>
      <c r="M12" s="1">
        <f>74-L12</f>
        <v>-442</v>
      </c>
      <c r="N12" s="1">
        <f>M12+K12</f>
        <v>-397</v>
      </c>
      <c r="P12" s="1">
        <f>N12+H12</f>
        <v>-14</v>
      </c>
    </row>
    <row r="13" spans="1:19" x14ac:dyDescent="0.25">
      <c r="J13" s="1" t="s">
        <v>12</v>
      </c>
    </row>
    <row r="14" spans="1:19" x14ac:dyDescent="0.25">
      <c r="J14" s="1">
        <v>82</v>
      </c>
      <c r="K14" s="1">
        <f>82-J14</f>
        <v>0</v>
      </c>
    </row>
    <row r="15" spans="1:19" x14ac:dyDescent="0.25">
      <c r="A15" s="2">
        <v>42762</v>
      </c>
      <c r="B15" s="1">
        <v>7437</v>
      </c>
      <c r="C15" s="1">
        <f>B15-7947</f>
        <v>-510</v>
      </c>
      <c r="D15" s="1">
        <v>7</v>
      </c>
      <c r="E15" s="1">
        <f>D15-147</f>
        <v>-140</v>
      </c>
      <c r="F15" s="1">
        <v>554</v>
      </c>
      <c r="G15" s="1">
        <f>F15-171</f>
        <v>383</v>
      </c>
      <c r="H15" s="1">
        <f>G15+E15</f>
        <v>243</v>
      </c>
      <c r="J15" s="1">
        <v>117</v>
      </c>
      <c r="K15" s="1">
        <f>82-J15</f>
        <v>-35</v>
      </c>
      <c r="L15" s="1">
        <v>417</v>
      </c>
      <c r="M15" s="1">
        <f>74-L15</f>
        <v>-343</v>
      </c>
      <c r="N15" s="1">
        <f>M15+K15</f>
        <v>-378</v>
      </c>
      <c r="P15" s="3">
        <f>N15+H15</f>
        <v>-135</v>
      </c>
    </row>
    <row r="17" spans="1:16" x14ac:dyDescent="0.25">
      <c r="A17" s="1" t="s">
        <v>0</v>
      </c>
      <c r="B17" s="1" t="s">
        <v>1</v>
      </c>
      <c r="C17" s="1" t="s">
        <v>2</v>
      </c>
      <c r="D17" s="1" t="s">
        <v>15</v>
      </c>
      <c r="E17" s="1" t="s">
        <v>2</v>
      </c>
      <c r="F17" s="1" t="s">
        <v>16</v>
      </c>
      <c r="G17" s="1" t="s">
        <v>2</v>
      </c>
      <c r="H17" s="1" t="s">
        <v>5</v>
      </c>
      <c r="J17" s="1" t="s">
        <v>17</v>
      </c>
      <c r="K17" s="1" t="s">
        <v>2</v>
      </c>
      <c r="L17" s="1" t="s">
        <v>18</v>
      </c>
      <c r="M17" s="1" t="s">
        <v>2</v>
      </c>
      <c r="N17" s="1" t="s">
        <v>5</v>
      </c>
      <c r="P17" s="1" t="s">
        <v>9</v>
      </c>
    </row>
    <row r="18" spans="1:16" x14ac:dyDescent="0.25">
      <c r="A18" s="2">
        <v>42763</v>
      </c>
      <c r="B18" s="1">
        <v>7424</v>
      </c>
      <c r="C18" s="1">
        <f>B18-7424</f>
        <v>0</v>
      </c>
      <c r="D18" s="1">
        <v>253</v>
      </c>
      <c r="E18" s="1">
        <f>D18-253</f>
        <v>0</v>
      </c>
      <c r="F18" s="1">
        <v>194</v>
      </c>
      <c r="G18" s="1">
        <f>F18-194</f>
        <v>0</v>
      </c>
      <c r="H18" s="1">
        <f>G18+E18</f>
        <v>0</v>
      </c>
      <c r="J18" s="1">
        <v>86</v>
      </c>
      <c r="K18" s="1">
        <f>86-J18</f>
        <v>0</v>
      </c>
      <c r="L18" s="1">
        <v>81</v>
      </c>
      <c r="M18" s="1">
        <f>81-L18</f>
        <v>0</v>
      </c>
      <c r="N18" s="1">
        <f>M18+K18</f>
        <v>0</v>
      </c>
      <c r="P18" s="1">
        <f>N18+H18</f>
        <v>0</v>
      </c>
    </row>
    <row r="19" spans="1:16" x14ac:dyDescent="0.25">
      <c r="A19" s="2">
        <v>42776</v>
      </c>
      <c r="B19" s="1">
        <v>7215</v>
      </c>
      <c r="C19" s="1">
        <f>B19-7424</f>
        <v>-209</v>
      </c>
      <c r="D19" s="1">
        <v>158</v>
      </c>
      <c r="E19" s="1">
        <f>D19-253</f>
        <v>-95</v>
      </c>
      <c r="F19" s="1">
        <v>293</v>
      </c>
      <c r="G19" s="1">
        <f>F19-194</f>
        <v>99</v>
      </c>
      <c r="H19" s="1">
        <f>G19+E19</f>
        <v>4</v>
      </c>
      <c r="J19" s="1">
        <v>23</v>
      </c>
      <c r="K19" s="3">
        <f>86-J19</f>
        <v>63</v>
      </c>
      <c r="L19" s="1">
        <v>148</v>
      </c>
      <c r="M19" s="1">
        <f>81-L19</f>
        <v>-67</v>
      </c>
      <c r="N19" s="1">
        <f>M19+K19</f>
        <v>-4</v>
      </c>
      <c r="P19" s="1">
        <f>N19+H19</f>
        <v>0</v>
      </c>
    </row>
    <row r="20" spans="1:16" x14ac:dyDescent="0.25">
      <c r="J20" s="1" t="s">
        <v>12</v>
      </c>
    </row>
    <row r="21" spans="1:16" x14ac:dyDescent="0.25">
      <c r="J21" s="1">
        <v>116</v>
      </c>
      <c r="K21" s="1">
        <f>116-J21</f>
        <v>0</v>
      </c>
    </row>
    <row r="22" spans="1:16" x14ac:dyDescent="0.25">
      <c r="A22" s="2">
        <v>42777</v>
      </c>
      <c r="B22" s="1">
        <v>6976</v>
      </c>
      <c r="C22" s="1">
        <f>B22-7424</f>
        <v>-448</v>
      </c>
      <c r="D22" s="1">
        <v>88</v>
      </c>
      <c r="E22" s="1">
        <f>D22-253</f>
        <v>-165</v>
      </c>
      <c r="F22" s="1">
        <v>478</v>
      </c>
      <c r="G22" s="1">
        <f>F22-194</f>
        <v>284</v>
      </c>
      <c r="H22" s="1">
        <f>G22+E22</f>
        <v>119</v>
      </c>
      <c r="J22" s="1">
        <v>65</v>
      </c>
      <c r="K22" s="3">
        <f>116-J22</f>
        <v>51</v>
      </c>
      <c r="L22" s="1">
        <v>340</v>
      </c>
      <c r="M22" s="1">
        <f>81-L22</f>
        <v>-259</v>
      </c>
      <c r="N22" s="1">
        <f>M22+K22</f>
        <v>-208</v>
      </c>
      <c r="P22" s="1">
        <f>N22+H22</f>
        <v>-89</v>
      </c>
    </row>
    <row r="23" spans="1:16" x14ac:dyDescent="0.25">
      <c r="J23" s="1" t="s">
        <v>19</v>
      </c>
    </row>
    <row r="24" spans="1:16" x14ac:dyDescent="0.25">
      <c r="J24" s="1">
        <v>156</v>
      </c>
      <c r="K24" s="1">
        <f>156-J24</f>
        <v>0</v>
      </c>
    </row>
    <row r="25" spans="1:16" x14ac:dyDescent="0.25">
      <c r="A25" s="2">
        <v>42790</v>
      </c>
      <c r="B25" s="1">
        <v>7018</v>
      </c>
      <c r="C25" s="1">
        <f>B25-7424</f>
        <v>-406</v>
      </c>
      <c r="D25" s="1">
        <v>48</v>
      </c>
      <c r="E25" s="1">
        <f>D25-253</f>
        <v>-205</v>
      </c>
      <c r="F25" s="1">
        <v>401</v>
      </c>
      <c r="G25" s="1">
        <f>F25-194</f>
        <v>207</v>
      </c>
      <c r="H25" s="1">
        <f>G25+E25</f>
        <v>2</v>
      </c>
      <c r="J25" s="1">
        <v>108</v>
      </c>
      <c r="K25" s="1">
        <f>156-J25</f>
        <v>48</v>
      </c>
      <c r="L25" s="1">
        <v>280</v>
      </c>
      <c r="M25" s="1">
        <f>81-L25</f>
        <v>-199</v>
      </c>
      <c r="N25" s="1">
        <f>M25+K25</f>
        <v>-151</v>
      </c>
      <c r="P25" s="3">
        <f>N25+H25</f>
        <v>-149</v>
      </c>
    </row>
    <row r="27" spans="1:16" x14ac:dyDescent="0.25">
      <c r="A27" s="1" t="s">
        <v>0</v>
      </c>
      <c r="B27" s="1" t="s">
        <v>1</v>
      </c>
      <c r="C27" s="1" t="s">
        <v>2</v>
      </c>
      <c r="D27" s="1" t="s">
        <v>31</v>
      </c>
      <c r="E27" s="1" t="s">
        <v>2</v>
      </c>
      <c r="F27" s="1" t="s">
        <v>24</v>
      </c>
      <c r="G27" s="1" t="s">
        <v>2</v>
      </c>
      <c r="H27" s="1" t="s">
        <v>5</v>
      </c>
      <c r="J27" s="1" t="s">
        <v>32</v>
      </c>
      <c r="K27" s="1" t="s">
        <v>2</v>
      </c>
      <c r="L27" s="1" t="s">
        <v>33</v>
      </c>
      <c r="M27" s="1" t="s">
        <v>2</v>
      </c>
      <c r="N27" s="1" t="s">
        <v>5</v>
      </c>
      <c r="P27" s="1" t="s">
        <v>9</v>
      </c>
    </row>
    <row r="28" spans="1:16" x14ac:dyDescent="0.25">
      <c r="A28" s="2">
        <v>42791</v>
      </c>
      <c r="B28" s="1">
        <v>6971</v>
      </c>
      <c r="C28" s="1">
        <f>B28-6971</f>
        <v>0</v>
      </c>
      <c r="D28" s="1">
        <v>236</v>
      </c>
      <c r="E28" s="1">
        <f>D28-236</f>
        <v>0</v>
      </c>
      <c r="F28" s="1">
        <v>206</v>
      </c>
      <c r="G28" s="1">
        <f>F28-206</f>
        <v>0</v>
      </c>
      <c r="H28" s="1">
        <f>G28+E28</f>
        <v>0</v>
      </c>
      <c r="J28" s="1">
        <v>128</v>
      </c>
      <c r="K28" s="1">
        <f>128-J28</f>
        <v>0</v>
      </c>
      <c r="L28" s="1">
        <v>122</v>
      </c>
      <c r="M28" s="1">
        <f>122-L28</f>
        <v>0</v>
      </c>
      <c r="N28" s="1">
        <f>M28+K28</f>
        <v>0</v>
      </c>
      <c r="P28" s="1">
        <f>N28+H28</f>
        <v>0</v>
      </c>
    </row>
    <row r="29" spans="1:16" x14ac:dyDescent="0.25">
      <c r="A29" s="2">
        <v>42795</v>
      </c>
      <c r="B29" s="1">
        <v>7222</v>
      </c>
      <c r="C29" s="1">
        <f>B29-6971</f>
        <v>251</v>
      </c>
      <c r="D29" s="1">
        <v>355</v>
      </c>
      <c r="E29" s="5">
        <f>D29-236</f>
        <v>119</v>
      </c>
      <c r="F29" s="1">
        <v>107</v>
      </c>
      <c r="G29" s="1">
        <f>F29-206</f>
        <v>-99</v>
      </c>
      <c r="H29" s="1">
        <f>G29+E29</f>
        <v>20</v>
      </c>
      <c r="J29" s="1">
        <v>219</v>
      </c>
      <c r="K29" s="5">
        <f>128-J29</f>
        <v>-91</v>
      </c>
      <c r="L29" s="1">
        <v>40</v>
      </c>
      <c r="M29" s="3">
        <f>122-L29</f>
        <v>82</v>
      </c>
      <c r="N29" s="1">
        <f>M29+K29</f>
        <v>-9</v>
      </c>
      <c r="P29" s="1">
        <f>N29+H29</f>
        <v>11</v>
      </c>
    </row>
    <row r="30" spans="1:16" x14ac:dyDescent="0.25">
      <c r="L30" s="1" t="s">
        <v>34</v>
      </c>
    </row>
    <row r="31" spans="1:16" x14ac:dyDescent="0.25">
      <c r="L31" s="1">
        <v>84</v>
      </c>
      <c r="M31" s="1">
        <f>84-L31</f>
        <v>0</v>
      </c>
    </row>
    <row r="32" spans="1:16" x14ac:dyDescent="0.25">
      <c r="A32" s="2">
        <v>42796</v>
      </c>
      <c r="B32" s="1">
        <v>7368</v>
      </c>
      <c r="C32" s="1">
        <f>B32-6971</f>
        <v>397</v>
      </c>
      <c r="D32" s="1">
        <v>453</v>
      </c>
      <c r="E32" s="5">
        <f>D32-236</f>
        <v>217</v>
      </c>
      <c r="F32" s="1">
        <v>78</v>
      </c>
      <c r="G32" s="1">
        <f>F32-206</f>
        <v>-128</v>
      </c>
      <c r="H32" s="1">
        <f>G32+E32</f>
        <v>89</v>
      </c>
      <c r="J32" s="1">
        <v>318</v>
      </c>
      <c r="K32" s="5">
        <f>128-J32</f>
        <v>-190</v>
      </c>
      <c r="L32" s="1">
        <v>63</v>
      </c>
      <c r="M32" s="3">
        <f>84-L32</f>
        <v>21</v>
      </c>
      <c r="N32" s="1">
        <f>M32+K32</f>
        <v>-169</v>
      </c>
      <c r="P32" s="1">
        <f>N32+H32</f>
        <v>-80</v>
      </c>
    </row>
    <row r="33" spans="1:16" x14ac:dyDescent="0.25">
      <c r="L33" s="1" t="s">
        <v>35</v>
      </c>
    </row>
    <row r="34" spans="1:16" x14ac:dyDescent="0.25">
      <c r="L34" s="1">
        <v>98</v>
      </c>
      <c r="M34" s="1">
        <f>98-L34</f>
        <v>0</v>
      </c>
    </row>
    <row r="35" spans="1:16" x14ac:dyDescent="0.25">
      <c r="A35" s="2">
        <v>42798</v>
      </c>
      <c r="B35" s="1">
        <v>7485</v>
      </c>
      <c r="C35" s="1">
        <f>B35-6971</f>
        <v>514</v>
      </c>
      <c r="D35" s="1">
        <v>529</v>
      </c>
      <c r="E35" s="5">
        <f>D35-236</f>
        <v>293</v>
      </c>
      <c r="F35" s="1">
        <v>56</v>
      </c>
      <c r="G35" s="1">
        <f>F35-206</f>
        <v>-150</v>
      </c>
      <c r="H35" s="1">
        <f>G35+E35</f>
        <v>143</v>
      </c>
      <c r="J35" s="1">
        <v>387</v>
      </c>
      <c r="K35" s="5">
        <f>128-J35</f>
        <v>-259</v>
      </c>
      <c r="L35" s="1">
        <v>71</v>
      </c>
      <c r="M35" s="3">
        <f>98-L35</f>
        <v>27</v>
      </c>
      <c r="N35" s="1">
        <f>M35+K35</f>
        <v>-232</v>
      </c>
      <c r="P35" s="1">
        <f>N35+H35</f>
        <v>-89</v>
      </c>
    </row>
    <row r="36" spans="1:16" x14ac:dyDescent="0.25">
      <c r="L36" s="1" t="s">
        <v>25</v>
      </c>
    </row>
    <row r="37" spans="1:16" x14ac:dyDescent="0.25">
      <c r="L37" s="1">
        <v>90</v>
      </c>
      <c r="M37" s="1">
        <f>90-L37</f>
        <v>0</v>
      </c>
    </row>
    <row r="38" spans="1:16" x14ac:dyDescent="0.25">
      <c r="A38" s="2">
        <v>42812</v>
      </c>
      <c r="B38" s="1">
        <v>7604</v>
      </c>
      <c r="C38" s="1">
        <f>B38-6971</f>
        <v>633</v>
      </c>
      <c r="D38" s="1">
        <v>658</v>
      </c>
      <c r="E38" s="5">
        <f>D38-236</f>
        <v>422</v>
      </c>
      <c r="F38" s="1">
        <v>22</v>
      </c>
      <c r="G38" s="1">
        <f>F38-206</f>
        <v>-184</v>
      </c>
      <c r="H38" s="1">
        <f>G38+E38</f>
        <v>238</v>
      </c>
      <c r="J38" s="1">
        <v>508</v>
      </c>
      <c r="K38" s="5">
        <f>128-J38</f>
        <v>-380</v>
      </c>
      <c r="L38" s="1">
        <v>39</v>
      </c>
      <c r="M38" s="3">
        <f>90-L38</f>
        <v>51</v>
      </c>
      <c r="N38" s="1">
        <f>M38+K38</f>
        <v>-329</v>
      </c>
      <c r="P38" s="1">
        <f>N38+H38</f>
        <v>-91</v>
      </c>
    </row>
    <row r="39" spans="1:16" x14ac:dyDescent="0.25">
      <c r="L39" s="1" t="s">
        <v>18</v>
      </c>
    </row>
    <row r="40" spans="1:16" x14ac:dyDescent="0.25">
      <c r="L40" s="1">
        <v>52</v>
      </c>
      <c r="M40" s="1">
        <f>52-L40</f>
        <v>0</v>
      </c>
    </row>
    <row r="41" spans="1:16" x14ac:dyDescent="0.25">
      <c r="A41" s="2">
        <v>42824</v>
      </c>
      <c r="B41" s="1">
        <v>7735</v>
      </c>
      <c r="C41" s="1">
        <f>B41-6971</f>
        <v>764</v>
      </c>
      <c r="D41" s="1">
        <v>778</v>
      </c>
      <c r="E41" s="5">
        <f>D41-236</f>
        <v>542</v>
      </c>
      <c r="F41" s="1">
        <v>7</v>
      </c>
      <c r="G41" s="1">
        <f>F41-206</f>
        <v>-199</v>
      </c>
      <c r="H41" s="1">
        <f>G41+E41</f>
        <v>343</v>
      </c>
      <c r="J41" s="1">
        <v>641</v>
      </c>
      <c r="K41" s="5">
        <f>128-J41</f>
        <v>-513</v>
      </c>
      <c r="L41" s="1">
        <v>23</v>
      </c>
      <c r="M41" s="1">
        <f>52-L41</f>
        <v>29</v>
      </c>
      <c r="N41" s="1">
        <f>M41+K41</f>
        <v>-484</v>
      </c>
      <c r="P41" s="3">
        <f>N41+H41</f>
        <v>-141</v>
      </c>
    </row>
    <row r="43" spans="1:16" x14ac:dyDescent="0.25">
      <c r="A43" s="1" t="s">
        <v>0</v>
      </c>
      <c r="B43" s="1" t="s">
        <v>1</v>
      </c>
      <c r="C43" s="1" t="s">
        <v>2</v>
      </c>
      <c r="D43" s="1" t="s">
        <v>11</v>
      </c>
      <c r="E43" s="1" t="s">
        <v>2</v>
      </c>
      <c r="F43" s="1" t="s">
        <v>21</v>
      </c>
      <c r="G43" s="1" t="s">
        <v>2</v>
      </c>
      <c r="H43" s="1" t="s">
        <v>5</v>
      </c>
      <c r="J43" s="1" t="s">
        <v>37</v>
      </c>
      <c r="K43" s="1" t="s">
        <v>2</v>
      </c>
      <c r="L43" s="1" t="s">
        <v>22</v>
      </c>
      <c r="M43" s="1" t="s">
        <v>2</v>
      </c>
      <c r="N43" s="1" t="s">
        <v>5</v>
      </c>
      <c r="P43" s="1" t="s">
        <v>9</v>
      </c>
    </row>
    <row r="44" spans="1:16" x14ac:dyDescent="0.25">
      <c r="A44" s="2">
        <v>42825</v>
      </c>
      <c r="B44" s="1">
        <v>7738</v>
      </c>
      <c r="C44" s="1">
        <f>B44-7738</f>
        <v>0</v>
      </c>
      <c r="D44" s="1">
        <v>247</v>
      </c>
      <c r="E44" s="1">
        <f>D44-247</f>
        <v>0</v>
      </c>
      <c r="F44" s="1">
        <v>139</v>
      </c>
      <c r="G44" s="1">
        <f>F44-139</f>
        <v>0</v>
      </c>
      <c r="H44" s="1">
        <f>G44+E44</f>
        <v>0</v>
      </c>
      <c r="J44" s="1">
        <v>97</v>
      </c>
      <c r="K44" s="1">
        <f>97-J44</f>
        <v>0</v>
      </c>
      <c r="L44" s="1">
        <v>67</v>
      </c>
      <c r="M44" s="1">
        <f>67-L44</f>
        <v>0</v>
      </c>
      <c r="N44" s="1">
        <f>M44+K44</f>
        <v>0</v>
      </c>
      <c r="P44" s="1">
        <f>N44+H44</f>
        <v>0</v>
      </c>
    </row>
    <row r="45" spans="1:16" x14ac:dyDescent="0.25">
      <c r="A45" s="2">
        <v>42832</v>
      </c>
      <c r="B45" s="1">
        <v>7546</v>
      </c>
      <c r="C45" s="1">
        <f>B45-7546</f>
        <v>0</v>
      </c>
      <c r="D45" s="1">
        <v>125</v>
      </c>
      <c r="E45" s="1">
        <f>D45-247</f>
        <v>-122</v>
      </c>
      <c r="F45" s="1">
        <v>226</v>
      </c>
      <c r="G45" s="1">
        <f>F45-139</f>
        <v>87</v>
      </c>
      <c r="H45" s="1">
        <f>G45+E45</f>
        <v>-35</v>
      </c>
      <c r="J45" s="1">
        <v>18</v>
      </c>
      <c r="K45" s="3">
        <f>97-J45</f>
        <v>79</v>
      </c>
      <c r="L45" s="1">
        <v>124</v>
      </c>
      <c r="M45" s="1">
        <f>67-L45</f>
        <v>-57</v>
      </c>
      <c r="N45" s="1">
        <f>M45+K45</f>
        <v>22</v>
      </c>
      <c r="P45" s="1">
        <f>N45+H45</f>
        <v>-13</v>
      </c>
    </row>
    <row r="46" spans="1:16" x14ac:dyDescent="0.25">
      <c r="J46" s="1" t="s">
        <v>10</v>
      </c>
    </row>
    <row r="47" spans="1:16" x14ac:dyDescent="0.25">
      <c r="J47" s="1">
        <v>85</v>
      </c>
      <c r="K47" s="1">
        <f>85-J47</f>
        <v>0</v>
      </c>
    </row>
    <row r="48" spans="1:16" x14ac:dyDescent="0.25">
      <c r="A48" s="2">
        <v>42838</v>
      </c>
      <c r="B48" s="1">
        <v>7850</v>
      </c>
      <c r="C48" s="1">
        <f>B48-7546</f>
        <v>304</v>
      </c>
      <c r="D48" s="1">
        <v>288</v>
      </c>
      <c r="E48" s="1">
        <f>D48-247</f>
        <v>41</v>
      </c>
      <c r="F48" s="1">
        <v>88</v>
      </c>
      <c r="G48" s="1">
        <f>F48-139</f>
        <v>-51</v>
      </c>
      <c r="H48" s="1">
        <f>G48+E48</f>
        <v>-10</v>
      </c>
      <c r="J48" s="1">
        <v>220</v>
      </c>
      <c r="K48" s="1">
        <f>85-J48</f>
        <v>-135</v>
      </c>
      <c r="L48" s="1">
        <v>17</v>
      </c>
      <c r="M48" s="3">
        <f>67-L48</f>
        <v>50</v>
      </c>
      <c r="N48" s="1">
        <f>M48+K48</f>
        <v>-85</v>
      </c>
      <c r="P48" s="1">
        <f>N48+H48</f>
        <v>-95</v>
      </c>
    </row>
    <row r="49" spans="1:16" x14ac:dyDescent="0.25">
      <c r="L49" s="1" t="s">
        <v>22</v>
      </c>
    </row>
    <row r="50" spans="1:16" x14ac:dyDescent="0.25">
      <c r="L50" s="1">
        <v>65</v>
      </c>
      <c r="M50" s="1">
        <f>65-L50</f>
        <v>0</v>
      </c>
    </row>
    <row r="51" spans="1:16" x14ac:dyDescent="0.25">
      <c r="A51" s="2">
        <v>42852</v>
      </c>
      <c r="B51" s="1">
        <v>7980</v>
      </c>
      <c r="C51" s="1">
        <f>B51-7546</f>
        <v>434</v>
      </c>
      <c r="D51" s="1">
        <v>364</v>
      </c>
      <c r="E51" s="1">
        <f>D51-247</f>
        <v>117</v>
      </c>
      <c r="F51" s="1">
        <v>41</v>
      </c>
      <c r="G51" s="1">
        <f>F51-139</f>
        <v>-98</v>
      </c>
      <c r="H51" s="1">
        <f>G51+E51</f>
        <v>19</v>
      </c>
      <c r="J51" s="1">
        <v>285</v>
      </c>
      <c r="K51" s="1">
        <f>85-J51</f>
        <v>-200</v>
      </c>
      <c r="L51" s="1">
        <v>28</v>
      </c>
      <c r="M51" s="1">
        <f>65-L51</f>
        <v>37</v>
      </c>
      <c r="N51" s="1">
        <f>M51+K51</f>
        <v>-163</v>
      </c>
      <c r="P51" s="1">
        <f>N51+H51</f>
        <v>-144</v>
      </c>
    </row>
    <row r="53" spans="1:16" x14ac:dyDescent="0.25">
      <c r="A53" s="1" t="s">
        <v>0</v>
      </c>
      <c r="B53" s="1" t="s">
        <v>1</v>
      </c>
      <c r="C53" s="1" t="s">
        <v>2</v>
      </c>
      <c r="D53" s="1" t="s">
        <v>26</v>
      </c>
      <c r="E53" s="1" t="s">
        <v>2</v>
      </c>
      <c r="F53" s="1" t="s">
        <v>20</v>
      </c>
      <c r="G53" s="1" t="s">
        <v>2</v>
      </c>
      <c r="H53" s="1" t="s">
        <v>5</v>
      </c>
      <c r="J53" s="1" t="s">
        <v>3</v>
      </c>
      <c r="K53" s="1" t="s">
        <v>2</v>
      </c>
      <c r="L53" s="1" t="s">
        <v>21</v>
      </c>
      <c r="M53" s="1" t="s">
        <v>2</v>
      </c>
      <c r="N53" s="1" t="s">
        <v>5</v>
      </c>
      <c r="P53" s="1" t="s">
        <v>9</v>
      </c>
    </row>
    <row r="54" spans="1:16" x14ac:dyDescent="0.25">
      <c r="A54" s="2">
        <v>42853</v>
      </c>
      <c r="B54" s="1">
        <v>7847</v>
      </c>
      <c r="C54" s="1">
        <f>B54-7847</f>
        <v>0</v>
      </c>
      <c r="D54" s="1">
        <v>204</v>
      </c>
      <c r="E54" s="1">
        <f>D54-204</f>
        <v>0</v>
      </c>
      <c r="F54" s="1">
        <v>191</v>
      </c>
      <c r="G54" s="1">
        <f>F54-191</f>
        <v>0</v>
      </c>
      <c r="H54" s="1">
        <f>G54+E54</f>
        <v>0</v>
      </c>
      <c r="J54" s="1">
        <v>84</v>
      </c>
      <c r="K54" s="1">
        <f>84-J54</f>
        <v>0</v>
      </c>
      <c r="L54" s="1">
        <v>65</v>
      </c>
      <c r="M54" s="1">
        <f>65-L54</f>
        <v>0</v>
      </c>
      <c r="N54" s="1">
        <f>M54+K54</f>
        <v>0</v>
      </c>
      <c r="P54" s="1">
        <f>N54+H54</f>
        <v>0</v>
      </c>
    </row>
    <row r="55" spans="1:16" x14ac:dyDescent="0.25">
      <c r="A55" s="2">
        <v>42880</v>
      </c>
      <c r="B55" s="1">
        <v>7934</v>
      </c>
      <c r="C55" s="1">
        <f>B55-7847</f>
        <v>87</v>
      </c>
      <c r="D55" s="1">
        <v>168</v>
      </c>
      <c r="E55" s="1">
        <f>D55-204</f>
        <v>-36</v>
      </c>
      <c r="F55" s="1">
        <v>115</v>
      </c>
      <c r="G55" s="1">
        <f>F55-191</f>
        <v>-76</v>
      </c>
      <c r="H55" s="1">
        <f>G55+E55</f>
        <v>-112</v>
      </c>
      <c r="J55" s="1">
        <v>9</v>
      </c>
      <c r="K55" s="1">
        <f>84-J55</f>
        <v>75</v>
      </c>
      <c r="L55" s="1">
        <v>1</v>
      </c>
      <c r="M55" s="1">
        <f>65-L55</f>
        <v>64</v>
      </c>
      <c r="N55" s="1">
        <f>M55+K55</f>
        <v>139</v>
      </c>
      <c r="P55" s="3">
        <f>N55+H55</f>
        <v>27</v>
      </c>
    </row>
    <row r="57" spans="1:16" x14ac:dyDescent="0.25">
      <c r="A57" s="1" t="s">
        <v>0</v>
      </c>
      <c r="B57" s="1" t="s">
        <v>1</v>
      </c>
      <c r="C57" s="1" t="s">
        <v>2</v>
      </c>
      <c r="D57" s="1" t="s">
        <v>6</v>
      </c>
      <c r="E57" s="1" t="s">
        <v>2</v>
      </c>
      <c r="F57" s="1" t="s">
        <v>64</v>
      </c>
      <c r="G57" s="1" t="s">
        <v>2</v>
      </c>
      <c r="H57" s="1" t="s">
        <v>5</v>
      </c>
      <c r="J57" s="1" t="s">
        <v>65</v>
      </c>
      <c r="K57" s="1" t="s">
        <v>2</v>
      </c>
      <c r="L57" s="1" t="s">
        <v>40</v>
      </c>
      <c r="M57" s="1" t="s">
        <v>2</v>
      </c>
      <c r="N57" s="1" t="s">
        <v>5</v>
      </c>
      <c r="P57" s="1" t="s">
        <v>9</v>
      </c>
    </row>
    <row r="58" spans="1:16" x14ac:dyDescent="0.25">
      <c r="A58" s="2">
        <v>42881</v>
      </c>
      <c r="B58" s="1">
        <v>8069</v>
      </c>
      <c r="C58" s="1">
        <f>B58-8069</f>
        <v>0</v>
      </c>
      <c r="D58" s="1">
        <v>174</v>
      </c>
      <c r="E58" s="1">
        <f>D58-174</f>
        <v>0</v>
      </c>
      <c r="F58" s="1">
        <v>187</v>
      </c>
      <c r="G58" s="1">
        <f>F58-187</f>
        <v>0</v>
      </c>
      <c r="H58" s="1">
        <f>G58+E58</f>
        <v>0</v>
      </c>
      <c r="J58" s="1">
        <v>79</v>
      </c>
      <c r="K58" s="1">
        <f>79-J58</f>
        <v>0</v>
      </c>
      <c r="L58" s="1">
        <v>94</v>
      </c>
      <c r="M58" s="1">
        <f>94-L58</f>
        <v>0</v>
      </c>
      <c r="N58" s="1">
        <f>M58+K58</f>
        <v>0</v>
      </c>
      <c r="P58" s="1">
        <f>N58+H58</f>
        <v>0</v>
      </c>
    </row>
    <row r="59" spans="1:16" x14ac:dyDescent="0.25">
      <c r="A59" s="2">
        <v>42893</v>
      </c>
      <c r="B59" s="1">
        <v>8266</v>
      </c>
      <c r="C59" s="1">
        <f>B59-8069</f>
        <v>197</v>
      </c>
      <c r="D59" s="1">
        <v>296</v>
      </c>
      <c r="E59" s="1">
        <f>D59-174</f>
        <v>122</v>
      </c>
      <c r="F59" s="1">
        <v>91</v>
      </c>
      <c r="G59" s="1">
        <f>F59-187</f>
        <v>-96</v>
      </c>
      <c r="H59" s="1">
        <f>G59+E59</f>
        <v>26</v>
      </c>
      <c r="J59" s="1">
        <v>159</v>
      </c>
      <c r="K59" s="1">
        <f>79-J59</f>
        <v>-80</v>
      </c>
      <c r="L59" s="1">
        <v>27</v>
      </c>
      <c r="M59" s="3">
        <f>94-L59</f>
        <v>67</v>
      </c>
      <c r="N59" s="1">
        <f>M59+K59</f>
        <v>-13</v>
      </c>
      <c r="P59" s="5">
        <f>N59+H59</f>
        <v>13</v>
      </c>
    </row>
    <row r="60" spans="1:16" x14ac:dyDescent="0.25">
      <c r="L60" s="1" t="s">
        <v>4</v>
      </c>
    </row>
    <row r="61" spans="1:16" x14ac:dyDescent="0.25">
      <c r="L61" s="1">
        <v>69</v>
      </c>
      <c r="M61" s="1">
        <f>69-L61</f>
        <v>0</v>
      </c>
    </row>
    <row r="62" spans="1:16" x14ac:dyDescent="0.25">
      <c r="A62" s="2">
        <v>42915</v>
      </c>
      <c r="B62" s="1">
        <v>8204</v>
      </c>
      <c r="C62" s="1">
        <f>B62-8069</f>
        <v>135</v>
      </c>
      <c r="D62" s="1">
        <v>218</v>
      </c>
      <c r="E62" s="1">
        <f>D62-174</f>
        <v>44</v>
      </c>
      <c r="F62" s="1">
        <v>86</v>
      </c>
      <c r="G62" s="1">
        <f>F62-187</f>
        <v>-101</v>
      </c>
      <c r="H62" s="1">
        <f>G62+E62</f>
        <v>-57</v>
      </c>
      <c r="J62" s="1">
        <v>31</v>
      </c>
      <c r="K62" s="1">
        <f>79-J62</f>
        <v>48</v>
      </c>
      <c r="L62" s="1">
        <v>62</v>
      </c>
      <c r="M62" s="1">
        <f>69-L62</f>
        <v>7</v>
      </c>
      <c r="N62" s="1">
        <f>M62+K62</f>
        <v>55</v>
      </c>
      <c r="P62" s="3">
        <f>N62+H62</f>
        <v>-2</v>
      </c>
    </row>
    <row r="64" spans="1:16" x14ac:dyDescent="0.25">
      <c r="A64" s="1" t="s">
        <v>0</v>
      </c>
      <c r="B64" s="1" t="s">
        <v>1</v>
      </c>
      <c r="C64" s="1" t="s">
        <v>2</v>
      </c>
      <c r="D64" s="1" t="s">
        <v>66</v>
      </c>
      <c r="E64" s="1" t="s">
        <v>2</v>
      </c>
      <c r="F64" s="1" t="s">
        <v>67</v>
      </c>
      <c r="G64" s="1" t="s">
        <v>2</v>
      </c>
      <c r="H64" s="1" t="s">
        <v>5</v>
      </c>
      <c r="J64" s="1" t="s">
        <v>69</v>
      </c>
      <c r="K64" s="1" t="s">
        <v>2</v>
      </c>
      <c r="L64" s="1" t="s">
        <v>70</v>
      </c>
      <c r="M64" s="1" t="s">
        <v>2</v>
      </c>
      <c r="N64" s="1" t="s">
        <v>5</v>
      </c>
      <c r="P64" s="1" t="s">
        <v>9</v>
      </c>
    </row>
    <row r="65" spans="1:16" x14ac:dyDescent="0.25">
      <c r="A65" s="2">
        <v>42916</v>
      </c>
      <c r="B65" s="1">
        <v>8288</v>
      </c>
      <c r="C65" s="1">
        <f>B65-8288</f>
        <v>0</v>
      </c>
      <c r="D65" s="1">
        <v>212</v>
      </c>
      <c r="E65" s="1">
        <f>D65-212</f>
        <v>0</v>
      </c>
      <c r="F65" s="1">
        <v>164</v>
      </c>
      <c r="G65" s="1">
        <f>F65-164</f>
        <v>0</v>
      </c>
      <c r="H65" s="1">
        <f>G65+E65</f>
        <v>0</v>
      </c>
      <c r="J65" s="1">
        <v>97</v>
      </c>
      <c r="K65" s="1">
        <f>97-J65</f>
        <v>0</v>
      </c>
      <c r="L65" s="1">
        <v>76</v>
      </c>
      <c r="M65" s="1">
        <f>76-L65</f>
        <v>0</v>
      </c>
      <c r="N65" s="1">
        <f>M65+K65</f>
        <v>0</v>
      </c>
      <c r="P65" s="1">
        <f>N65+H65</f>
        <v>0</v>
      </c>
    </row>
    <row r="66" spans="1:16" x14ac:dyDescent="0.25">
      <c r="A66" s="2">
        <v>42927</v>
      </c>
      <c r="B66" s="1">
        <v>8468</v>
      </c>
      <c r="C66" s="1">
        <f>B66-8288</f>
        <v>180</v>
      </c>
      <c r="D66" s="1">
        <v>301</v>
      </c>
      <c r="E66" s="1">
        <f>D66-212</f>
        <v>89</v>
      </c>
      <c r="F66" s="1">
        <v>84</v>
      </c>
      <c r="G66" s="1">
        <f>F66-164</f>
        <v>-80</v>
      </c>
      <c r="H66" s="1">
        <f>G66+E66</f>
        <v>9</v>
      </c>
      <c r="J66" s="1">
        <v>148</v>
      </c>
      <c r="K66" s="1">
        <f>97-J66</f>
        <v>-51</v>
      </c>
      <c r="L66" s="1">
        <v>18</v>
      </c>
      <c r="M66" s="3">
        <f>76-L66</f>
        <v>58</v>
      </c>
      <c r="N66" s="1">
        <f>M66+K66</f>
        <v>7</v>
      </c>
      <c r="P66" s="1">
        <f>N66+H66</f>
        <v>16</v>
      </c>
    </row>
    <row r="67" spans="1:16" x14ac:dyDescent="0.25">
      <c r="L67" s="1" t="s">
        <v>71</v>
      </c>
    </row>
    <row r="68" spans="1:16" x14ac:dyDescent="0.25">
      <c r="L68" s="1">
        <v>61</v>
      </c>
      <c r="M68" s="1">
        <f>61-L68</f>
        <v>0</v>
      </c>
    </row>
    <row r="69" spans="1:16" x14ac:dyDescent="0.25">
      <c r="A69" s="2">
        <v>42941</v>
      </c>
      <c r="B69" s="1">
        <v>8635</v>
      </c>
      <c r="C69" s="1">
        <f>B69-8288</f>
        <v>347</v>
      </c>
      <c r="D69" s="1">
        <v>411</v>
      </c>
      <c r="E69" s="1">
        <f>D69-212</f>
        <v>199</v>
      </c>
      <c r="F69" s="1">
        <v>38</v>
      </c>
      <c r="G69" s="1">
        <f>F69-164</f>
        <v>-126</v>
      </c>
      <c r="H69" s="1">
        <f>G69+E69</f>
        <v>73</v>
      </c>
      <c r="J69" s="1">
        <v>239</v>
      </c>
      <c r="K69" s="1">
        <f>97-J69</f>
        <v>-142</v>
      </c>
      <c r="L69" s="1">
        <v>27</v>
      </c>
      <c r="M69" s="5">
        <f>61-L69</f>
        <v>34</v>
      </c>
      <c r="N69" s="1">
        <f>M69+K69</f>
        <v>-108</v>
      </c>
      <c r="P69" s="1">
        <f>N69+H69</f>
        <v>-35</v>
      </c>
    </row>
    <row r="70" spans="1:16" x14ac:dyDescent="0.25">
      <c r="A70" s="2">
        <v>42943</v>
      </c>
      <c r="B70" s="1">
        <v>8616</v>
      </c>
      <c r="C70" s="1">
        <f>B70-8288</f>
        <v>328</v>
      </c>
      <c r="D70" s="1">
        <v>389</v>
      </c>
      <c r="E70" s="1">
        <f>D70-212</f>
        <v>177</v>
      </c>
      <c r="F70" s="1">
        <v>37</v>
      </c>
      <c r="G70" s="1">
        <f>F70-164</f>
        <v>-127</v>
      </c>
      <c r="H70" s="1">
        <f>G70+E70</f>
        <v>50</v>
      </c>
      <c r="J70" s="1">
        <v>213</v>
      </c>
      <c r="K70" s="1">
        <f>97-J70</f>
        <v>-116</v>
      </c>
      <c r="L70" s="1">
        <v>26</v>
      </c>
      <c r="M70" s="5">
        <f>61-L70</f>
        <v>35</v>
      </c>
      <c r="N70" s="1">
        <f>M70+K70</f>
        <v>-81</v>
      </c>
      <c r="P70" s="3">
        <f>N70+H70</f>
        <v>-31</v>
      </c>
    </row>
    <row r="72" spans="1:16" x14ac:dyDescent="0.25">
      <c r="A72" s="1" t="s">
        <v>0</v>
      </c>
      <c r="B72" s="1" t="s">
        <v>1</v>
      </c>
      <c r="C72" s="1" t="s">
        <v>2</v>
      </c>
      <c r="D72" s="1" t="s">
        <v>73</v>
      </c>
      <c r="E72" s="1" t="s">
        <v>2</v>
      </c>
      <c r="F72" s="1" t="s">
        <v>74</v>
      </c>
      <c r="G72" s="1" t="s">
        <v>2</v>
      </c>
      <c r="H72" s="1" t="s">
        <v>5</v>
      </c>
      <c r="J72" s="1" t="s">
        <v>75</v>
      </c>
      <c r="K72" s="1" t="s">
        <v>2</v>
      </c>
      <c r="L72" s="1" t="s">
        <v>76</v>
      </c>
      <c r="M72" s="1" t="s">
        <v>2</v>
      </c>
      <c r="N72" s="1" t="s">
        <v>5</v>
      </c>
      <c r="P72" s="1" t="s">
        <v>9</v>
      </c>
    </row>
    <row r="73" spans="1:16" x14ac:dyDescent="0.25">
      <c r="A73" s="2">
        <v>42944</v>
      </c>
      <c r="B73" s="1">
        <v>8666</v>
      </c>
      <c r="C73" s="1">
        <f>B73-8666</f>
        <v>0</v>
      </c>
      <c r="D73" s="1">
        <v>218</v>
      </c>
      <c r="E73" s="1">
        <f>D73-218</f>
        <v>0</v>
      </c>
      <c r="F73" s="1">
        <v>174</v>
      </c>
      <c r="G73" s="1">
        <f>F73-174</f>
        <v>0</v>
      </c>
      <c r="H73" s="1">
        <f>G73+E73</f>
        <v>0</v>
      </c>
      <c r="J73" s="1">
        <v>87</v>
      </c>
      <c r="K73" s="1">
        <f>87-J73</f>
        <v>0</v>
      </c>
      <c r="L73" s="1">
        <v>78</v>
      </c>
      <c r="M73" s="1">
        <f>78-L73</f>
        <v>0</v>
      </c>
      <c r="N73" s="1">
        <f>M73+K73</f>
        <v>0</v>
      </c>
      <c r="P73" s="1">
        <f>N73+H73</f>
        <v>0</v>
      </c>
    </row>
    <row r="74" spans="1:16" x14ac:dyDescent="0.25">
      <c r="A74" s="2">
        <v>42971</v>
      </c>
      <c r="B74" s="1">
        <v>8651</v>
      </c>
      <c r="C74" s="1">
        <f>B74-8666</f>
        <v>-15</v>
      </c>
      <c r="D74" s="1">
        <v>133</v>
      </c>
      <c r="E74" s="1">
        <f>D74-218</f>
        <v>-85</v>
      </c>
      <c r="F74" s="1">
        <v>131</v>
      </c>
      <c r="G74" s="1">
        <f>F74-174</f>
        <v>-43</v>
      </c>
      <c r="H74" s="1">
        <f>G74+E74</f>
        <v>-128</v>
      </c>
      <c r="J74" s="1">
        <v>2</v>
      </c>
      <c r="K74" s="1">
        <f>87-J74</f>
        <v>85</v>
      </c>
      <c r="L74" s="1">
        <v>4</v>
      </c>
      <c r="M74" s="1">
        <f>78-L74</f>
        <v>74</v>
      </c>
      <c r="N74" s="1">
        <f>M74+K74</f>
        <v>159</v>
      </c>
      <c r="P74" s="3">
        <f>N74+H74</f>
        <v>31</v>
      </c>
    </row>
    <row r="76" spans="1:16" x14ac:dyDescent="0.25">
      <c r="A76" s="1" t="s">
        <v>0</v>
      </c>
      <c r="B76" s="1" t="s">
        <v>1</v>
      </c>
      <c r="C76" s="1" t="s">
        <v>2</v>
      </c>
      <c r="D76" s="1" t="s">
        <v>85</v>
      </c>
      <c r="E76" s="1" t="s">
        <v>2</v>
      </c>
      <c r="F76" s="1" t="s">
        <v>83</v>
      </c>
      <c r="G76" s="1" t="s">
        <v>2</v>
      </c>
      <c r="H76" s="1" t="s">
        <v>5</v>
      </c>
      <c r="J76" s="1" t="s">
        <v>73</v>
      </c>
      <c r="K76" s="1" t="s">
        <v>2</v>
      </c>
      <c r="L76" s="1" t="s">
        <v>89</v>
      </c>
      <c r="M76" s="1" t="s">
        <v>2</v>
      </c>
      <c r="N76" s="1" t="s">
        <v>5</v>
      </c>
      <c r="P76" s="1" t="s">
        <v>9</v>
      </c>
    </row>
    <row r="77" spans="1:16" x14ac:dyDescent="0.25">
      <c r="A77" s="2">
        <v>42972</v>
      </c>
      <c r="B77" s="1">
        <v>8592</v>
      </c>
      <c r="C77" s="1">
        <f>B77-8592</f>
        <v>0</v>
      </c>
      <c r="D77" s="1">
        <v>221</v>
      </c>
      <c r="E77" s="1">
        <f>D77-221</f>
        <v>0</v>
      </c>
      <c r="F77" s="1">
        <v>135</v>
      </c>
      <c r="G77" s="1">
        <f>F77-135</f>
        <v>0</v>
      </c>
      <c r="H77" s="1">
        <f>G77+E77</f>
        <v>0</v>
      </c>
      <c r="J77" s="1">
        <v>125</v>
      </c>
      <c r="K77" s="1">
        <f>125-J77</f>
        <v>0</v>
      </c>
      <c r="L77" s="1">
        <v>74</v>
      </c>
      <c r="M77" s="1">
        <f>74-L77</f>
        <v>0</v>
      </c>
      <c r="N77" s="1">
        <f>M77+K77</f>
        <v>0</v>
      </c>
      <c r="P77" s="1">
        <f>N77+H77</f>
        <v>0</v>
      </c>
    </row>
    <row r="78" spans="1:16" x14ac:dyDescent="0.25">
      <c r="A78" s="2">
        <v>42978</v>
      </c>
      <c r="B78" s="1">
        <v>8786</v>
      </c>
      <c r="C78" s="1">
        <f>B78-8592</f>
        <v>194</v>
      </c>
      <c r="D78" s="1">
        <v>344</v>
      </c>
      <c r="E78" s="1">
        <f>D78-221</f>
        <v>123</v>
      </c>
      <c r="F78" s="1">
        <v>78</v>
      </c>
      <c r="G78" s="1">
        <f>F78-135</f>
        <v>-57</v>
      </c>
      <c r="H78" s="1">
        <f>G78+E78</f>
        <v>66</v>
      </c>
      <c r="J78" s="1">
        <v>235</v>
      </c>
      <c r="K78" s="1">
        <f>125-J78</f>
        <v>-110</v>
      </c>
      <c r="L78" s="1">
        <v>31</v>
      </c>
      <c r="M78" s="3">
        <f>74-L78</f>
        <v>43</v>
      </c>
      <c r="N78" s="1">
        <f>M78+K78</f>
        <v>-67</v>
      </c>
      <c r="P78" s="1">
        <f>N78+H78</f>
        <v>-1</v>
      </c>
    </row>
    <row r="79" spans="1:16" x14ac:dyDescent="0.25">
      <c r="L79" s="1" t="s">
        <v>86</v>
      </c>
    </row>
    <row r="80" spans="1:16" x14ac:dyDescent="0.25">
      <c r="L80" s="1">
        <v>58</v>
      </c>
      <c r="M80" s="1">
        <f>58-L80</f>
        <v>0</v>
      </c>
    </row>
    <row r="81" spans="1:16" x14ac:dyDescent="0.25">
      <c r="A81" s="2">
        <v>42984</v>
      </c>
      <c r="B81" s="1">
        <v>8943</v>
      </c>
      <c r="C81" s="1">
        <f>B81-8592</f>
        <v>351</v>
      </c>
      <c r="D81" s="1">
        <v>440</v>
      </c>
      <c r="E81" s="1">
        <f>D81-221</f>
        <v>219</v>
      </c>
      <c r="F81" s="1">
        <v>45</v>
      </c>
      <c r="G81" s="1">
        <f>F81-135</f>
        <v>-90</v>
      </c>
      <c r="H81" s="1">
        <f>G81+E81</f>
        <v>129</v>
      </c>
      <c r="J81" s="1">
        <v>329</v>
      </c>
      <c r="K81" s="1">
        <f>125-J81</f>
        <v>-204</v>
      </c>
      <c r="L81" s="1">
        <v>34</v>
      </c>
      <c r="M81" s="3">
        <f>58-L81</f>
        <v>24</v>
      </c>
      <c r="N81" s="1">
        <f>M81+K81</f>
        <v>-180</v>
      </c>
      <c r="P81" s="1">
        <f>N81+H81</f>
        <v>-51</v>
      </c>
    </row>
    <row r="82" spans="1:16" x14ac:dyDescent="0.25">
      <c r="L82" s="1" t="s">
        <v>74</v>
      </c>
    </row>
    <row r="83" spans="1:16" x14ac:dyDescent="0.25">
      <c r="L83" s="1">
        <v>62</v>
      </c>
      <c r="M83" s="1">
        <f>62-L83</f>
        <v>0</v>
      </c>
    </row>
    <row r="84" spans="1:16" x14ac:dyDescent="0.25">
      <c r="A84" s="2">
        <v>42990</v>
      </c>
      <c r="B84" s="1">
        <v>8715</v>
      </c>
      <c r="C84" s="1">
        <f>B84-8592</f>
        <v>123</v>
      </c>
      <c r="D84" s="1">
        <v>279</v>
      </c>
      <c r="E84" s="1">
        <f>D84-221</f>
        <v>58</v>
      </c>
      <c r="F84" s="1">
        <v>103</v>
      </c>
      <c r="G84" s="1">
        <f>F84-135</f>
        <v>-32</v>
      </c>
      <c r="H84" s="1">
        <f>G84+E84</f>
        <v>26</v>
      </c>
      <c r="J84" s="1">
        <v>160</v>
      </c>
      <c r="K84" s="1">
        <f>125-J84</f>
        <v>-35</v>
      </c>
      <c r="L84" s="1">
        <v>135</v>
      </c>
      <c r="M84" s="1">
        <f>62-L84</f>
        <v>-73</v>
      </c>
      <c r="N84" s="1">
        <f>M84+K84</f>
        <v>-108</v>
      </c>
      <c r="P84" s="1">
        <f>N84+H84</f>
        <v>-82</v>
      </c>
    </row>
    <row r="85" spans="1:16" x14ac:dyDescent="0.25">
      <c r="A85" s="2">
        <v>43006</v>
      </c>
      <c r="B85" s="1">
        <v>8745</v>
      </c>
      <c r="C85" s="1">
        <f>B85-8592</f>
        <v>153</v>
      </c>
      <c r="D85" s="1">
        <v>256</v>
      </c>
      <c r="E85" s="1">
        <f>D85-221</f>
        <v>35</v>
      </c>
      <c r="F85" s="1">
        <v>57</v>
      </c>
      <c r="G85" s="1">
        <f>F85-135</f>
        <v>-78</v>
      </c>
      <c r="H85" s="1">
        <f>G85+E85</f>
        <v>-43</v>
      </c>
      <c r="J85" s="1">
        <v>108</v>
      </c>
      <c r="K85" s="1">
        <f>125-J85</f>
        <v>17</v>
      </c>
      <c r="L85" s="1">
        <v>85</v>
      </c>
      <c r="M85" s="1">
        <f>62-L85</f>
        <v>-23</v>
      </c>
      <c r="N85" s="1">
        <f>M85+K85</f>
        <v>-6</v>
      </c>
      <c r="P85" s="3">
        <f>N85+H85</f>
        <v>-49</v>
      </c>
    </row>
    <row r="87" spans="1:16" x14ac:dyDescent="0.25">
      <c r="A87" s="1" t="s">
        <v>0</v>
      </c>
      <c r="B87" s="1" t="s">
        <v>1</v>
      </c>
      <c r="C87" s="1" t="s">
        <v>2</v>
      </c>
      <c r="D87" s="1" t="s">
        <v>85</v>
      </c>
      <c r="E87" s="1" t="s">
        <v>2</v>
      </c>
      <c r="F87" s="1" t="s">
        <v>83</v>
      </c>
      <c r="G87" s="1" t="s">
        <v>2</v>
      </c>
      <c r="H87" s="1" t="s">
        <v>5</v>
      </c>
      <c r="J87" s="1" t="s">
        <v>80</v>
      </c>
      <c r="K87" s="1" t="s">
        <v>2</v>
      </c>
      <c r="L87" s="1" t="s">
        <v>86</v>
      </c>
      <c r="M87" s="1" t="s">
        <v>2</v>
      </c>
      <c r="N87" s="1" t="s">
        <v>5</v>
      </c>
      <c r="P87" s="1" t="s">
        <v>9</v>
      </c>
    </row>
    <row r="88" spans="1:16" x14ac:dyDescent="0.25">
      <c r="A88" s="2">
        <v>43007</v>
      </c>
      <c r="B88" s="1">
        <v>8591</v>
      </c>
      <c r="C88" s="1">
        <f>B88-8591</f>
        <v>0</v>
      </c>
      <c r="D88" s="1">
        <v>255</v>
      </c>
      <c r="E88" s="1">
        <f>D88-255</f>
        <v>0</v>
      </c>
      <c r="F88" s="1">
        <v>180</v>
      </c>
      <c r="G88" s="1">
        <f>F88-180</f>
        <v>0</v>
      </c>
      <c r="H88" s="1">
        <f>G88+E88</f>
        <v>0</v>
      </c>
      <c r="J88" s="1">
        <v>151</v>
      </c>
      <c r="K88" s="1">
        <f>151-J88</f>
        <v>0</v>
      </c>
      <c r="L88" s="1">
        <v>114</v>
      </c>
      <c r="M88" s="1">
        <f>114-L88</f>
        <v>0</v>
      </c>
      <c r="N88" s="1">
        <f>M88+K88</f>
        <v>0</v>
      </c>
      <c r="P88" s="1">
        <f>N88+H88</f>
        <v>0</v>
      </c>
    </row>
    <row r="89" spans="1:16" x14ac:dyDescent="0.25">
      <c r="A89" s="2">
        <v>43012</v>
      </c>
      <c r="B89" s="1">
        <v>8769</v>
      </c>
      <c r="C89" s="1">
        <f>B89-8591</f>
        <v>178</v>
      </c>
      <c r="D89" s="1">
        <v>344</v>
      </c>
      <c r="E89" s="1">
        <f>D89-255</f>
        <v>89</v>
      </c>
      <c r="F89" s="1">
        <v>107</v>
      </c>
      <c r="G89" s="1">
        <f>F89-180</f>
        <v>-73</v>
      </c>
      <c r="H89" s="1">
        <f>G89+E89</f>
        <v>16</v>
      </c>
      <c r="J89" s="1">
        <v>217</v>
      </c>
      <c r="K89" s="1">
        <f>151-J89</f>
        <v>-66</v>
      </c>
      <c r="L89" s="1">
        <v>39</v>
      </c>
      <c r="M89" s="3">
        <f>114-L89</f>
        <v>75</v>
      </c>
      <c r="N89" s="1">
        <f>M89+K89</f>
        <v>9</v>
      </c>
      <c r="P89" s="1">
        <f>N89+H89</f>
        <v>25</v>
      </c>
    </row>
    <row r="90" spans="1:16" x14ac:dyDescent="0.25">
      <c r="L90" s="1" t="s">
        <v>86</v>
      </c>
    </row>
    <row r="91" spans="1:16" x14ac:dyDescent="0.25">
      <c r="L91" s="1">
        <v>83</v>
      </c>
      <c r="M91" s="1">
        <f>83-L91</f>
        <v>0</v>
      </c>
    </row>
    <row r="92" spans="1:16" x14ac:dyDescent="0.25">
      <c r="A92" s="2">
        <v>43034</v>
      </c>
      <c r="B92" s="1">
        <v>8615</v>
      </c>
      <c r="C92" s="1">
        <f>B92-8591</f>
        <v>24</v>
      </c>
      <c r="D92" s="1">
        <v>162</v>
      </c>
      <c r="E92" s="1">
        <f>D92-255</f>
        <v>-93</v>
      </c>
      <c r="F92" s="1">
        <v>106</v>
      </c>
      <c r="G92" s="1">
        <f>F92-180</f>
        <v>-74</v>
      </c>
      <c r="H92" s="1">
        <f>G92+E92</f>
        <v>-167</v>
      </c>
      <c r="J92" s="1">
        <v>15</v>
      </c>
      <c r="K92" s="1">
        <f>151-J92</f>
        <v>136</v>
      </c>
      <c r="L92" s="1">
        <v>74</v>
      </c>
      <c r="M92" s="1">
        <f>83-L92</f>
        <v>9</v>
      </c>
      <c r="N92" s="1">
        <f>M92+K92</f>
        <v>145</v>
      </c>
      <c r="P92" s="3">
        <f>N92+H92</f>
        <v>-22</v>
      </c>
    </row>
    <row r="94" spans="1:16" x14ac:dyDescent="0.25">
      <c r="A94" s="1" t="s">
        <v>0</v>
      </c>
      <c r="B94" s="1" t="s">
        <v>1</v>
      </c>
      <c r="C94" s="1" t="s">
        <v>2</v>
      </c>
      <c r="D94" s="1" t="s">
        <v>85</v>
      </c>
      <c r="E94" s="1" t="s">
        <v>2</v>
      </c>
      <c r="F94" s="1" t="s">
        <v>83</v>
      </c>
      <c r="G94" s="1" t="s">
        <v>2</v>
      </c>
      <c r="H94" s="1" t="s">
        <v>5</v>
      </c>
      <c r="J94" s="1" t="s">
        <v>82</v>
      </c>
      <c r="K94" s="1" t="s">
        <v>2</v>
      </c>
      <c r="L94" s="1" t="s">
        <v>86</v>
      </c>
      <c r="M94" s="1" t="s">
        <v>2</v>
      </c>
      <c r="N94" s="1" t="s">
        <v>5</v>
      </c>
      <c r="P94" s="1" t="s">
        <v>9</v>
      </c>
    </row>
    <row r="95" spans="1:16" x14ac:dyDescent="0.25">
      <c r="A95" s="2">
        <v>43035</v>
      </c>
      <c r="B95" s="1">
        <v>8615</v>
      </c>
      <c r="C95" s="1">
        <f>B95-8615</f>
        <v>0</v>
      </c>
      <c r="D95" s="1">
        <v>248</v>
      </c>
      <c r="E95" s="1">
        <f>D95-248</f>
        <v>0</v>
      </c>
      <c r="F95" s="1">
        <v>139</v>
      </c>
      <c r="G95" s="1">
        <f>F95-139</f>
        <v>0</v>
      </c>
      <c r="H95" s="1">
        <f>G95+E95</f>
        <v>0</v>
      </c>
      <c r="J95" s="1">
        <v>78</v>
      </c>
      <c r="K95" s="1">
        <f>78-J95</f>
        <v>0</v>
      </c>
      <c r="L95" s="1">
        <v>70</v>
      </c>
      <c r="M95" s="1">
        <f>70-L95</f>
        <v>0</v>
      </c>
      <c r="N95" s="1">
        <f>M95+K95</f>
        <v>0</v>
      </c>
      <c r="P95" s="1">
        <f>N95+H95</f>
        <v>0</v>
      </c>
    </row>
    <row r="96" spans="1:16" x14ac:dyDescent="0.25">
      <c r="A96" s="2">
        <v>43043</v>
      </c>
      <c r="B96" s="1">
        <v>8433</v>
      </c>
      <c r="C96" s="1">
        <f>B96-8615</f>
        <v>-182</v>
      </c>
      <c r="D96" s="1">
        <v>139</v>
      </c>
      <c r="E96" s="1">
        <f>D96-248</f>
        <v>-109</v>
      </c>
      <c r="F96" s="1">
        <v>225</v>
      </c>
      <c r="G96" s="1">
        <f>F96-139</f>
        <v>86</v>
      </c>
      <c r="H96" s="1">
        <f>G96+E96</f>
        <v>-23</v>
      </c>
      <c r="J96" s="1">
        <v>26</v>
      </c>
      <c r="K96" s="3">
        <f>78-J96</f>
        <v>52</v>
      </c>
      <c r="L96" s="1">
        <v>147</v>
      </c>
      <c r="M96" s="1">
        <f>70-L96</f>
        <v>-77</v>
      </c>
      <c r="N96" s="1">
        <f>M96+K96</f>
        <v>-25</v>
      </c>
      <c r="P96" s="1">
        <f>N96+H96</f>
        <v>-48</v>
      </c>
    </row>
    <row r="97" spans="1:16" x14ac:dyDescent="0.25">
      <c r="J97" s="1" t="s">
        <v>73</v>
      </c>
    </row>
    <row r="98" spans="1:16" x14ac:dyDescent="0.25">
      <c r="J98" s="1">
        <v>96</v>
      </c>
      <c r="K98" s="1">
        <f>96-J98</f>
        <v>0</v>
      </c>
    </row>
    <row r="99" spans="1:16" x14ac:dyDescent="0.25">
      <c r="A99" s="2">
        <v>43054</v>
      </c>
      <c r="B99" s="1">
        <v>8108</v>
      </c>
      <c r="C99" s="1">
        <f>B99-8615</f>
        <v>-507</v>
      </c>
      <c r="D99" s="1">
        <v>42</v>
      </c>
      <c r="E99" s="1">
        <f>D99-248</f>
        <v>-206</v>
      </c>
      <c r="F99" s="1">
        <v>435</v>
      </c>
      <c r="G99" s="1">
        <f>F99-139</f>
        <v>296</v>
      </c>
      <c r="H99" s="1">
        <f>G99+E99</f>
        <v>90</v>
      </c>
      <c r="J99" s="1">
        <v>28</v>
      </c>
      <c r="K99" s="3">
        <f>96-J99</f>
        <v>68</v>
      </c>
      <c r="L99" s="1">
        <v>367</v>
      </c>
      <c r="M99" s="1">
        <f>70-L99</f>
        <v>-297</v>
      </c>
      <c r="N99" s="1">
        <f>M99+K99</f>
        <v>-229</v>
      </c>
      <c r="P99" s="1">
        <f>N99+H99</f>
        <v>-139</v>
      </c>
    </row>
    <row r="100" spans="1:16" x14ac:dyDescent="0.25">
      <c r="J100" s="1" t="s">
        <v>69</v>
      </c>
    </row>
    <row r="101" spans="1:16" x14ac:dyDescent="0.25">
      <c r="J101" s="1">
        <v>94</v>
      </c>
      <c r="K101" s="1">
        <f>94-J101</f>
        <v>0</v>
      </c>
    </row>
    <row r="102" spans="1:16" x14ac:dyDescent="0.25">
      <c r="A102" s="2">
        <v>43060</v>
      </c>
      <c r="B102" s="1">
        <v>7929</v>
      </c>
      <c r="C102" s="1">
        <f>B102-8615</f>
        <v>-686</v>
      </c>
      <c r="D102" s="1">
        <v>11</v>
      </c>
      <c r="E102" s="1">
        <f>D102-248</f>
        <v>-237</v>
      </c>
      <c r="F102" s="1">
        <v>621</v>
      </c>
      <c r="G102" s="1">
        <f>F102-139</f>
        <v>482</v>
      </c>
      <c r="H102" s="1">
        <f>G102+E102</f>
        <v>245</v>
      </c>
      <c r="J102" s="1">
        <v>29</v>
      </c>
      <c r="K102" s="3">
        <f>94-J102</f>
        <v>65</v>
      </c>
      <c r="L102" s="1">
        <v>562</v>
      </c>
      <c r="M102" s="1">
        <f>70-L102</f>
        <v>-492</v>
      </c>
      <c r="N102" s="1">
        <f>M102+K102</f>
        <v>-427</v>
      </c>
      <c r="P102" s="1">
        <f>N102+H102</f>
        <v>-182</v>
      </c>
    </row>
    <row r="103" spans="1:16" x14ac:dyDescent="0.25">
      <c r="J103" s="1" t="s">
        <v>65</v>
      </c>
    </row>
    <row r="104" spans="1:16" x14ac:dyDescent="0.25">
      <c r="J104" s="1">
        <v>74</v>
      </c>
      <c r="K104" s="1">
        <f>74-J104</f>
        <v>0</v>
      </c>
    </row>
    <row r="105" spans="1:16" x14ac:dyDescent="0.25">
      <c r="A105" s="2">
        <v>43062</v>
      </c>
      <c r="B105" s="1">
        <v>8033</v>
      </c>
      <c r="C105" s="1">
        <f>B105-8615</f>
        <v>-582</v>
      </c>
      <c r="D105" s="1">
        <v>11</v>
      </c>
      <c r="E105" s="1">
        <f>D105-248</f>
        <v>-237</v>
      </c>
      <c r="F105" s="1">
        <v>535</v>
      </c>
      <c r="G105" s="1">
        <f>F105-139</f>
        <v>396</v>
      </c>
      <c r="H105" s="1">
        <f>G105+E105</f>
        <v>159</v>
      </c>
      <c r="J105" s="1">
        <v>94</v>
      </c>
      <c r="K105" s="1">
        <f>74-J105</f>
        <v>-20</v>
      </c>
      <c r="L105" s="1">
        <v>468</v>
      </c>
      <c r="M105" s="1">
        <f>70-L105</f>
        <v>-398</v>
      </c>
      <c r="N105" s="1">
        <f>M105+K105</f>
        <v>-418</v>
      </c>
      <c r="P105" s="3">
        <f>N105+H105</f>
        <v>-259</v>
      </c>
    </row>
    <row r="107" spans="1:16" x14ac:dyDescent="0.25">
      <c r="A107" s="1" t="s">
        <v>0</v>
      </c>
      <c r="B107" s="1" t="s">
        <v>1</v>
      </c>
      <c r="C107" s="1" t="s">
        <v>2</v>
      </c>
      <c r="D107" s="1" t="s">
        <v>3</v>
      </c>
      <c r="E107" s="1" t="s">
        <v>2</v>
      </c>
      <c r="F107" s="1" t="s">
        <v>4</v>
      </c>
      <c r="G107" s="1" t="s">
        <v>2</v>
      </c>
      <c r="H107" s="1" t="s">
        <v>5</v>
      </c>
      <c r="J107" s="1" t="s">
        <v>6</v>
      </c>
      <c r="K107" s="1" t="s">
        <v>2</v>
      </c>
      <c r="L107" s="1" t="s">
        <v>7</v>
      </c>
      <c r="M107" s="1" t="s">
        <v>2</v>
      </c>
      <c r="N107" s="1" t="s">
        <v>5</v>
      </c>
      <c r="P107" s="1" t="s">
        <v>9</v>
      </c>
    </row>
    <row r="108" spans="1:16" x14ac:dyDescent="0.25">
      <c r="A108" s="2">
        <v>43063</v>
      </c>
      <c r="B108" s="1">
        <v>7965</v>
      </c>
      <c r="C108" s="1">
        <f>B108-7965</f>
        <v>0</v>
      </c>
      <c r="D108" s="1">
        <v>228</v>
      </c>
      <c r="E108" s="1">
        <f>D108-228</f>
        <v>0</v>
      </c>
      <c r="F108" s="1">
        <v>185</v>
      </c>
      <c r="G108" s="1">
        <f>F108-185</f>
        <v>0</v>
      </c>
      <c r="H108" s="1">
        <f>G108+E108</f>
        <v>0</v>
      </c>
      <c r="J108" s="1">
        <v>109</v>
      </c>
      <c r="K108" s="1">
        <f>109-J108</f>
        <v>0</v>
      </c>
      <c r="L108" s="1">
        <v>82</v>
      </c>
      <c r="M108" s="1">
        <f>82-L108</f>
        <v>0</v>
      </c>
      <c r="N108" s="1">
        <f>M108+K108</f>
        <v>0</v>
      </c>
      <c r="P108" s="1">
        <f>N108+H108</f>
        <v>0</v>
      </c>
    </row>
    <row r="109" spans="1:16" x14ac:dyDescent="0.25">
      <c r="A109" s="2">
        <v>43068</v>
      </c>
      <c r="B109" s="1">
        <v>8142</v>
      </c>
      <c r="C109" s="1">
        <f>B109-7965</f>
        <v>177</v>
      </c>
      <c r="D109" s="1">
        <v>318</v>
      </c>
      <c r="E109" s="1">
        <f>D109-228</f>
        <v>90</v>
      </c>
      <c r="F109" s="1">
        <v>119</v>
      </c>
      <c r="G109" s="1">
        <f>F109-185</f>
        <v>-66</v>
      </c>
      <c r="H109" s="1">
        <f>G109+E109</f>
        <v>24</v>
      </c>
      <c r="J109" s="1">
        <v>181</v>
      </c>
      <c r="K109" s="1">
        <f>109-J109</f>
        <v>-72</v>
      </c>
      <c r="L109" s="1">
        <v>47</v>
      </c>
      <c r="M109" s="3">
        <f>82-L109</f>
        <v>35</v>
      </c>
      <c r="N109" s="1">
        <f>M109+K109</f>
        <v>-37</v>
      </c>
      <c r="P109" s="1">
        <f>N109+H109</f>
        <v>-13</v>
      </c>
    </row>
    <row r="110" spans="1:16" x14ac:dyDescent="0.25">
      <c r="L110" s="1" t="s">
        <v>20</v>
      </c>
    </row>
    <row r="111" spans="1:16" x14ac:dyDescent="0.25">
      <c r="L111" s="1">
        <v>94</v>
      </c>
      <c r="M111" s="1">
        <f>94-L111</f>
        <v>0</v>
      </c>
    </row>
    <row r="112" spans="1:16" x14ac:dyDescent="0.25">
      <c r="A112" s="2">
        <v>43091</v>
      </c>
      <c r="B112" s="1">
        <v>7979</v>
      </c>
      <c r="C112" s="1">
        <f>B112-7965</f>
        <v>14</v>
      </c>
      <c r="D112" s="1">
        <v>154</v>
      </c>
      <c r="E112" s="1">
        <f>D112-228</f>
        <v>-74</v>
      </c>
      <c r="F112" s="1">
        <v>125</v>
      </c>
      <c r="G112" s="1">
        <f>F112-185</f>
        <v>-60</v>
      </c>
      <c r="H112" s="1">
        <f>G112+E112</f>
        <v>-134</v>
      </c>
      <c r="J112" s="1">
        <v>14</v>
      </c>
      <c r="K112" s="1">
        <f>109-J112</f>
        <v>95</v>
      </c>
      <c r="L112" s="1">
        <v>94</v>
      </c>
      <c r="M112" s="1">
        <f>94-L112</f>
        <v>0</v>
      </c>
      <c r="N112" s="1">
        <f>M112+K112</f>
        <v>95</v>
      </c>
      <c r="P112" s="1">
        <f>N112+H112</f>
        <v>-39</v>
      </c>
    </row>
    <row r="113" spans="1:16" x14ac:dyDescent="0.25">
      <c r="A113" s="2">
        <v>43097</v>
      </c>
      <c r="B113" s="1">
        <v>8035</v>
      </c>
      <c r="C113" s="1">
        <f>B113-7965</f>
        <v>70</v>
      </c>
      <c r="D113" s="1">
        <v>155</v>
      </c>
      <c r="E113" s="1">
        <f>D113-228</f>
        <v>-73</v>
      </c>
      <c r="F113" s="1">
        <v>103</v>
      </c>
      <c r="G113" s="1">
        <f>F113-185</f>
        <v>-82</v>
      </c>
      <c r="H113" s="1">
        <f>G113+E113</f>
        <v>-155</v>
      </c>
      <c r="J113" s="1">
        <v>5</v>
      </c>
      <c r="K113" s="1">
        <f>109-J113</f>
        <v>104</v>
      </c>
      <c r="L113" s="1">
        <v>72</v>
      </c>
      <c r="M113" s="1">
        <f>94-L113</f>
        <v>22</v>
      </c>
      <c r="N113" s="1">
        <f>M113+K113</f>
        <v>126</v>
      </c>
      <c r="P113" s="3">
        <f>N113+H113</f>
        <v>-29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I1" sqref="I1:I10"/>
    </sheetView>
  </sheetViews>
  <sheetFormatPr defaultRowHeight="15" x14ac:dyDescent="0.25"/>
  <cols>
    <col min="1" max="16384" width="9.140625" style="4"/>
  </cols>
  <sheetData>
    <row r="1" spans="1:16" x14ac:dyDescent="0.25">
      <c r="A1" s="4" t="s">
        <v>13</v>
      </c>
      <c r="B1" s="4">
        <v>20</v>
      </c>
      <c r="C1" s="4" t="s">
        <v>14</v>
      </c>
      <c r="H1" s="4">
        <f>B1*675</f>
        <v>13500</v>
      </c>
      <c r="I1" s="4">
        <v>-11235</v>
      </c>
      <c r="J1" s="4">
        <v>-6415</v>
      </c>
      <c r="L1" s="4">
        <v>70</v>
      </c>
      <c r="M1" s="4">
        <f>L1*675</f>
        <v>47250</v>
      </c>
      <c r="O1" s="4">
        <v>-6415</v>
      </c>
      <c r="P1" s="4">
        <v>-11235</v>
      </c>
    </row>
    <row r="2" spans="1:16" x14ac:dyDescent="0.25">
      <c r="A2" s="4" t="s">
        <v>30</v>
      </c>
      <c r="B2" s="4">
        <v>-35</v>
      </c>
      <c r="H2" s="4">
        <f>B2*675</f>
        <v>-23625</v>
      </c>
      <c r="I2" s="4">
        <v>52920</v>
      </c>
      <c r="J2" s="4">
        <v>52920</v>
      </c>
      <c r="L2" s="4">
        <v>-35</v>
      </c>
      <c r="M2" s="4">
        <f t="shared" ref="M2:M12" si="0">L2*675</f>
        <v>-23625</v>
      </c>
      <c r="O2" s="4">
        <v>52920</v>
      </c>
    </row>
    <row r="3" spans="1:16" x14ac:dyDescent="0.25">
      <c r="A3" s="4" t="s">
        <v>36</v>
      </c>
      <c r="B3" s="4">
        <v>40</v>
      </c>
      <c r="H3" s="4">
        <f>B3*675</f>
        <v>27000</v>
      </c>
      <c r="I3" s="4">
        <v>62100</v>
      </c>
      <c r="J3" s="4">
        <v>62100</v>
      </c>
      <c r="L3" s="4">
        <v>40</v>
      </c>
      <c r="M3" s="4">
        <f t="shared" si="0"/>
        <v>27000</v>
      </c>
      <c r="O3" s="4">
        <v>62100</v>
      </c>
    </row>
    <row r="4" spans="1:16" x14ac:dyDescent="0.25">
      <c r="A4" s="4" t="s">
        <v>38</v>
      </c>
      <c r="B4" s="4">
        <v>-15</v>
      </c>
      <c r="H4" s="4">
        <f>B4*675</f>
        <v>-10125</v>
      </c>
      <c r="I4" s="4">
        <v>24300</v>
      </c>
      <c r="J4" s="4">
        <v>24300</v>
      </c>
      <c r="L4" s="4">
        <v>-15</v>
      </c>
      <c r="M4" s="4">
        <f t="shared" si="0"/>
        <v>-10125</v>
      </c>
      <c r="O4" s="4">
        <v>24300</v>
      </c>
    </row>
    <row r="5" spans="1:16" x14ac:dyDescent="0.25">
      <c r="A5" s="4" t="s">
        <v>62</v>
      </c>
      <c r="B5" s="4">
        <v>27</v>
      </c>
      <c r="H5" s="4">
        <f>B5*675</f>
        <v>18225</v>
      </c>
      <c r="I5" s="4">
        <v>5550</v>
      </c>
      <c r="J5" s="4">
        <v>10350</v>
      </c>
      <c r="L5" s="4">
        <v>27</v>
      </c>
      <c r="M5" s="4">
        <f t="shared" si="0"/>
        <v>18225</v>
      </c>
      <c r="O5" s="4">
        <v>10350</v>
      </c>
    </row>
    <row r="6" spans="1:16" x14ac:dyDescent="0.25">
      <c r="A6" s="4" t="s">
        <v>63</v>
      </c>
      <c r="B6" s="4">
        <v>65</v>
      </c>
      <c r="H6" s="4">
        <f>B6*675</f>
        <v>43875</v>
      </c>
      <c r="I6" s="4">
        <v>-5505</v>
      </c>
      <c r="J6" s="4">
        <v>-5505</v>
      </c>
      <c r="L6" s="4">
        <v>65</v>
      </c>
      <c r="M6" s="4">
        <f t="shared" si="0"/>
        <v>43875</v>
      </c>
      <c r="O6" s="4">
        <v>-5505</v>
      </c>
    </row>
    <row r="7" spans="1:16" x14ac:dyDescent="0.25">
      <c r="A7" s="4" t="s">
        <v>72</v>
      </c>
      <c r="B7" s="4">
        <v>27</v>
      </c>
      <c r="H7" s="4">
        <f>B7*675</f>
        <v>18225</v>
      </c>
      <c r="I7" s="4">
        <v>15360</v>
      </c>
      <c r="J7" s="4">
        <v>15360</v>
      </c>
      <c r="L7" s="4">
        <v>27</v>
      </c>
      <c r="M7" s="4">
        <f t="shared" si="0"/>
        <v>18225</v>
      </c>
      <c r="O7" s="4">
        <v>15360</v>
      </c>
    </row>
    <row r="8" spans="1:16" x14ac:dyDescent="0.25">
      <c r="A8" s="4" t="s">
        <v>77</v>
      </c>
      <c r="B8" s="4">
        <v>31</v>
      </c>
      <c r="H8" s="4">
        <f>B8*675</f>
        <v>20925</v>
      </c>
      <c r="I8" s="4">
        <v>-5025</v>
      </c>
      <c r="J8" s="4">
        <v>-5025</v>
      </c>
      <c r="L8" s="4">
        <v>31</v>
      </c>
      <c r="M8" s="4">
        <f t="shared" si="0"/>
        <v>20925</v>
      </c>
      <c r="O8" s="4">
        <v>-5025</v>
      </c>
    </row>
    <row r="9" spans="1:16" x14ac:dyDescent="0.25">
      <c r="A9" s="4" t="s">
        <v>87</v>
      </c>
      <c r="B9" s="4">
        <v>18</v>
      </c>
      <c r="H9" s="4">
        <f>B9*675</f>
        <v>12150</v>
      </c>
      <c r="I9" s="4">
        <v>-5580</v>
      </c>
      <c r="J9" s="4">
        <v>-5580</v>
      </c>
      <c r="L9" s="4">
        <v>18</v>
      </c>
      <c r="M9" s="4">
        <f t="shared" si="0"/>
        <v>12150</v>
      </c>
      <c r="O9" s="4">
        <v>-5580</v>
      </c>
    </row>
    <row r="10" spans="1:16" x14ac:dyDescent="0.25">
      <c r="A10" s="4" t="s">
        <v>88</v>
      </c>
      <c r="B10" s="4">
        <v>53</v>
      </c>
      <c r="H10" s="4">
        <f>B10*675</f>
        <v>35775</v>
      </c>
      <c r="I10" s="4">
        <v>16995</v>
      </c>
      <c r="J10" s="4">
        <v>16995</v>
      </c>
      <c r="L10" s="4">
        <v>53</v>
      </c>
      <c r="M10" s="4">
        <f t="shared" si="0"/>
        <v>35775</v>
      </c>
      <c r="O10" s="4">
        <v>16995</v>
      </c>
    </row>
    <row r="11" spans="1:16" x14ac:dyDescent="0.25">
      <c r="A11" s="4" t="s">
        <v>90</v>
      </c>
      <c r="B11" s="4">
        <v>-74</v>
      </c>
      <c r="H11" s="4">
        <f>B11*675</f>
        <v>-49950</v>
      </c>
      <c r="L11" s="4">
        <v>-35</v>
      </c>
      <c r="M11" s="4">
        <f t="shared" si="0"/>
        <v>-23625</v>
      </c>
    </row>
    <row r="12" spans="1:16" x14ac:dyDescent="0.25">
      <c r="A12" s="4" t="s">
        <v>91</v>
      </c>
      <c r="B12" s="4">
        <v>6</v>
      </c>
      <c r="H12" s="4">
        <f>B12*675</f>
        <v>4050</v>
      </c>
      <c r="L12" s="4">
        <v>6</v>
      </c>
      <c r="M12" s="4">
        <f t="shared" si="0"/>
        <v>4050</v>
      </c>
    </row>
    <row r="18" spans="8:13" x14ac:dyDescent="0.25">
      <c r="H18" s="4">
        <f>SUM(H1:H17)</f>
        <v>110025</v>
      </c>
      <c r="I18" s="4">
        <f>SUM(I1:I17)</f>
        <v>149880</v>
      </c>
      <c r="J18" s="4">
        <f>SUM(J1:J17)</f>
        <v>159500</v>
      </c>
      <c r="M18" s="4">
        <f>SUM(M1:M17)</f>
        <v>170100</v>
      </c>
    </row>
    <row r="19" spans="8:13" x14ac:dyDescent="0.25">
      <c r="H19" s="4">
        <f>AVERAGE(H1:H17)</f>
        <v>9168.75</v>
      </c>
      <c r="I19" s="4">
        <f>AVERAGE(I1:I17)</f>
        <v>14988</v>
      </c>
      <c r="J19" s="4">
        <f>AVERAGE(J1:J17)</f>
        <v>15950</v>
      </c>
      <c r="M19" s="4">
        <f>AVERAGE(M1:M17)</f>
        <v>14175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Y7" sqref="Y7"/>
    </sheetView>
  </sheetViews>
  <sheetFormatPr defaultRowHeight="15" x14ac:dyDescent="0.25"/>
  <cols>
    <col min="1" max="1" width="7.42578125" style="1" bestFit="1" customWidth="1"/>
    <col min="2" max="2" width="5" style="1" bestFit="1" customWidth="1"/>
    <col min="3" max="3" width="4.7109375" style="1" bestFit="1" customWidth="1"/>
    <col min="4" max="4" width="5.5703125" style="1" bestFit="1" customWidth="1"/>
    <col min="5" max="5" width="4.7109375" style="1" bestFit="1" customWidth="1"/>
    <col min="6" max="6" width="5.5703125" style="1" bestFit="1" customWidth="1"/>
    <col min="7" max="8" width="4.7109375" style="1" bestFit="1" customWidth="1"/>
    <col min="9" max="9" width="9.140625" style="1"/>
    <col min="10" max="10" width="5.5703125" style="1" bestFit="1" customWidth="1"/>
    <col min="11" max="11" width="4.7109375" style="1" bestFit="1" customWidth="1"/>
    <col min="12" max="12" width="5.5703125" style="1" bestFit="1" customWidth="1"/>
    <col min="13" max="14" width="4.7109375" style="1" bestFit="1" customWidth="1"/>
    <col min="15" max="15" width="9.140625" style="1"/>
    <col min="16" max="16" width="6" style="1" bestFit="1" customWidth="1"/>
    <col min="17" max="17" width="5.7109375" style="1" bestFit="1" customWidth="1"/>
    <col min="18" max="18" width="5.5703125" style="1" bestFit="1" customWidth="1"/>
    <col min="19" max="19" width="5" style="1" bestFit="1" customWidth="1"/>
    <col min="20" max="20" width="5.5703125" style="1" bestFit="1" customWidth="1"/>
    <col min="21" max="22" width="5" style="1" bestFit="1" customWidth="1"/>
    <col min="23" max="23" width="9.140625" style="1"/>
    <col min="24" max="24" width="7" style="1" bestFit="1" customWidth="1"/>
    <col min="25" max="16384" width="9.1406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2</v>
      </c>
      <c r="F1" s="1" t="s">
        <v>40</v>
      </c>
      <c r="G1" s="1" t="s">
        <v>2</v>
      </c>
      <c r="H1" s="1" t="s">
        <v>5</v>
      </c>
      <c r="J1" s="1" t="s">
        <v>3</v>
      </c>
      <c r="K1" s="1" t="s">
        <v>2</v>
      </c>
      <c r="L1" s="1" t="s">
        <v>20</v>
      </c>
      <c r="M1" s="1" t="s">
        <v>2</v>
      </c>
      <c r="N1" s="1" t="s">
        <v>5</v>
      </c>
      <c r="P1" s="1" t="s">
        <v>27</v>
      </c>
      <c r="Q1" s="1" t="s">
        <v>2</v>
      </c>
      <c r="R1" s="1" t="s">
        <v>43</v>
      </c>
      <c r="S1" s="1" t="s">
        <v>2</v>
      </c>
      <c r="T1" s="1" t="s">
        <v>44</v>
      </c>
      <c r="U1" s="1" t="s">
        <v>2</v>
      </c>
      <c r="V1" s="1" t="s">
        <v>5</v>
      </c>
      <c r="X1" s="1" t="s">
        <v>9</v>
      </c>
    </row>
    <row r="2" spans="1:24" x14ac:dyDescent="0.25">
      <c r="A2" s="2">
        <v>43100</v>
      </c>
      <c r="B2" s="1">
        <v>7947</v>
      </c>
      <c r="C2" s="1">
        <f>B2-7947</f>
        <v>0</v>
      </c>
      <c r="D2" s="1">
        <v>114</v>
      </c>
      <c r="E2" s="1">
        <f>D2-114</f>
        <v>0</v>
      </c>
      <c r="F2" s="1">
        <v>112</v>
      </c>
      <c r="G2" s="1">
        <f>F2-112</f>
        <v>0</v>
      </c>
      <c r="H2" s="1">
        <f>G2+E2</f>
        <v>0</v>
      </c>
      <c r="J2" s="1">
        <v>88</v>
      </c>
      <c r="K2" s="1">
        <f>88-J2</f>
        <v>0</v>
      </c>
      <c r="L2" s="1">
        <v>90</v>
      </c>
      <c r="M2" s="1">
        <f>90-L2</f>
        <v>0</v>
      </c>
      <c r="N2" s="1">
        <f>M2+K2</f>
        <v>0</v>
      </c>
      <c r="P2" s="1">
        <v>16922</v>
      </c>
      <c r="Q2" s="1">
        <f>P2-16922</f>
        <v>0</v>
      </c>
      <c r="R2" s="1">
        <v>366</v>
      </c>
      <c r="S2" s="1">
        <f>R2-366</f>
        <v>0</v>
      </c>
      <c r="T2" s="1">
        <v>288</v>
      </c>
      <c r="U2" s="1">
        <f>T2-288</f>
        <v>0</v>
      </c>
      <c r="V2" s="1">
        <f>U2+S2</f>
        <v>0</v>
      </c>
      <c r="X2" s="1">
        <f>V2*120+N2*600+H2*225</f>
        <v>0</v>
      </c>
    </row>
    <row r="3" spans="1:24" x14ac:dyDescent="0.25">
      <c r="A3" s="2">
        <v>42762</v>
      </c>
      <c r="B3" s="1">
        <v>7437</v>
      </c>
      <c r="C3" s="1">
        <f>B3-7947</f>
        <v>-510</v>
      </c>
      <c r="D3" s="1">
        <v>0</v>
      </c>
      <c r="E3" s="1">
        <f>D3-114</f>
        <v>-114</v>
      </c>
      <c r="F3" s="1">
        <v>516</v>
      </c>
      <c r="G3" s="1">
        <f>F3-112</f>
        <v>404</v>
      </c>
      <c r="H3" s="1">
        <f>G3+E3</f>
        <v>290</v>
      </c>
      <c r="J3" s="1">
        <v>1</v>
      </c>
      <c r="K3" s="1">
        <f>88-J3</f>
        <v>87</v>
      </c>
      <c r="L3" s="1">
        <v>464</v>
      </c>
      <c r="M3" s="1">
        <f>90-L3</f>
        <v>-374</v>
      </c>
      <c r="N3" s="1">
        <f>M3+K3</f>
        <v>-287</v>
      </c>
      <c r="P3" s="1">
        <v>15534</v>
      </c>
      <c r="Q3" s="1">
        <f>P3-16922</f>
        <v>-1388</v>
      </c>
      <c r="R3" s="1">
        <v>0</v>
      </c>
      <c r="S3" s="1">
        <f>R3-366</f>
        <v>-366</v>
      </c>
      <c r="T3" s="1">
        <v>1360</v>
      </c>
      <c r="U3" s="1">
        <f>T3-288</f>
        <v>1072</v>
      </c>
      <c r="V3" s="1">
        <f>U3+S3</f>
        <v>706</v>
      </c>
      <c r="X3" s="1">
        <f>V3*120+N3*600+H3*225</f>
        <v>-22230</v>
      </c>
    </row>
    <row r="4" spans="1:24" x14ac:dyDescent="0.25">
      <c r="A4" s="2">
        <v>42763</v>
      </c>
      <c r="B4" s="1">
        <v>7424</v>
      </c>
      <c r="C4" s="1">
        <f>B4-7947</f>
        <v>-523</v>
      </c>
      <c r="D4" s="1">
        <v>0</v>
      </c>
      <c r="E4" s="1">
        <f>D4-114</f>
        <v>-114</v>
      </c>
      <c r="F4" s="1">
        <v>503</v>
      </c>
      <c r="G4" s="1">
        <f>F4-112</f>
        <v>391</v>
      </c>
      <c r="H4" s="1">
        <f>G4+E4</f>
        <v>277</v>
      </c>
      <c r="J4" s="1">
        <v>0</v>
      </c>
      <c r="K4" s="1">
        <f>88-J4</f>
        <v>88</v>
      </c>
      <c r="L4" s="1">
        <v>470</v>
      </c>
      <c r="M4" s="1">
        <f>90-L4</f>
        <v>-380</v>
      </c>
      <c r="N4" s="1">
        <f>M4+K4</f>
        <v>-292</v>
      </c>
      <c r="P4" s="1">
        <v>15381</v>
      </c>
      <c r="Q4" s="1">
        <f>P4-16922</f>
        <v>-1541</v>
      </c>
      <c r="R4" s="1">
        <v>0</v>
      </c>
      <c r="S4" s="1">
        <f>R4-366</f>
        <v>-366</v>
      </c>
      <c r="T4" s="1">
        <v>1501</v>
      </c>
      <c r="U4" s="1">
        <f>T4-288</f>
        <v>1213</v>
      </c>
      <c r="V4" s="1">
        <f>U4+S4</f>
        <v>847</v>
      </c>
      <c r="X4" s="3">
        <f>V4*120+N4*600+H4*225</f>
        <v>-11235</v>
      </c>
    </row>
    <row r="5" spans="1:24" x14ac:dyDescent="0.25">
      <c r="A5" s="2"/>
    </row>
    <row r="6" spans="1:24" x14ac:dyDescent="0.25">
      <c r="A6" s="1" t="s">
        <v>0</v>
      </c>
      <c r="B6" s="1" t="s">
        <v>1</v>
      </c>
      <c r="C6" s="1" t="s">
        <v>2</v>
      </c>
      <c r="D6" s="1" t="s">
        <v>15</v>
      </c>
      <c r="E6" s="1" t="s">
        <v>2</v>
      </c>
      <c r="F6" s="1" t="s">
        <v>16</v>
      </c>
      <c r="G6" s="1" t="s">
        <v>2</v>
      </c>
      <c r="H6" s="1" t="s">
        <v>5</v>
      </c>
      <c r="J6" s="1" t="s">
        <v>12</v>
      </c>
      <c r="K6" s="1" t="s">
        <v>2</v>
      </c>
      <c r="L6" s="1" t="s">
        <v>45</v>
      </c>
      <c r="M6" s="1" t="s">
        <v>2</v>
      </c>
      <c r="N6" s="1" t="s">
        <v>5</v>
      </c>
      <c r="R6" s="1" t="s">
        <v>46</v>
      </c>
      <c r="S6" s="1" t="s">
        <v>2</v>
      </c>
      <c r="T6" s="1" t="s">
        <v>47</v>
      </c>
      <c r="U6" s="1" t="s">
        <v>2</v>
      </c>
      <c r="V6" s="1" t="s">
        <v>5</v>
      </c>
      <c r="X6" s="1" t="s">
        <v>9</v>
      </c>
    </row>
    <row r="7" spans="1:24" x14ac:dyDescent="0.25">
      <c r="A7" s="2">
        <v>42763</v>
      </c>
      <c r="B7" s="1">
        <v>7424</v>
      </c>
      <c r="C7" s="1">
        <f>B7-7424</f>
        <v>0</v>
      </c>
      <c r="D7" s="1">
        <v>162</v>
      </c>
      <c r="E7" s="1">
        <f>D7-162</f>
        <v>0</v>
      </c>
      <c r="F7" s="1">
        <v>116</v>
      </c>
      <c r="G7" s="1">
        <f>F7-116</f>
        <v>0</v>
      </c>
      <c r="H7" s="1">
        <f>G7+E7</f>
        <v>0</v>
      </c>
      <c r="J7" s="1">
        <v>109</v>
      </c>
      <c r="K7" s="1">
        <f>109-J7</f>
        <v>0</v>
      </c>
      <c r="L7" s="1">
        <v>97</v>
      </c>
      <c r="M7" s="1">
        <f>97-L7</f>
        <v>0</v>
      </c>
      <c r="N7" s="1">
        <f>M7+K7</f>
        <v>0</v>
      </c>
      <c r="P7" s="1">
        <v>15381</v>
      </c>
      <c r="Q7" s="1">
        <f>P7-15381</f>
        <v>0</v>
      </c>
      <c r="R7" s="1">
        <v>421</v>
      </c>
      <c r="S7" s="1">
        <f>R7-421</f>
        <v>0</v>
      </c>
      <c r="T7" s="1">
        <v>376</v>
      </c>
      <c r="U7" s="1">
        <f>T7-376</f>
        <v>0</v>
      </c>
      <c r="V7" s="1">
        <f>U7+S7</f>
        <v>0</v>
      </c>
      <c r="X7" s="1">
        <f>V7*120+N7*600+H7*225</f>
        <v>0</v>
      </c>
    </row>
    <row r="8" spans="1:24" x14ac:dyDescent="0.25">
      <c r="A8" s="2">
        <v>42790</v>
      </c>
      <c r="B8" s="1">
        <v>7018</v>
      </c>
      <c r="C8" s="1">
        <f>B8-7424</f>
        <v>-406</v>
      </c>
      <c r="D8" s="1">
        <v>0</v>
      </c>
      <c r="E8" s="1">
        <f>D8-162</f>
        <v>-162</v>
      </c>
      <c r="F8" s="1">
        <v>378</v>
      </c>
      <c r="G8" s="1">
        <f>F8-116</f>
        <v>262</v>
      </c>
      <c r="H8" s="1">
        <f>G8+E8</f>
        <v>100</v>
      </c>
      <c r="J8" s="1">
        <v>1</v>
      </c>
      <c r="K8" s="1">
        <f>109-J8</f>
        <v>108</v>
      </c>
      <c r="L8" s="1">
        <v>332</v>
      </c>
      <c r="M8" s="1">
        <f>97-L8</f>
        <v>-235</v>
      </c>
      <c r="N8" s="1">
        <f>M8+K8</f>
        <v>-127</v>
      </c>
      <c r="P8" s="1">
        <v>13794</v>
      </c>
      <c r="Q8" s="1">
        <f>P8-15381</f>
        <v>-1587</v>
      </c>
      <c r="R8" s="1">
        <v>0</v>
      </c>
      <c r="S8" s="1">
        <f>R8-421</f>
        <v>-421</v>
      </c>
      <c r="T8" s="1">
        <v>1450</v>
      </c>
      <c r="U8" s="1">
        <f>T8-376</f>
        <v>1074</v>
      </c>
      <c r="V8" s="1">
        <f>U8+S8</f>
        <v>653</v>
      </c>
      <c r="X8" s="1">
        <f>V8*120+N8*600+H8*225</f>
        <v>24660</v>
      </c>
    </row>
    <row r="9" spans="1:24" x14ac:dyDescent="0.25">
      <c r="A9" s="2">
        <v>42791</v>
      </c>
      <c r="B9" s="1">
        <v>6970</v>
      </c>
      <c r="C9" s="1">
        <f>B9-7424</f>
        <v>-454</v>
      </c>
      <c r="D9" s="1">
        <v>0</v>
      </c>
      <c r="E9" s="1">
        <f>D9-162</f>
        <v>-162</v>
      </c>
      <c r="F9" s="1">
        <v>430</v>
      </c>
      <c r="G9" s="1">
        <f>F9-116</f>
        <v>314</v>
      </c>
      <c r="H9" s="1">
        <f>G9+E9</f>
        <v>152</v>
      </c>
      <c r="J9" s="1">
        <v>0</v>
      </c>
      <c r="K9" s="1">
        <f>109-J9</f>
        <v>109</v>
      </c>
      <c r="L9" s="1">
        <v>382</v>
      </c>
      <c r="M9" s="1">
        <f>97-L9</f>
        <v>-285</v>
      </c>
      <c r="N9" s="1">
        <f>M9+K9</f>
        <v>-176</v>
      </c>
      <c r="P9" s="1">
        <v>13555</v>
      </c>
      <c r="Q9" s="1">
        <f>P9-15381</f>
        <v>-1826</v>
      </c>
      <c r="R9" s="1">
        <v>0</v>
      </c>
      <c r="S9" s="1">
        <f>R9-421</f>
        <v>-421</v>
      </c>
      <c r="T9" s="1">
        <v>1833</v>
      </c>
      <c r="U9" s="1">
        <f>T9-376</f>
        <v>1457</v>
      </c>
      <c r="V9" s="1">
        <f>U9+S9</f>
        <v>1036</v>
      </c>
      <c r="X9" s="3">
        <f>V9*120+N9*600+H9*225</f>
        <v>52920</v>
      </c>
    </row>
    <row r="11" spans="1:24" x14ac:dyDescent="0.25">
      <c r="A11" s="1" t="s">
        <v>0</v>
      </c>
      <c r="B11" s="1" t="s">
        <v>1</v>
      </c>
      <c r="C11" s="1" t="s">
        <v>2</v>
      </c>
      <c r="D11" s="1" t="s">
        <v>31</v>
      </c>
      <c r="E11" s="1" t="s">
        <v>2</v>
      </c>
      <c r="F11" s="1" t="s">
        <v>24</v>
      </c>
      <c r="G11" s="1" t="s">
        <v>2</v>
      </c>
      <c r="H11" s="1" t="s">
        <v>5</v>
      </c>
      <c r="J11" s="1" t="s">
        <v>48</v>
      </c>
      <c r="K11" s="1" t="s">
        <v>2</v>
      </c>
      <c r="L11" s="1" t="s">
        <v>34</v>
      </c>
      <c r="M11" s="1" t="s">
        <v>2</v>
      </c>
      <c r="N11" s="1" t="s">
        <v>5</v>
      </c>
      <c r="R11" s="1" t="s">
        <v>49</v>
      </c>
      <c r="S11" s="1" t="s">
        <v>2</v>
      </c>
      <c r="T11" s="1" t="s">
        <v>50</v>
      </c>
      <c r="U11" s="1" t="s">
        <v>2</v>
      </c>
      <c r="V11" s="1" t="s">
        <v>5</v>
      </c>
      <c r="X11" s="1" t="s">
        <v>9</v>
      </c>
    </row>
    <row r="12" spans="1:24" x14ac:dyDescent="0.25">
      <c r="A12" s="2">
        <v>42791</v>
      </c>
      <c r="B12" s="1">
        <v>6970</v>
      </c>
      <c r="C12" s="1">
        <f>B12-6970</f>
        <v>0</v>
      </c>
      <c r="D12" s="1">
        <v>178</v>
      </c>
      <c r="E12" s="1">
        <f>D12-178</f>
        <v>0</v>
      </c>
      <c r="F12" s="1">
        <v>178</v>
      </c>
      <c r="G12" s="1">
        <f>F12-178</f>
        <v>0</v>
      </c>
      <c r="H12" s="1">
        <f>G12+E12</f>
        <v>0</v>
      </c>
      <c r="J12" s="1">
        <v>154</v>
      </c>
      <c r="K12" s="1">
        <f>154-J12</f>
        <v>0</v>
      </c>
      <c r="L12" s="1">
        <v>139</v>
      </c>
      <c r="M12" s="1">
        <f>139-L12</f>
        <v>0</v>
      </c>
      <c r="N12" s="1">
        <f>M12+K12</f>
        <v>0</v>
      </c>
      <c r="P12" s="1">
        <v>13555</v>
      </c>
      <c r="Q12" s="1">
        <f>P12-13555</f>
        <v>0</v>
      </c>
      <c r="R12" s="1">
        <v>505</v>
      </c>
      <c r="S12" s="1">
        <f>R12-505</f>
        <v>0</v>
      </c>
      <c r="T12" s="1">
        <v>376</v>
      </c>
      <c r="U12" s="1">
        <f>T12-376</f>
        <v>0</v>
      </c>
      <c r="V12" s="1">
        <f>U12+S12</f>
        <v>0</v>
      </c>
      <c r="X12" s="1">
        <f>V12*120+N12*600+H12*225</f>
        <v>0</v>
      </c>
    </row>
    <row r="13" spans="1:24" x14ac:dyDescent="0.25">
      <c r="A13" s="2">
        <v>42824</v>
      </c>
      <c r="B13" s="1">
        <v>7735</v>
      </c>
      <c r="C13" s="1">
        <f>B13-6970</f>
        <v>765</v>
      </c>
      <c r="D13" s="1">
        <v>736</v>
      </c>
      <c r="E13" s="1">
        <f>D13-178</f>
        <v>558</v>
      </c>
      <c r="F13" s="1">
        <v>1</v>
      </c>
      <c r="G13" s="1">
        <f>F13-178</f>
        <v>-177</v>
      </c>
      <c r="H13" s="1">
        <f>G13+E13</f>
        <v>381</v>
      </c>
      <c r="J13" s="1">
        <v>686</v>
      </c>
      <c r="K13" s="1">
        <f>154-J13</f>
        <v>-532</v>
      </c>
      <c r="L13" s="1">
        <v>1</v>
      </c>
      <c r="M13" s="1">
        <f>139-L13</f>
        <v>138</v>
      </c>
      <c r="N13" s="1">
        <f>M13+K13</f>
        <v>-394</v>
      </c>
      <c r="P13" s="1">
        <v>16134</v>
      </c>
      <c r="Q13" s="1">
        <f>P13-13555</f>
        <v>2579</v>
      </c>
      <c r="R13" s="1">
        <v>2641</v>
      </c>
      <c r="S13" s="1">
        <f>R13-505</f>
        <v>2136</v>
      </c>
      <c r="T13" s="1">
        <v>0</v>
      </c>
      <c r="U13" s="1">
        <f>T13-376</f>
        <v>-376</v>
      </c>
      <c r="V13" s="1">
        <f>U13+S13</f>
        <v>1760</v>
      </c>
      <c r="X13" s="1">
        <f>V13*120+N13*600+H13*225</f>
        <v>60525</v>
      </c>
    </row>
    <row r="14" spans="1:24" x14ac:dyDescent="0.25">
      <c r="A14" s="2">
        <v>42825</v>
      </c>
      <c r="B14" s="1">
        <v>7738</v>
      </c>
      <c r="C14" s="1">
        <f>B14-6970</f>
        <v>768</v>
      </c>
      <c r="D14" s="1">
        <v>736</v>
      </c>
      <c r="E14" s="1">
        <f>D14-178</f>
        <v>558</v>
      </c>
      <c r="F14" s="1">
        <v>0</v>
      </c>
      <c r="G14" s="1">
        <f>F14-178</f>
        <v>-178</v>
      </c>
      <c r="H14" s="1">
        <f>G14+E14</f>
        <v>380</v>
      </c>
      <c r="J14" s="1">
        <v>684</v>
      </c>
      <c r="K14" s="1">
        <f>154-J14</f>
        <v>-530</v>
      </c>
      <c r="L14" s="1">
        <v>0</v>
      </c>
      <c r="M14" s="1">
        <f>139-L14</f>
        <v>139</v>
      </c>
      <c r="N14" s="1">
        <f>M14+K14</f>
        <v>-391</v>
      </c>
      <c r="P14" s="1">
        <v>16141</v>
      </c>
      <c r="Q14" s="1">
        <f>P14-13555</f>
        <v>2586</v>
      </c>
      <c r="R14" s="1">
        <v>2641</v>
      </c>
      <c r="S14" s="1">
        <f>R14-505</f>
        <v>2136</v>
      </c>
      <c r="T14" s="1">
        <v>0</v>
      </c>
      <c r="U14" s="1">
        <f>T14-376</f>
        <v>-376</v>
      </c>
      <c r="V14" s="1">
        <f>U14+S14</f>
        <v>1760</v>
      </c>
      <c r="X14" s="3">
        <f>V14*120+N14*600+H14*225</f>
        <v>62100</v>
      </c>
    </row>
    <row r="15" spans="1:24" x14ac:dyDescent="0.25">
      <c r="A15" s="2"/>
      <c r="H15" s="5"/>
      <c r="Q15" s="5"/>
    </row>
    <row r="16" spans="1:24" x14ac:dyDescent="0.25">
      <c r="A16" s="1" t="s">
        <v>0</v>
      </c>
      <c r="B16" s="1" t="s">
        <v>1</v>
      </c>
      <c r="C16" s="1" t="s">
        <v>2</v>
      </c>
      <c r="D16" s="1" t="s">
        <v>51</v>
      </c>
      <c r="E16" s="1" t="s">
        <v>2</v>
      </c>
      <c r="F16" s="1" t="s">
        <v>52</v>
      </c>
      <c r="G16" s="1" t="s">
        <v>2</v>
      </c>
      <c r="H16" s="1" t="s">
        <v>5</v>
      </c>
      <c r="J16" s="1" t="s">
        <v>10</v>
      </c>
      <c r="K16" s="1" t="s">
        <v>2</v>
      </c>
      <c r="L16" s="1" t="s">
        <v>53</v>
      </c>
      <c r="M16" s="1" t="s">
        <v>2</v>
      </c>
      <c r="N16" s="1" t="s">
        <v>5</v>
      </c>
      <c r="R16" s="1" t="s">
        <v>54</v>
      </c>
      <c r="S16" s="1" t="s">
        <v>2</v>
      </c>
      <c r="T16" s="1" t="s">
        <v>55</v>
      </c>
      <c r="U16" s="1" t="s">
        <v>2</v>
      </c>
      <c r="V16" s="1" t="s">
        <v>5</v>
      </c>
      <c r="X16" s="1" t="s">
        <v>9</v>
      </c>
    </row>
    <row r="17" spans="1:24" x14ac:dyDescent="0.25">
      <c r="A17" s="2">
        <v>42825</v>
      </c>
      <c r="B17" s="1">
        <v>7738</v>
      </c>
      <c r="C17" s="1">
        <f>B17-7738</f>
        <v>0</v>
      </c>
      <c r="D17" s="1">
        <v>150</v>
      </c>
      <c r="E17" s="1">
        <f>D17-150</f>
        <v>0</v>
      </c>
      <c r="F17" s="1">
        <v>117</v>
      </c>
      <c r="G17" s="1">
        <f>F17-117</f>
        <v>0</v>
      </c>
      <c r="H17" s="1">
        <f>G17+E17</f>
        <v>0</v>
      </c>
      <c r="J17" s="1">
        <v>121</v>
      </c>
      <c r="K17" s="1">
        <f>121-J17</f>
        <v>0</v>
      </c>
      <c r="L17" s="1">
        <v>80</v>
      </c>
      <c r="M17" s="1">
        <f>80-L17</f>
        <v>0</v>
      </c>
      <c r="N17" s="1">
        <f>M17+K17</f>
        <v>0</v>
      </c>
      <c r="P17" s="1">
        <v>16141</v>
      </c>
      <c r="Q17" s="1">
        <f>P17-16141</f>
        <v>0</v>
      </c>
      <c r="R17" s="1">
        <v>485</v>
      </c>
      <c r="S17" s="1">
        <f>R17-485</f>
        <v>0</v>
      </c>
      <c r="T17" s="1">
        <v>341</v>
      </c>
      <c r="U17" s="1">
        <f>T17-341</f>
        <v>0</v>
      </c>
      <c r="V17" s="1">
        <f>U17+S17</f>
        <v>0</v>
      </c>
      <c r="X17" s="1">
        <f>V17*120+N17*600+H17*225</f>
        <v>0</v>
      </c>
    </row>
    <row r="18" spans="1:24" x14ac:dyDescent="0.25">
      <c r="A18" s="2">
        <v>42852</v>
      </c>
      <c r="B18" s="1">
        <v>7979</v>
      </c>
      <c r="C18" s="1">
        <f>B18-7738</f>
        <v>241</v>
      </c>
      <c r="D18" s="1">
        <v>235</v>
      </c>
      <c r="E18" s="1">
        <f>D18-150</f>
        <v>85</v>
      </c>
      <c r="F18" s="1">
        <v>1</v>
      </c>
      <c r="G18" s="1">
        <f>F18-117</f>
        <v>-116</v>
      </c>
      <c r="H18" s="1">
        <f>G18+E18</f>
        <v>-31</v>
      </c>
      <c r="J18" s="1">
        <v>190</v>
      </c>
      <c r="K18" s="1">
        <f>121-J18</f>
        <v>-69</v>
      </c>
      <c r="L18" s="1">
        <v>1</v>
      </c>
      <c r="M18" s="1">
        <f>80-L18</f>
        <v>79</v>
      </c>
      <c r="N18" s="1">
        <f>M18+K18</f>
        <v>10</v>
      </c>
      <c r="P18" s="1">
        <v>16873</v>
      </c>
      <c r="Q18" s="1">
        <f>P18-16141</f>
        <v>732</v>
      </c>
      <c r="R18" s="1">
        <v>792</v>
      </c>
      <c r="S18" s="1">
        <f>R18-485</f>
        <v>307</v>
      </c>
      <c r="T18" s="1">
        <v>1</v>
      </c>
      <c r="U18" s="1">
        <f>T18-341</f>
        <v>-340</v>
      </c>
      <c r="V18" s="1">
        <f>U18+S18</f>
        <v>-33</v>
      </c>
      <c r="X18" s="1">
        <f>V18*120+N18*600+H18*225</f>
        <v>-4935</v>
      </c>
    </row>
    <row r="19" spans="1:24" x14ac:dyDescent="0.25">
      <c r="A19" s="2">
        <v>42853</v>
      </c>
      <c r="B19" s="1">
        <v>7847</v>
      </c>
      <c r="C19" s="1">
        <f>B19-7738</f>
        <v>109</v>
      </c>
      <c r="D19" s="1">
        <v>95</v>
      </c>
      <c r="E19" s="1">
        <f>D19-150</f>
        <v>-55</v>
      </c>
      <c r="F19" s="1">
        <v>0</v>
      </c>
      <c r="G19" s="1">
        <f>F19-117</f>
        <v>-117</v>
      </c>
      <c r="H19" s="1">
        <f>G19+E19</f>
        <v>-172</v>
      </c>
      <c r="J19" s="1">
        <v>55</v>
      </c>
      <c r="K19" s="1">
        <f>121-J19</f>
        <v>66</v>
      </c>
      <c r="L19" s="1">
        <v>0</v>
      </c>
      <c r="M19" s="1">
        <f>80-L19</f>
        <v>80</v>
      </c>
      <c r="N19" s="1">
        <f>M19+K19</f>
        <v>146</v>
      </c>
      <c r="P19" s="1">
        <v>16716</v>
      </c>
      <c r="Q19" s="1">
        <f>P19-16141</f>
        <v>575</v>
      </c>
      <c r="R19" s="1">
        <v>621</v>
      </c>
      <c r="S19" s="1">
        <f>R19-485</f>
        <v>136</v>
      </c>
      <c r="T19" s="1">
        <v>0</v>
      </c>
      <c r="U19" s="1">
        <f>T19-341</f>
        <v>-341</v>
      </c>
      <c r="V19" s="1">
        <f>U19+S19</f>
        <v>-205</v>
      </c>
      <c r="X19" s="3">
        <f>V19*120+N19*600+H19*225</f>
        <v>24300</v>
      </c>
    </row>
    <row r="21" spans="1:24" x14ac:dyDescent="0.25">
      <c r="A21" s="1" t="s">
        <v>0</v>
      </c>
      <c r="B21" s="1" t="s">
        <v>1</v>
      </c>
      <c r="C21" s="1" t="s">
        <v>2</v>
      </c>
      <c r="D21" s="1" t="s">
        <v>37</v>
      </c>
      <c r="E21" s="1" t="s">
        <v>2</v>
      </c>
      <c r="F21" s="1" t="s">
        <v>8</v>
      </c>
      <c r="G21" s="1" t="s">
        <v>2</v>
      </c>
      <c r="H21" s="1" t="s">
        <v>5</v>
      </c>
      <c r="J21" s="1" t="s">
        <v>26</v>
      </c>
      <c r="K21" s="1" t="s">
        <v>2</v>
      </c>
      <c r="L21" s="1" t="s">
        <v>7</v>
      </c>
      <c r="M21" s="1" t="s">
        <v>2</v>
      </c>
      <c r="N21" s="1" t="s">
        <v>5</v>
      </c>
      <c r="R21" s="1" t="s">
        <v>56</v>
      </c>
      <c r="S21" s="1" t="s">
        <v>2</v>
      </c>
      <c r="T21" s="1" t="s">
        <v>57</v>
      </c>
      <c r="U21" s="1" t="s">
        <v>2</v>
      </c>
      <c r="V21" s="1" t="s">
        <v>5</v>
      </c>
      <c r="X21" s="1" t="s">
        <v>9</v>
      </c>
    </row>
    <row r="22" spans="1:24" x14ac:dyDescent="0.25">
      <c r="A22" s="2">
        <v>42853</v>
      </c>
      <c r="B22" s="1">
        <v>7847</v>
      </c>
      <c r="C22" s="1">
        <f>B22-7847</f>
        <v>0</v>
      </c>
      <c r="D22" s="1">
        <v>158</v>
      </c>
      <c r="E22" s="1">
        <f>D22-158</f>
        <v>0</v>
      </c>
      <c r="F22" s="1">
        <v>115</v>
      </c>
      <c r="G22" s="1">
        <f>F22-115</f>
        <v>0</v>
      </c>
      <c r="H22" s="1">
        <f>G22+E22</f>
        <v>0</v>
      </c>
      <c r="J22" s="1">
        <v>129</v>
      </c>
      <c r="K22" s="1">
        <f>129-J22</f>
        <v>0</v>
      </c>
      <c r="L22" s="1">
        <v>94</v>
      </c>
      <c r="M22" s="1">
        <f>94-L22</f>
        <v>0</v>
      </c>
      <c r="N22" s="1">
        <f>M22+K22</f>
        <v>0</v>
      </c>
      <c r="P22" s="1">
        <v>16716</v>
      </c>
      <c r="Q22" s="1">
        <f>P22-16716</f>
        <v>0</v>
      </c>
      <c r="R22" s="1">
        <v>447</v>
      </c>
      <c r="S22" s="1">
        <f>R22-447</f>
        <v>0</v>
      </c>
      <c r="T22" s="1">
        <v>355</v>
      </c>
      <c r="U22" s="1">
        <f>T22-355</f>
        <v>0</v>
      </c>
      <c r="V22" s="1">
        <f>U22+S22</f>
        <v>0</v>
      </c>
      <c r="X22" s="1">
        <f>V22*120+N22*600+H22*225</f>
        <v>0</v>
      </c>
    </row>
    <row r="23" spans="1:24" x14ac:dyDescent="0.25">
      <c r="A23" s="2">
        <v>42881</v>
      </c>
      <c r="B23" s="1">
        <v>8070</v>
      </c>
      <c r="C23" s="1">
        <f>B23-7847</f>
        <v>223</v>
      </c>
      <c r="D23" s="1">
        <v>215</v>
      </c>
      <c r="E23" s="1">
        <f>D23-158</f>
        <v>57</v>
      </c>
      <c r="F23" s="1">
        <v>0</v>
      </c>
      <c r="G23" s="1">
        <f>F23-115</f>
        <v>-115</v>
      </c>
      <c r="H23" s="1">
        <f>G23+E23</f>
        <v>-58</v>
      </c>
      <c r="J23" s="1">
        <v>157</v>
      </c>
      <c r="K23" s="1">
        <f>129-J23</f>
        <v>-28</v>
      </c>
      <c r="L23" s="1">
        <v>0</v>
      </c>
      <c r="M23" s="1">
        <f>94-L23</f>
        <v>94</v>
      </c>
      <c r="N23" s="1">
        <f>M23+K23</f>
        <v>66</v>
      </c>
      <c r="P23" s="1">
        <v>17359</v>
      </c>
      <c r="Q23" s="1">
        <f>P23-16716</f>
        <v>643</v>
      </c>
      <c r="R23" s="1">
        <v>627</v>
      </c>
      <c r="S23" s="1">
        <f>R23-447</f>
        <v>180</v>
      </c>
      <c r="T23" s="1">
        <v>0</v>
      </c>
      <c r="U23" s="1">
        <f>T23-355</f>
        <v>-355</v>
      </c>
      <c r="V23" s="1">
        <f>U23+S23</f>
        <v>-175</v>
      </c>
      <c r="X23" s="3">
        <f>V23*120+N23*600+H23*225</f>
        <v>5550</v>
      </c>
    </row>
    <row r="25" spans="1:24" x14ac:dyDescent="0.25">
      <c r="A25" s="1" t="s">
        <v>0</v>
      </c>
      <c r="B25" s="1" t="s">
        <v>1</v>
      </c>
      <c r="C25" s="1" t="s">
        <v>2</v>
      </c>
      <c r="D25" s="1" t="s">
        <v>39</v>
      </c>
      <c r="E25" s="1" t="s">
        <v>2</v>
      </c>
      <c r="F25" s="1" t="s">
        <v>58</v>
      </c>
      <c r="G25" s="1" t="s">
        <v>2</v>
      </c>
      <c r="H25" s="1" t="s">
        <v>5</v>
      </c>
      <c r="J25" s="1" t="s">
        <v>59</v>
      </c>
      <c r="K25" s="1" t="s">
        <v>2</v>
      </c>
      <c r="L25" s="1" t="s">
        <v>4</v>
      </c>
      <c r="M25" s="1" t="s">
        <v>2</v>
      </c>
      <c r="N25" s="1" t="s">
        <v>5</v>
      </c>
      <c r="R25" s="1" t="s">
        <v>60</v>
      </c>
      <c r="S25" s="1" t="s">
        <v>2</v>
      </c>
      <c r="T25" s="1" t="s">
        <v>61</v>
      </c>
      <c r="U25" s="1" t="s">
        <v>2</v>
      </c>
      <c r="V25" s="1" t="s">
        <v>5</v>
      </c>
      <c r="X25" s="1" t="s">
        <v>9</v>
      </c>
    </row>
    <row r="26" spans="1:24" x14ac:dyDescent="0.25">
      <c r="A26" s="2">
        <v>42881</v>
      </c>
      <c r="B26" s="1">
        <v>8070</v>
      </c>
      <c r="C26" s="1">
        <f>B26-8070</f>
        <v>0</v>
      </c>
      <c r="D26" s="1">
        <v>148</v>
      </c>
      <c r="E26" s="1">
        <f>D26-148</f>
        <v>0</v>
      </c>
      <c r="F26" s="1">
        <v>131</v>
      </c>
      <c r="G26" s="1">
        <f>F26-131</f>
        <v>0</v>
      </c>
      <c r="H26" s="1">
        <f>G26+E26</f>
        <v>0</v>
      </c>
      <c r="J26" s="1">
        <v>98</v>
      </c>
      <c r="K26" s="1">
        <f>98-J26</f>
        <v>0</v>
      </c>
      <c r="L26" s="1">
        <v>110</v>
      </c>
      <c r="M26" s="1">
        <f>110-L26</f>
        <v>0</v>
      </c>
      <c r="N26" s="1">
        <f>M26+K26</f>
        <v>0</v>
      </c>
      <c r="P26" s="1">
        <v>17359</v>
      </c>
      <c r="Q26" s="1">
        <f>P26-17359</f>
        <v>0</v>
      </c>
      <c r="R26" s="1">
        <v>346</v>
      </c>
      <c r="S26" s="1">
        <f>R26-346</f>
        <v>0</v>
      </c>
      <c r="T26" s="1">
        <v>472</v>
      </c>
      <c r="U26" s="1">
        <f>T26-472</f>
        <v>0</v>
      </c>
      <c r="V26" s="1">
        <f>U26+S26</f>
        <v>0</v>
      </c>
      <c r="X26" s="1">
        <f>V26*120+N26*600+H26*225</f>
        <v>0</v>
      </c>
    </row>
    <row r="27" spans="1:24" x14ac:dyDescent="0.25">
      <c r="A27" s="2">
        <v>42916</v>
      </c>
      <c r="B27" s="1">
        <v>8287</v>
      </c>
      <c r="C27" s="1">
        <f>B27-8070</f>
        <v>217</v>
      </c>
      <c r="D27" s="1">
        <v>230</v>
      </c>
      <c r="E27" s="1">
        <f>D27-148</f>
        <v>82</v>
      </c>
      <c r="F27" s="1">
        <v>0</v>
      </c>
      <c r="G27" s="1">
        <f>F27-131</f>
        <v>-131</v>
      </c>
      <c r="H27" s="1">
        <f>G27+E27</f>
        <v>-49</v>
      </c>
      <c r="J27" s="1">
        <v>137</v>
      </c>
      <c r="K27" s="1">
        <f>98-J27</f>
        <v>-39</v>
      </c>
      <c r="L27" s="1">
        <v>0</v>
      </c>
      <c r="M27" s="1">
        <f>110-L27</f>
        <v>110</v>
      </c>
      <c r="N27" s="1">
        <f>M27+K27</f>
        <v>71</v>
      </c>
      <c r="P27" s="1">
        <v>17935</v>
      </c>
      <c r="Q27" s="1">
        <f>P27-17359</f>
        <v>576</v>
      </c>
      <c r="R27" s="1">
        <v>509</v>
      </c>
      <c r="S27" s="1">
        <f>R27-346</f>
        <v>163</v>
      </c>
      <c r="T27" s="1">
        <v>0</v>
      </c>
      <c r="U27" s="1">
        <f>T27-472</f>
        <v>-472</v>
      </c>
      <c r="V27" s="1">
        <f>U27+S27</f>
        <v>-309</v>
      </c>
      <c r="X27" s="3">
        <f>V27*120+N27*600+H27*225</f>
        <v>-5505</v>
      </c>
    </row>
    <row r="29" spans="1:24" x14ac:dyDescent="0.25">
      <c r="A29" s="1" t="s">
        <v>0</v>
      </c>
      <c r="B29" s="1" t="s">
        <v>1</v>
      </c>
      <c r="C29" s="1" t="s">
        <v>2</v>
      </c>
      <c r="D29" s="1" t="s">
        <v>66</v>
      </c>
      <c r="E29" s="1" t="s">
        <v>2</v>
      </c>
      <c r="F29" s="1" t="s">
        <v>67</v>
      </c>
      <c r="G29" s="1" t="s">
        <v>2</v>
      </c>
      <c r="H29" s="1" t="s">
        <v>5</v>
      </c>
      <c r="J29" s="1" t="s">
        <v>68</v>
      </c>
      <c r="K29" s="1" t="s">
        <v>2</v>
      </c>
      <c r="L29" s="1" t="s">
        <v>71</v>
      </c>
      <c r="M29" s="1" t="s">
        <v>2</v>
      </c>
      <c r="N29" s="1" t="s">
        <v>5</v>
      </c>
      <c r="R29" s="1" t="s">
        <v>78</v>
      </c>
      <c r="S29" s="1" t="s">
        <v>2</v>
      </c>
      <c r="T29" s="1" t="s">
        <v>79</v>
      </c>
      <c r="U29" s="1" t="s">
        <v>2</v>
      </c>
      <c r="V29" s="1" t="s">
        <v>5</v>
      </c>
      <c r="X29" s="1" t="s">
        <v>9</v>
      </c>
    </row>
    <row r="30" spans="1:24" x14ac:dyDescent="0.25">
      <c r="A30" s="2">
        <v>42916</v>
      </c>
      <c r="B30" s="1">
        <v>8287</v>
      </c>
      <c r="C30" s="1">
        <f>B30-8287</f>
        <v>0</v>
      </c>
      <c r="D30" s="1">
        <v>146</v>
      </c>
      <c r="E30" s="1">
        <f>D30-146</f>
        <v>0</v>
      </c>
      <c r="F30" s="1">
        <v>127</v>
      </c>
      <c r="G30" s="1">
        <f>F30-127</f>
        <v>0</v>
      </c>
      <c r="H30" s="1">
        <f>G30+E30</f>
        <v>0</v>
      </c>
      <c r="J30" s="1">
        <v>121</v>
      </c>
      <c r="K30" s="1">
        <f>121-J30</f>
        <v>0</v>
      </c>
      <c r="L30" s="1">
        <v>90</v>
      </c>
      <c r="M30" s="1">
        <f>90-L30</f>
        <v>0</v>
      </c>
      <c r="N30" s="1">
        <f>M30+K30</f>
        <v>0</v>
      </c>
      <c r="P30" s="1">
        <v>17935</v>
      </c>
      <c r="Q30" s="1">
        <f>P30-17935</f>
        <v>0</v>
      </c>
      <c r="R30" s="1">
        <v>417</v>
      </c>
      <c r="S30" s="1">
        <f>R30-417</f>
        <v>0</v>
      </c>
      <c r="T30" s="1">
        <v>320</v>
      </c>
      <c r="U30" s="1">
        <f>T30-320</f>
        <v>0</v>
      </c>
      <c r="V30" s="1">
        <f>U30+S30</f>
        <v>0</v>
      </c>
      <c r="X30" s="1">
        <f>V30*120+N30*600+H30*225</f>
        <v>0</v>
      </c>
    </row>
    <row r="31" spans="1:24" x14ac:dyDescent="0.25">
      <c r="A31" s="2">
        <v>42944</v>
      </c>
      <c r="B31" s="1">
        <v>8666</v>
      </c>
      <c r="C31" s="1">
        <f>B31-8287</f>
        <v>379</v>
      </c>
      <c r="D31" s="1">
        <v>353</v>
      </c>
      <c r="E31" s="1">
        <f>D31-146</f>
        <v>207</v>
      </c>
      <c r="F31" s="1">
        <v>0</v>
      </c>
      <c r="G31" s="1">
        <f>F31-127</f>
        <v>-127</v>
      </c>
      <c r="H31" s="1">
        <f>G31+E31</f>
        <v>80</v>
      </c>
      <c r="J31" s="1">
        <v>303</v>
      </c>
      <c r="K31" s="1">
        <f>121-J31</f>
        <v>-182</v>
      </c>
      <c r="L31" s="1">
        <v>0</v>
      </c>
      <c r="M31" s="1">
        <f>90-L31</f>
        <v>90</v>
      </c>
      <c r="N31" s="1">
        <f>M31+K31</f>
        <v>-92</v>
      </c>
      <c r="P31" s="1">
        <v>19076</v>
      </c>
      <c r="Q31" s="1">
        <f>P31-17935</f>
        <v>1141</v>
      </c>
      <c r="R31" s="1">
        <v>1175</v>
      </c>
      <c r="S31" s="1">
        <f>R31-417</f>
        <v>758</v>
      </c>
      <c r="T31" s="1">
        <v>0</v>
      </c>
      <c r="U31" s="1">
        <f>T31-320</f>
        <v>-320</v>
      </c>
      <c r="V31" s="1">
        <f>U31+S31</f>
        <v>438</v>
      </c>
      <c r="X31" s="3">
        <f>V31*120+N31*600+H31*225</f>
        <v>15360</v>
      </c>
    </row>
    <row r="33" spans="1:24" x14ac:dyDescent="0.25">
      <c r="A33" s="1" t="s">
        <v>0</v>
      </c>
      <c r="B33" s="1" t="s">
        <v>1</v>
      </c>
      <c r="C33" s="1" t="s">
        <v>2</v>
      </c>
      <c r="D33" s="1" t="s">
        <v>80</v>
      </c>
      <c r="E33" s="1" t="s">
        <v>2</v>
      </c>
      <c r="F33" s="1" t="s">
        <v>81</v>
      </c>
      <c r="G33" s="1" t="s">
        <v>2</v>
      </c>
      <c r="H33" s="1" t="s">
        <v>5</v>
      </c>
      <c r="J33" s="1" t="s">
        <v>82</v>
      </c>
      <c r="K33" s="1" t="s">
        <v>2</v>
      </c>
      <c r="L33" s="1" t="s">
        <v>83</v>
      </c>
      <c r="M33" s="1" t="s">
        <v>2</v>
      </c>
      <c r="N33" s="1" t="s">
        <v>5</v>
      </c>
      <c r="R33" s="1" t="s">
        <v>29</v>
      </c>
      <c r="S33" s="1" t="s">
        <v>2</v>
      </c>
      <c r="T33" s="1" t="s">
        <v>84</v>
      </c>
      <c r="U33" s="1" t="s">
        <v>2</v>
      </c>
      <c r="V33" s="1" t="s">
        <v>5</v>
      </c>
      <c r="X33" s="1" t="s">
        <v>9</v>
      </c>
    </row>
    <row r="34" spans="1:24" x14ac:dyDescent="0.25">
      <c r="A34" s="2">
        <v>42944</v>
      </c>
      <c r="B34" s="1">
        <v>8666</v>
      </c>
      <c r="C34" s="1">
        <f>B34-8666</f>
        <v>0</v>
      </c>
      <c r="D34" s="1">
        <v>161</v>
      </c>
      <c r="E34" s="1">
        <f>D34-161</f>
        <v>0</v>
      </c>
      <c r="F34" s="1">
        <v>113</v>
      </c>
      <c r="G34" s="1">
        <f>F34-113</f>
        <v>0</v>
      </c>
      <c r="H34" s="1">
        <f>G34+E34</f>
        <v>0</v>
      </c>
      <c r="J34" s="1">
        <v>110</v>
      </c>
      <c r="K34" s="1">
        <f>110-J34</f>
        <v>0</v>
      </c>
      <c r="L34" s="1">
        <v>94</v>
      </c>
      <c r="M34" s="1">
        <f>94-L34</f>
        <v>0</v>
      </c>
      <c r="N34" s="1">
        <f>M34+K34</f>
        <v>0</v>
      </c>
      <c r="P34" s="1">
        <v>19076</v>
      </c>
      <c r="Q34" s="1">
        <f>P34-19076</f>
        <v>0</v>
      </c>
      <c r="R34" s="1">
        <v>417</v>
      </c>
      <c r="S34" s="1">
        <f>R34-417</f>
        <v>0</v>
      </c>
      <c r="T34" s="1">
        <v>366</v>
      </c>
      <c r="U34" s="1">
        <f>T34-366</f>
        <v>0</v>
      </c>
      <c r="V34" s="1">
        <f>U34+S34</f>
        <v>0</v>
      </c>
      <c r="X34" s="1">
        <f>V34*120+N34*600+H34*225</f>
        <v>0</v>
      </c>
    </row>
    <row r="35" spans="1:24" x14ac:dyDescent="0.25">
      <c r="A35" s="2">
        <v>42972</v>
      </c>
      <c r="B35" s="1">
        <v>8592</v>
      </c>
      <c r="C35" s="1">
        <f>B35-8666</f>
        <v>-74</v>
      </c>
      <c r="D35" s="1">
        <v>0</v>
      </c>
      <c r="E35" s="1">
        <f>D35-161</f>
        <v>-161</v>
      </c>
      <c r="F35" s="1">
        <v>49</v>
      </c>
      <c r="G35" s="1">
        <f>F35-113</f>
        <v>-64</v>
      </c>
      <c r="H35" s="1">
        <f>G35+E35</f>
        <v>-225</v>
      </c>
      <c r="J35" s="1">
        <v>0</v>
      </c>
      <c r="K35" s="1">
        <f>110-J35</f>
        <v>110</v>
      </c>
      <c r="L35" s="1">
        <v>10</v>
      </c>
      <c r="M35" s="1">
        <f>94-L35</f>
        <v>84</v>
      </c>
      <c r="N35" s="1">
        <f>M35+K35</f>
        <v>194</v>
      </c>
      <c r="P35" s="1">
        <v>19304</v>
      </c>
      <c r="Q35" s="1">
        <f>P35-19076</f>
        <v>228</v>
      </c>
      <c r="R35" s="1">
        <v>193</v>
      </c>
      <c r="S35" s="1">
        <f>R35-417</f>
        <v>-224</v>
      </c>
      <c r="T35" s="1">
        <v>0</v>
      </c>
      <c r="U35" s="1">
        <f>T35-366</f>
        <v>-366</v>
      </c>
      <c r="V35" s="1">
        <f>U35+S35</f>
        <v>-590</v>
      </c>
      <c r="X35" s="3">
        <f>V35*120+N35*600+H35*225</f>
        <v>-5025</v>
      </c>
    </row>
    <row r="37" spans="1:24" x14ac:dyDescent="0.25">
      <c r="A37" s="1" t="s">
        <v>0</v>
      </c>
      <c r="B37" s="1" t="s">
        <v>1</v>
      </c>
      <c r="C37" s="1" t="s">
        <v>2</v>
      </c>
      <c r="D37" s="1" t="s">
        <v>85</v>
      </c>
      <c r="E37" s="1" t="s">
        <v>2</v>
      </c>
      <c r="F37" s="1" t="s">
        <v>83</v>
      </c>
      <c r="G37" s="1" t="s">
        <v>2</v>
      </c>
      <c r="H37" s="1" t="s">
        <v>5</v>
      </c>
      <c r="J37" s="1">
        <v>865</v>
      </c>
      <c r="K37" s="1" t="s">
        <v>2</v>
      </c>
      <c r="L37" s="1" t="s">
        <v>86</v>
      </c>
      <c r="M37" s="1" t="s">
        <v>2</v>
      </c>
      <c r="N37" s="1" t="s">
        <v>5</v>
      </c>
      <c r="R37" s="1" t="s">
        <v>92</v>
      </c>
      <c r="S37" s="1" t="s">
        <v>2</v>
      </c>
      <c r="T37" s="1" t="s">
        <v>93</v>
      </c>
      <c r="U37" s="1" t="s">
        <v>2</v>
      </c>
      <c r="V37" s="1" t="s">
        <v>5</v>
      </c>
      <c r="X37" s="1" t="s">
        <v>9</v>
      </c>
    </row>
    <row r="38" spans="1:24" x14ac:dyDescent="0.25">
      <c r="A38" s="2">
        <v>42972</v>
      </c>
      <c r="B38" s="1">
        <v>8592</v>
      </c>
      <c r="C38" s="1">
        <f>B38-8592</f>
        <v>0</v>
      </c>
      <c r="D38" s="1">
        <v>153</v>
      </c>
      <c r="E38" s="1">
        <f>D38-153</f>
        <v>0</v>
      </c>
      <c r="F38" s="1">
        <v>109</v>
      </c>
      <c r="G38" s="1">
        <f>F38-109</f>
        <v>0</v>
      </c>
      <c r="H38" s="1">
        <f>G38+E38</f>
        <v>0</v>
      </c>
      <c r="J38" s="1">
        <v>125</v>
      </c>
      <c r="K38" s="1">
        <f>125-J38</f>
        <v>0</v>
      </c>
      <c r="L38" s="1">
        <v>74</v>
      </c>
      <c r="M38" s="1">
        <f>74-L38</f>
        <v>0</v>
      </c>
      <c r="N38" s="1">
        <f>M38+K38</f>
        <v>0</v>
      </c>
      <c r="P38" s="1">
        <v>19304</v>
      </c>
      <c r="Q38" s="1">
        <f>P38-19304</f>
        <v>0</v>
      </c>
      <c r="R38" s="1">
        <v>403</v>
      </c>
      <c r="S38" s="1">
        <f>R38-403</f>
        <v>0</v>
      </c>
      <c r="T38" s="1">
        <v>300</v>
      </c>
      <c r="U38" s="1">
        <f>T38-300</f>
        <v>0</v>
      </c>
      <c r="V38" s="1">
        <f>U38+S38</f>
        <v>0</v>
      </c>
      <c r="X38" s="1">
        <f>V38*120+N38*600+H38*225</f>
        <v>0</v>
      </c>
    </row>
    <row r="39" spans="1:24" x14ac:dyDescent="0.25">
      <c r="A39" s="2">
        <v>43007</v>
      </c>
      <c r="B39" s="1">
        <v>8591</v>
      </c>
      <c r="C39" s="1">
        <f>B39-8592</f>
        <v>-1</v>
      </c>
      <c r="D39" s="1">
        <v>0</v>
      </c>
      <c r="E39" s="1">
        <f>D39-153</f>
        <v>-153</v>
      </c>
      <c r="F39" s="1">
        <v>10</v>
      </c>
      <c r="G39" s="1">
        <f>F39-109</f>
        <v>-99</v>
      </c>
      <c r="H39" s="1">
        <f>G39+E39</f>
        <v>-252</v>
      </c>
      <c r="J39" s="1">
        <v>0</v>
      </c>
      <c r="K39" s="1">
        <f>125-J39</f>
        <v>125</v>
      </c>
      <c r="L39" s="1">
        <v>0</v>
      </c>
      <c r="M39" s="1">
        <f>74-L39</f>
        <v>74</v>
      </c>
      <c r="N39" s="1">
        <f>M39+K39</f>
        <v>199</v>
      </c>
      <c r="P39" s="1">
        <v>19184</v>
      </c>
      <c r="Q39" s="1">
        <f>P39-19304</f>
        <v>-120</v>
      </c>
      <c r="R39" s="1">
        <v>0</v>
      </c>
      <c r="S39" s="1">
        <f>R39-403</f>
        <v>-403</v>
      </c>
      <c r="T39" s="1">
        <v>134</v>
      </c>
      <c r="U39" s="1">
        <f>T39-300</f>
        <v>-166</v>
      </c>
      <c r="V39" s="1">
        <f>U39+S39</f>
        <v>-569</v>
      </c>
      <c r="X39" s="3">
        <f>V39*120+N39*600+H39*225</f>
        <v>-5580</v>
      </c>
    </row>
    <row r="41" spans="1:24" x14ac:dyDescent="0.25">
      <c r="A41" s="1" t="s">
        <v>0</v>
      </c>
      <c r="B41" s="1" t="s">
        <v>1</v>
      </c>
      <c r="C41" s="1" t="s">
        <v>2</v>
      </c>
      <c r="D41" s="1" t="s">
        <v>85</v>
      </c>
      <c r="E41" s="1" t="s">
        <v>2</v>
      </c>
      <c r="F41" s="1" t="s">
        <v>83</v>
      </c>
      <c r="G41" s="1" t="s">
        <v>2</v>
      </c>
      <c r="H41" s="1" t="s">
        <v>5</v>
      </c>
      <c r="J41" s="1">
        <v>865</v>
      </c>
      <c r="K41" s="1" t="s">
        <v>2</v>
      </c>
      <c r="L41" s="1" t="s">
        <v>86</v>
      </c>
      <c r="M41" s="1" t="s">
        <v>2</v>
      </c>
      <c r="N41" s="1" t="s">
        <v>5</v>
      </c>
      <c r="R41" s="1" t="s">
        <v>94</v>
      </c>
      <c r="S41" s="1" t="s">
        <v>2</v>
      </c>
      <c r="T41" s="1" t="s">
        <v>95</v>
      </c>
      <c r="U41" s="1" t="s">
        <v>2</v>
      </c>
      <c r="V41" s="1" t="s">
        <v>5</v>
      </c>
      <c r="X41" s="1" t="s">
        <v>9</v>
      </c>
    </row>
    <row r="42" spans="1:24" x14ac:dyDescent="0.25">
      <c r="A42" s="2">
        <v>43007</v>
      </c>
      <c r="B42" s="1">
        <v>8591</v>
      </c>
      <c r="C42" s="1">
        <f>B42-8591</f>
        <v>0</v>
      </c>
      <c r="D42" s="1">
        <v>182</v>
      </c>
      <c r="E42" s="1">
        <f>D42-182</f>
        <v>0</v>
      </c>
      <c r="F42" s="1">
        <v>147</v>
      </c>
      <c r="G42" s="1">
        <f>F42-147</f>
        <v>0</v>
      </c>
      <c r="H42" s="1">
        <f>G42+E42</f>
        <v>0</v>
      </c>
      <c r="J42" s="1">
        <v>152</v>
      </c>
      <c r="K42" s="1">
        <f>152-J42</f>
        <v>0</v>
      </c>
      <c r="L42" s="1">
        <v>114</v>
      </c>
      <c r="M42" s="1">
        <f>114-L42</f>
        <v>0</v>
      </c>
      <c r="N42" s="1">
        <f>M42+K42</f>
        <v>0</v>
      </c>
      <c r="P42" s="1">
        <v>19184</v>
      </c>
      <c r="Q42" s="1">
        <f>P42-19184</f>
        <v>0</v>
      </c>
      <c r="R42" s="1">
        <v>507</v>
      </c>
      <c r="S42" s="1">
        <f>R42-507</f>
        <v>0</v>
      </c>
      <c r="T42" s="1">
        <v>373</v>
      </c>
      <c r="U42" s="1">
        <f>T42-373</f>
        <v>0</v>
      </c>
      <c r="V42" s="1">
        <f>U42+S42</f>
        <v>0</v>
      </c>
      <c r="X42" s="1">
        <f>V42*120+N42*600+H42*225</f>
        <v>0</v>
      </c>
    </row>
    <row r="43" spans="1:24" x14ac:dyDescent="0.25">
      <c r="A43" s="2">
        <v>43035</v>
      </c>
      <c r="B43" s="1">
        <v>8615</v>
      </c>
      <c r="C43" s="1">
        <f>B43-8591</f>
        <v>24</v>
      </c>
      <c r="D43" s="1">
        <v>11</v>
      </c>
      <c r="E43" s="1">
        <f>D43-182</f>
        <v>-171</v>
      </c>
      <c r="F43" s="1">
        <v>1</v>
      </c>
      <c r="G43" s="1">
        <f>F43-147</f>
        <v>-146</v>
      </c>
      <c r="H43" s="1">
        <f>G43+E43</f>
        <v>-317</v>
      </c>
      <c r="J43" s="1">
        <v>0</v>
      </c>
      <c r="K43" s="1">
        <f>152-J43</f>
        <v>152</v>
      </c>
      <c r="L43" s="1">
        <v>0</v>
      </c>
      <c r="M43" s="1">
        <f>114-L43</f>
        <v>114</v>
      </c>
      <c r="N43" s="1">
        <f>M43+K43</f>
        <v>266</v>
      </c>
      <c r="P43" s="1">
        <v>19514</v>
      </c>
      <c r="Q43" s="1">
        <f>P43-19184</f>
        <v>330</v>
      </c>
      <c r="R43" s="1">
        <v>286</v>
      </c>
      <c r="S43" s="1">
        <f>R43-507</f>
        <v>-221</v>
      </c>
      <c r="T43" s="1">
        <v>0</v>
      </c>
      <c r="U43" s="1">
        <f>T43-373</f>
        <v>-373</v>
      </c>
      <c r="V43" s="1">
        <f>U43+S43</f>
        <v>-594</v>
      </c>
      <c r="X43" s="3">
        <f>V43*120+N43*600+H43*225</f>
        <v>16995</v>
      </c>
    </row>
    <row r="45" spans="1:24" x14ac:dyDescent="0.25">
      <c r="A45" s="1" t="s">
        <v>0</v>
      </c>
      <c r="B45" s="1" t="s">
        <v>1</v>
      </c>
      <c r="C45" s="1" t="s">
        <v>2</v>
      </c>
      <c r="D45" s="1" t="s">
        <v>85</v>
      </c>
      <c r="E45" s="1" t="s">
        <v>2</v>
      </c>
      <c r="F45" s="1" t="s">
        <v>83</v>
      </c>
      <c r="G45" s="1" t="s">
        <v>2</v>
      </c>
      <c r="H45" s="1" t="s">
        <v>5</v>
      </c>
      <c r="J45" s="1">
        <v>865</v>
      </c>
      <c r="K45" s="1" t="s">
        <v>2</v>
      </c>
      <c r="L45" s="1" t="s">
        <v>86</v>
      </c>
      <c r="M45" s="1" t="s">
        <v>2</v>
      </c>
      <c r="N45" s="1" t="s">
        <v>5</v>
      </c>
      <c r="R45" s="1" t="s">
        <v>94</v>
      </c>
      <c r="S45" s="1" t="s">
        <v>2</v>
      </c>
      <c r="T45" s="1" t="s">
        <v>95</v>
      </c>
      <c r="U45" s="1" t="s">
        <v>2</v>
      </c>
      <c r="V45" s="1" t="s">
        <v>5</v>
      </c>
      <c r="X45" s="1" t="s">
        <v>9</v>
      </c>
    </row>
    <row r="46" spans="1:24" x14ac:dyDescent="0.25">
      <c r="A46" s="2">
        <v>43007</v>
      </c>
      <c r="B46" s="1">
        <v>8591</v>
      </c>
      <c r="C46" s="1">
        <f>B46-8591</f>
        <v>0</v>
      </c>
      <c r="D46" s="1">
        <v>182</v>
      </c>
      <c r="E46" s="1">
        <f>D46-182</f>
        <v>0</v>
      </c>
      <c r="F46" s="1">
        <v>147</v>
      </c>
      <c r="G46" s="1">
        <f>F46-147</f>
        <v>0</v>
      </c>
      <c r="H46" s="1">
        <f>G46+E46</f>
        <v>0</v>
      </c>
      <c r="J46" s="1">
        <v>152</v>
      </c>
      <c r="K46" s="1">
        <f>152-J46</f>
        <v>0</v>
      </c>
      <c r="L46" s="1">
        <v>114</v>
      </c>
      <c r="M46" s="1">
        <f>114-L46</f>
        <v>0</v>
      </c>
      <c r="N46" s="1">
        <f>M46+K46</f>
        <v>0</v>
      </c>
      <c r="P46" s="1">
        <v>19184</v>
      </c>
      <c r="Q46" s="1">
        <f>P46-19184</f>
        <v>0</v>
      </c>
      <c r="R46" s="1">
        <v>507</v>
      </c>
      <c r="S46" s="1">
        <f>R46-507</f>
        <v>0</v>
      </c>
      <c r="T46" s="1">
        <v>373</v>
      </c>
      <c r="U46" s="1">
        <f>T46-373</f>
        <v>0</v>
      </c>
      <c r="V46" s="1">
        <f>U46+S46</f>
        <v>0</v>
      </c>
      <c r="X46" s="1">
        <f>V46*120+N46*600+H46*225</f>
        <v>0</v>
      </c>
    </row>
    <row r="47" spans="1:24" x14ac:dyDescent="0.25">
      <c r="A47" s="2">
        <v>43035</v>
      </c>
      <c r="B47" s="1">
        <v>8615</v>
      </c>
      <c r="C47" s="1">
        <f>B47-8591</f>
        <v>24</v>
      </c>
      <c r="D47" s="1">
        <v>11</v>
      </c>
      <c r="E47" s="1">
        <f>D47-182</f>
        <v>-171</v>
      </c>
      <c r="F47" s="1">
        <v>1</v>
      </c>
      <c r="G47" s="1">
        <f>F47-147</f>
        <v>-146</v>
      </c>
      <c r="H47" s="1">
        <f>G47+E47</f>
        <v>-317</v>
      </c>
      <c r="J47" s="1">
        <v>0</v>
      </c>
      <c r="K47" s="1">
        <f>152-J47</f>
        <v>152</v>
      </c>
      <c r="L47" s="1">
        <v>0</v>
      </c>
      <c r="M47" s="1">
        <f>114-L47</f>
        <v>114</v>
      </c>
      <c r="N47" s="1">
        <f>M47+K47</f>
        <v>266</v>
      </c>
      <c r="P47" s="1">
        <v>19514</v>
      </c>
      <c r="Q47" s="1">
        <f>P47-19184</f>
        <v>330</v>
      </c>
      <c r="R47" s="1">
        <v>286</v>
      </c>
      <c r="S47" s="1">
        <f>R47-507</f>
        <v>-221</v>
      </c>
      <c r="T47" s="1">
        <v>0</v>
      </c>
      <c r="U47" s="1">
        <f>T47-373</f>
        <v>-373</v>
      </c>
      <c r="V47" s="1">
        <f>U47+S47</f>
        <v>-594</v>
      </c>
      <c r="X47" s="3">
        <f>V47*120+N47*600+H47*225</f>
        <v>16995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P2" sqref="P2"/>
    </sheetView>
  </sheetViews>
  <sheetFormatPr defaultRowHeight="15" x14ac:dyDescent="0.25"/>
  <cols>
    <col min="1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64</v>
      </c>
      <c r="E1" s="1" t="s">
        <v>2</v>
      </c>
      <c r="F1" s="1" t="s">
        <v>64</v>
      </c>
      <c r="G1" s="1" t="s">
        <v>2</v>
      </c>
      <c r="H1" s="1" t="s">
        <v>5</v>
      </c>
      <c r="I1" s="1" t="s">
        <v>4</v>
      </c>
      <c r="J1" s="1" t="s">
        <v>2</v>
      </c>
      <c r="K1" s="1" t="s">
        <v>20</v>
      </c>
      <c r="L1" s="1" t="s">
        <v>2</v>
      </c>
      <c r="M1" s="1" t="s">
        <v>5</v>
      </c>
      <c r="N1" s="1" t="s">
        <v>9</v>
      </c>
      <c r="P1" s="1">
        <v>128</v>
      </c>
      <c r="Q1" s="1">
        <v>115</v>
      </c>
      <c r="R1" s="1">
        <v>243</v>
      </c>
    </row>
    <row r="2" spans="1:19" x14ac:dyDescent="0.25">
      <c r="A2" s="2">
        <v>43098</v>
      </c>
      <c r="B2" s="1">
        <v>8103</v>
      </c>
      <c r="C2" s="1">
        <f>B2-8103</f>
        <v>0</v>
      </c>
      <c r="D2" s="1">
        <v>173</v>
      </c>
      <c r="E2" s="1">
        <f>173-D2</f>
        <v>0</v>
      </c>
      <c r="F2" s="1">
        <v>115</v>
      </c>
      <c r="G2" s="1">
        <f>F2-115</f>
        <v>0</v>
      </c>
      <c r="H2" s="1">
        <f>G2+E2</f>
        <v>0</v>
      </c>
      <c r="I2" s="1">
        <v>80</v>
      </c>
      <c r="J2" s="1">
        <f>80-I2</f>
        <v>0</v>
      </c>
      <c r="K2" s="1">
        <v>56</v>
      </c>
      <c r="L2" s="1">
        <f>K2-56</f>
        <v>0</v>
      </c>
      <c r="M2" s="1">
        <f>L2+J2</f>
        <v>0</v>
      </c>
      <c r="N2" s="1">
        <f>M2+H2</f>
        <v>0</v>
      </c>
      <c r="P2" s="1">
        <v>208</v>
      </c>
      <c r="Q2" s="1">
        <v>174</v>
      </c>
      <c r="R2" s="1">
        <v>382</v>
      </c>
    </row>
    <row r="3" spans="1:19" x14ac:dyDescent="0.25">
      <c r="A3" s="2">
        <v>42738</v>
      </c>
      <c r="B3" s="1">
        <v>8192</v>
      </c>
      <c r="C3" s="1">
        <f>B3-8103</f>
        <v>89</v>
      </c>
      <c r="D3" s="1">
        <v>141</v>
      </c>
      <c r="E3" s="1">
        <f>173-D3</f>
        <v>32</v>
      </c>
      <c r="F3" s="1">
        <v>80</v>
      </c>
      <c r="G3" s="1">
        <f>F3-115</f>
        <v>-35</v>
      </c>
      <c r="H3" s="1">
        <f>G3+E3</f>
        <v>-3</v>
      </c>
      <c r="I3" s="5">
        <v>56</v>
      </c>
      <c r="J3" s="1">
        <f>80-I3</f>
        <v>24</v>
      </c>
      <c r="K3" s="5">
        <v>37</v>
      </c>
      <c r="L3" s="1">
        <f>K3-56</f>
        <v>-19</v>
      </c>
      <c r="M3" s="1">
        <f>L3+J3</f>
        <v>5</v>
      </c>
      <c r="N3" s="1">
        <f>M3+H3</f>
        <v>2</v>
      </c>
    </row>
    <row r="4" spans="1:19" x14ac:dyDescent="0.25">
      <c r="A4" s="2">
        <v>42760</v>
      </c>
      <c r="B4" s="1">
        <v>8602</v>
      </c>
      <c r="C4" s="1">
        <f>B4-8103</f>
        <v>499</v>
      </c>
      <c r="D4" s="1">
        <v>22</v>
      </c>
      <c r="E4" s="1">
        <f>173-D4</f>
        <v>151</v>
      </c>
      <c r="F4" s="1">
        <v>0</v>
      </c>
      <c r="G4" s="1">
        <f>F4-115</f>
        <v>-115</v>
      </c>
      <c r="H4" s="1">
        <f>G4+E4</f>
        <v>36</v>
      </c>
      <c r="I4" s="1">
        <v>0</v>
      </c>
      <c r="J4" s="1">
        <f>80-I4</f>
        <v>80</v>
      </c>
      <c r="K4" s="1">
        <v>0</v>
      </c>
      <c r="L4" s="1">
        <f>K4-56</f>
        <v>-56</v>
      </c>
      <c r="M4" s="1">
        <f>L4+J4</f>
        <v>24</v>
      </c>
      <c r="N4" s="3">
        <f>M4+H4</f>
        <v>60</v>
      </c>
      <c r="P4" s="1">
        <v>78</v>
      </c>
      <c r="Q4" s="1" t="s">
        <v>96</v>
      </c>
      <c r="S4" s="1">
        <v>78</v>
      </c>
    </row>
    <row r="5" spans="1:19" x14ac:dyDescent="0.25">
      <c r="P5" s="1">
        <v>44</v>
      </c>
      <c r="Q5" s="1" t="s">
        <v>97</v>
      </c>
      <c r="S5" s="1">
        <v>-44</v>
      </c>
    </row>
    <row r="6" spans="1:19" x14ac:dyDescent="0.25">
      <c r="A6" s="2"/>
      <c r="I6" s="3"/>
      <c r="P6" s="1">
        <v>208</v>
      </c>
      <c r="Q6" s="1" t="s">
        <v>96</v>
      </c>
      <c r="S6" s="1">
        <v>80</v>
      </c>
    </row>
    <row r="7" spans="1:19" x14ac:dyDescent="0.25">
      <c r="A7" s="1" t="s">
        <v>0</v>
      </c>
      <c r="B7" s="1" t="s">
        <v>1</v>
      </c>
      <c r="C7" s="1" t="s">
        <v>2</v>
      </c>
      <c r="D7" s="1" t="s">
        <v>4</v>
      </c>
      <c r="E7" s="1" t="s">
        <v>2</v>
      </c>
      <c r="F7" s="1" t="s">
        <v>4</v>
      </c>
      <c r="G7" s="1" t="s">
        <v>2</v>
      </c>
      <c r="H7" s="1" t="s">
        <v>5</v>
      </c>
      <c r="I7" s="1" t="s">
        <v>20</v>
      </c>
      <c r="J7" s="1" t="s">
        <v>2</v>
      </c>
      <c r="K7" s="1" t="s">
        <v>7</v>
      </c>
      <c r="L7" s="1" t="s">
        <v>2</v>
      </c>
      <c r="M7" s="1" t="s">
        <v>5</v>
      </c>
      <c r="N7" s="1" t="s">
        <v>9</v>
      </c>
      <c r="P7" s="1">
        <v>128</v>
      </c>
      <c r="Q7" s="1" t="s">
        <v>97</v>
      </c>
      <c r="S7" s="1">
        <v>-128</v>
      </c>
    </row>
    <row r="8" spans="1:19" x14ac:dyDescent="0.25">
      <c r="A8" s="2">
        <v>43097</v>
      </c>
      <c r="B8" s="1">
        <v>7946</v>
      </c>
      <c r="C8" s="1">
        <f>B8-7946</f>
        <v>0</v>
      </c>
      <c r="D8" s="1">
        <v>170</v>
      </c>
      <c r="E8" s="1">
        <f>170-D8</f>
        <v>0</v>
      </c>
      <c r="F8" s="1">
        <v>135</v>
      </c>
      <c r="G8" s="1">
        <f>F8-135</f>
        <v>0</v>
      </c>
      <c r="H8" s="1">
        <f>G8+E8</f>
        <v>0</v>
      </c>
      <c r="I8" s="1">
        <v>90</v>
      </c>
      <c r="J8" s="1">
        <f>90-I8</f>
        <v>0</v>
      </c>
      <c r="K8" s="1">
        <v>60</v>
      </c>
      <c r="L8" s="1">
        <f>K8-60</f>
        <v>0</v>
      </c>
      <c r="M8" s="1">
        <f>L8+J8</f>
        <v>0</v>
      </c>
      <c r="N8" s="1">
        <f>M8+H8</f>
        <v>0</v>
      </c>
    </row>
    <row r="9" spans="1:19" x14ac:dyDescent="0.25">
      <c r="A9" s="2">
        <v>42763</v>
      </c>
      <c r="B9" s="1">
        <v>7424</v>
      </c>
      <c r="C9" s="1">
        <f>B9-7946</f>
        <v>-522</v>
      </c>
      <c r="D9" s="1">
        <v>546</v>
      </c>
      <c r="E9" s="1">
        <f>170-D9</f>
        <v>-376</v>
      </c>
      <c r="F9" s="1">
        <v>571</v>
      </c>
      <c r="G9" s="3">
        <f>F9-135</f>
        <v>436</v>
      </c>
      <c r="H9" s="1">
        <f>G9+E9</f>
        <v>60</v>
      </c>
      <c r="I9" s="1">
        <v>470</v>
      </c>
      <c r="J9" s="1">
        <f>90-I9</f>
        <v>-380</v>
      </c>
      <c r="K9" s="1">
        <v>369</v>
      </c>
      <c r="L9" s="1">
        <f>K9-60</f>
        <v>309</v>
      </c>
      <c r="M9" s="3">
        <f>L9+J9</f>
        <v>-71</v>
      </c>
      <c r="N9" s="3">
        <f>M9+H9</f>
        <v>-11</v>
      </c>
    </row>
    <row r="11" spans="1:19" x14ac:dyDescent="0.25">
      <c r="A11" s="1" t="s">
        <v>0</v>
      </c>
      <c r="B11" s="1" t="s">
        <v>1</v>
      </c>
      <c r="C11" s="1" t="s">
        <v>2</v>
      </c>
      <c r="D11" s="1" t="s">
        <v>4</v>
      </c>
      <c r="E11" s="1" t="s">
        <v>2</v>
      </c>
      <c r="F11" s="1" t="s">
        <v>64</v>
      </c>
      <c r="G11" s="1" t="s">
        <v>2</v>
      </c>
      <c r="H11" s="1" t="s">
        <v>5</v>
      </c>
      <c r="I11" s="1" t="s">
        <v>20</v>
      </c>
      <c r="J11" s="1" t="s">
        <v>2</v>
      </c>
      <c r="K11" s="1" t="s">
        <v>7</v>
      </c>
      <c r="L11" s="1" t="s">
        <v>2</v>
      </c>
      <c r="M11" s="1" t="s">
        <v>5</v>
      </c>
      <c r="N11" s="1" t="s">
        <v>9</v>
      </c>
    </row>
    <row r="12" spans="1:19" x14ac:dyDescent="0.25">
      <c r="A12" s="2">
        <v>43097</v>
      </c>
      <c r="B12" s="1">
        <v>7946</v>
      </c>
      <c r="C12" s="1">
        <f>B12-7946</f>
        <v>0</v>
      </c>
      <c r="D12" s="1">
        <v>170</v>
      </c>
      <c r="E12" s="1">
        <f>170-D12</f>
        <v>0</v>
      </c>
      <c r="F12" s="1">
        <v>194</v>
      </c>
      <c r="G12" s="1">
        <f>F12-194</f>
        <v>0</v>
      </c>
      <c r="H12" s="1">
        <f>G12+E12</f>
        <v>0</v>
      </c>
      <c r="I12" s="1">
        <v>127</v>
      </c>
      <c r="J12" s="1">
        <f>127-I12</f>
        <v>0</v>
      </c>
      <c r="K12" s="1">
        <v>60</v>
      </c>
      <c r="L12" s="1">
        <f>K12-60</f>
        <v>0</v>
      </c>
      <c r="M12" s="1">
        <f>L12+J12</f>
        <v>0</v>
      </c>
      <c r="N12" s="1">
        <f>M12+H12</f>
        <v>0</v>
      </c>
    </row>
    <row r="13" spans="1:19" x14ac:dyDescent="0.25">
      <c r="A13" s="2">
        <v>42763</v>
      </c>
      <c r="B13" s="1">
        <v>7424</v>
      </c>
      <c r="C13" s="1">
        <f>B13-7946</f>
        <v>-522</v>
      </c>
      <c r="D13" s="1">
        <v>546</v>
      </c>
      <c r="E13" s="1">
        <f>170-D13</f>
        <v>-376</v>
      </c>
      <c r="F13" s="1">
        <v>673</v>
      </c>
      <c r="G13" s="5">
        <f>F13-194</f>
        <v>479</v>
      </c>
      <c r="H13" s="1">
        <f>G13+E13</f>
        <v>103</v>
      </c>
      <c r="I13" s="1">
        <v>449</v>
      </c>
      <c r="J13" s="1">
        <f>127-I13</f>
        <v>-322</v>
      </c>
      <c r="K13" s="1">
        <v>369</v>
      </c>
      <c r="L13" s="1">
        <f>K13-60</f>
        <v>309</v>
      </c>
      <c r="M13" s="5">
        <f>L13+J13</f>
        <v>-13</v>
      </c>
      <c r="N13" s="3">
        <f>M13+H13</f>
        <v>90</v>
      </c>
    </row>
    <row r="14" spans="1:19" x14ac:dyDescent="0.25">
      <c r="A14" s="2"/>
      <c r="N14" s="3"/>
    </row>
    <row r="15" spans="1:19" x14ac:dyDescent="0.25">
      <c r="A15" s="1" t="s">
        <v>0</v>
      </c>
      <c r="B15" s="1" t="s">
        <v>1</v>
      </c>
      <c r="C15" s="1" t="s">
        <v>2</v>
      </c>
      <c r="D15" s="1" t="s">
        <v>16</v>
      </c>
      <c r="E15" s="1" t="s">
        <v>2</v>
      </c>
      <c r="F15" s="1" t="s">
        <v>23</v>
      </c>
      <c r="G15" s="1" t="s">
        <v>2</v>
      </c>
      <c r="H15" s="1" t="s">
        <v>5</v>
      </c>
      <c r="I15" s="1" t="s">
        <v>18</v>
      </c>
      <c r="J15" s="1" t="s">
        <v>2</v>
      </c>
      <c r="K15" s="1" t="s">
        <v>25</v>
      </c>
      <c r="L15" s="1" t="s">
        <v>2</v>
      </c>
      <c r="M15" s="1" t="s">
        <v>5</v>
      </c>
      <c r="N15" s="1" t="s">
        <v>9</v>
      </c>
    </row>
    <row r="16" spans="1:19" x14ac:dyDescent="0.25">
      <c r="A16" s="2">
        <v>42763</v>
      </c>
      <c r="B16" s="1">
        <v>7424</v>
      </c>
      <c r="C16" s="1">
        <f>B16-7424</f>
        <v>0</v>
      </c>
      <c r="D16" s="1">
        <v>194</v>
      </c>
      <c r="E16" s="1">
        <f>194-D16</f>
        <v>0</v>
      </c>
      <c r="F16" s="1">
        <v>159</v>
      </c>
      <c r="G16" s="1">
        <f>F16-159</f>
        <v>0</v>
      </c>
      <c r="H16" s="1">
        <f>G16+E16</f>
        <v>0</v>
      </c>
      <c r="I16" s="1">
        <v>156</v>
      </c>
      <c r="J16" s="1">
        <f>156-I16</f>
        <v>0</v>
      </c>
      <c r="K16" s="1">
        <v>57</v>
      </c>
      <c r="L16" s="1">
        <f>K16-57</f>
        <v>0</v>
      </c>
      <c r="M16" s="1">
        <f>L16+J16</f>
        <v>0</v>
      </c>
      <c r="N16" s="1">
        <f>M16+H16</f>
        <v>0</v>
      </c>
    </row>
    <row r="17" spans="1:14" x14ac:dyDescent="0.25">
      <c r="A17" s="2">
        <v>42791</v>
      </c>
      <c r="B17" s="1">
        <v>6970</v>
      </c>
      <c r="C17" s="1">
        <f>B17-7424</f>
        <v>-454</v>
      </c>
      <c r="D17" s="1">
        <v>428</v>
      </c>
      <c r="E17" s="1">
        <f>194-D17</f>
        <v>-234</v>
      </c>
      <c r="F17" s="1">
        <v>532</v>
      </c>
      <c r="G17" s="1">
        <f>F17-159</f>
        <v>373</v>
      </c>
      <c r="H17" s="1">
        <f>G17+E17</f>
        <v>139</v>
      </c>
      <c r="I17" s="1">
        <v>350</v>
      </c>
      <c r="J17" s="1">
        <f>156-I17</f>
        <v>-194</v>
      </c>
      <c r="K17" s="1">
        <v>231</v>
      </c>
      <c r="L17" s="1">
        <f>K17-57</f>
        <v>174</v>
      </c>
      <c r="M17" s="5">
        <f>L17+J17</f>
        <v>-20</v>
      </c>
      <c r="N17" s="3">
        <f>M17+H17</f>
        <v>119</v>
      </c>
    </row>
    <row r="19" spans="1:14" x14ac:dyDescent="0.25">
      <c r="A19" s="1" t="s">
        <v>0</v>
      </c>
      <c r="B19" s="1" t="s">
        <v>1</v>
      </c>
      <c r="C19" s="1" t="s">
        <v>2</v>
      </c>
      <c r="D19" s="1" t="s">
        <v>24</v>
      </c>
      <c r="E19" s="1" t="s">
        <v>2</v>
      </c>
      <c r="F19" s="1" t="s">
        <v>35</v>
      </c>
      <c r="G19" s="1" t="s">
        <v>2</v>
      </c>
      <c r="H19" s="1" t="s">
        <v>5</v>
      </c>
      <c r="I19" s="1" t="s">
        <v>34</v>
      </c>
      <c r="J19" s="1" t="s">
        <v>2</v>
      </c>
      <c r="K19" s="1" t="s">
        <v>98</v>
      </c>
      <c r="L19" s="1" t="s">
        <v>2</v>
      </c>
      <c r="M19" s="1" t="s">
        <v>5</v>
      </c>
      <c r="N19" s="1" t="s">
        <v>9</v>
      </c>
    </row>
    <row r="20" spans="1:14" x14ac:dyDescent="0.25">
      <c r="A20" s="2">
        <v>42791</v>
      </c>
      <c r="B20" s="1">
        <v>6970</v>
      </c>
      <c r="C20" s="1">
        <f>B20-6970</f>
        <v>0</v>
      </c>
      <c r="D20" s="1">
        <v>206</v>
      </c>
      <c r="E20" s="1">
        <f>206-D20</f>
        <v>0</v>
      </c>
      <c r="F20" s="1">
        <v>224</v>
      </c>
      <c r="G20" s="1">
        <f>F20-224</f>
        <v>0</v>
      </c>
      <c r="H20" s="1">
        <f>G20+E20</f>
        <v>0</v>
      </c>
      <c r="I20" s="1">
        <v>172</v>
      </c>
      <c r="J20" s="1">
        <f>172-I20</f>
        <v>0</v>
      </c>
      <c r="K20" s="1">
        <v>109</v>
      </c>
      <c r="L20" s="1">
        <f>K20-109</f>
        <v>0</v>
      </c>
      <c r="M20" s="1">
        <f>L20+J20</f>
        <v>0</v>
      </c>
      <c r="N20" s="1">
        <f>M20+H20</f>
        <v>0</v>
      </c>
    </row>
    <row r="21" spans="1:14" x14ac:dyDescent="0.25">
      <c r="A21" s="2">
        <v>42825</v>
      </c>
      <c r="B21" s="1">
        <v>7738</v>
      </c>
      <c r="C21" s="1">
        <f>B21-6970</f>
        <v>768</v>
      </c>
      <c r="D21" s="1">
        <v>8</v>
      </c>
      <c r="E21" s="1">
        <f>206-D21</f>
        <v>198</v>
      </c>
      <c r="F21" s="1">
        <v>0</v>
      </c>
      <c r="G21" s="1">
        <f>F21-224</f>
        <v>-224</v>
      </c>
      <c r="H21" s="1">
        <f>G21+E21</f>
        <v>-26</v>
      </c>
      <c r="I21" s="1">
        <v>6</v>
      </c>
      <c r="J21" s="1">
        <f>172-I21</f>
        <v>166</v>
      </c>
      <c r="K21" s="1">
        <v>0</v>
      </c>
      <c r="L21" s="1">
        <f>K21-109</f>
        <v>-109</v>
      </c>
      <c r="M21" s="5">
        <f>L21+J21</f>
        <v>57</v>
      </c>
      <c r="N21" s="3">
        <f>M21+H21</f>
        <v>31</v>
      </c>
    </row>
    <row r="23" spans="1:14" x14ac:dyDescent="0.25">
      <c r="A23" s="1" t="s">
        <v>0</v>
      </c>
      <c r="B23" s="1" t="s">
        <v>1</v>
      </c>
      <c r="C23" s="1" t="s">
        <v>2</v>
      </c>
      <c r="D23" s="1" t="s">
        <v>21</v>
      </c>
      <c r="E23" s="1" t="s">
        <v>2</v>
      </c>
      <c r="F23" s="1" t="s">
        <v>7</v>
      </c>
      <c r="G23" s="1" t="s">
        <v>2</v>
      </c>
      <c r="H23" s="1" t="s">
        <v>5</v>
      </c>
      <c r="I23" s="1" t="s">
        <v>22</v>
      </c>
      <c r="J23" s="1" t="s">
        <v>2</v>
      </c>
      <c r="K23" s="1" t="s">
        <v>23</v>
      </c>
      <c r="L23" s="1" t="s">
        <v>2</v>
      </c>
      <c r="M23" s="1" t="s">
        <v>5</v>
      </c>
      <c r="N23" s="1" t="s">
        <v>9</v>
      </c>
    </row>
    <row r="24" spans="1:14" x14ac:dyDescent="0.25">
      <c r="A24" s="2">
        <v>42825</v>
      </c>
      <c r="B24" s="1">
        <v>7738</v>
      </c>
      <c r="C24" s="1">
        <f>B24-7738</f>
        <v>0</v>
      </c>
      <c r="D24" s="1">
        <v>138</v>
      </c>
      <c r="E24" s="1">
        <f>138-D24</f>
        <v>0</v>
      </c>
      <c r="F24" s="1">
        <v>139</v>
      </c>
      <c r="G24" s="1">
        <f>F24-139</f>
        <v>0</v>
      </c>
      <c r="H24" s="1">
        <f>G24+E24</f>
        <v>0</v>
      </c>
      <c r="I24" s="1">
        <v>110</v>
      </c>
      <c r="J24" s="1">
        <f>110-I24</f>
        <v>0</v>
      </c>
      <c r="K24" s="1">
        <v>46</v>
      </c>
      <c r="L24" s="1">
        <f>K24-46</f>
        <v>0</v>
      </c>
      <c r="M24" s="1">
        <f>L24+J24</f>
        <v>0</v>
      </c>
      <c r="N24" s="1">
        <f>M24+H24</f>
        <v>0</v>
      </c>
    </row>
    <row r="25" spans="1:14" x14ac:dyDescent="0.25">
      <c r="A25" s="2">
        <v>42853</v>
      </c>
      <c r="B25" s="1">
        <v>7847</v>
      </c>
      <c r="C25" s="1">
        <f>B25-7738</f>
        <v>109</v>
      </c>
      <c r="D25" s="1">
        <v>66</v>
      </c>
      <c r="E25" s="1">
        <f>138-D25</f>
        <v>72</v>
      </c>
      <c r="F25" s="1">
        <v>0</v>
      </c>
      <c r="G25" s="1">
        <f>F25-139</f>
        <v>-139</v>
      </c>
      <c r="H25" s="1">
        <f>G25+E25</f>
        <v>-67</v>
      </c>
      <c r="I25" s="1">
        <v>46</v>
      </c>
      <c r="J25" s="1">
        <f>110-I25</f>
        <v>64</v>
      </c>
      <c r="K25" s="1">
        <v>0</v>
      </c>
      <c r="L25" s="1">
        <f>K25-46</f>
        <v>-46</v>
      </c>
      <c r="M25" s="5">
        <f>L25+J25</f>
        <v>18</v>
      </c>
      <c r="N25" s="3">
        <f>M25+H25</f>
        <v>-49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workbookViewId="0">
      <selection activeCell="Y47" activeCellId="10" sqref="Y4 Y9 Y14 Y19 Y23 Y27 Y31 Y35 Y39 Y43 Y47"/>
    </sheetView>
  </sheetViews>
  <sheetFormatPr defaultRowHeight="15" x14ac:dyDescent="0.25"/>
  <cols>
    <col min="1" max="1" width="7.42578125" style="1" bestFit="1" customWidth="1"/>
    <col min="2" max="2" width="5" style="1" bestFit="1" customWidth="1"/>
    <col min="3" max="3" width="4.7109375" style="1" bestFit="1" customWidth="1"/>
    <col min="4" max="4" width="5.5703125" style="1" bestFit="1" customWidth="1"/>
    <col min="5" max="5" width="4.7109375" style="1" bestFit="1" customWidth="1"/>
    <col min="6" max="6" width="5.5703125" style="1" bestFit="1" customWidth="1"/>
    <col min="7" max="8" width="4.7109375" style="1" bestFit="1" customWidth="1"/>
    <col min="9" max="9" width="9.140625" style="1"/>
    <col min="10" max="10" width="5.5703125" style="1" bestFit="1" customWidth="1"/>
    <col min="11" max="11" width="4.7109375" style="1" bestFit="1" customWidth="1"/>
    <col min="12" max="12" width="5.5703125" style="1" bestFit="1" customWidth="1"/>
    <col min="13" max="14" width="4.7109375" style="1" bestFit="1" customWidth="1"/>
    <col min="15" max="15" width="9.140625" style="1"/>
    <col min="16" max="16" width="6" style="1" bestFit="1" customWidth="1"/>
    <col min="17" max="17" width="5.7109375" style="1" bestFit="1" customWidth="1"/>
    <col min="18" max="18" width="5.5703125" style="1" bestFit="1" customWidth="1"/>
    <col min="19" max="19" width="5" style="1" bestFit="1" customWidth="1"/>
    <col min="20" max="20" width="5.5703125" style="1" bestFit="1" customWidth="1"/>
    <col min="21" max="22" width="5" style="1" bestFit="1" customWidth="1"/>
    <col min="23" max="23" width="9.140625" style="1"/>
    <col min="24" max="24" width="6.7109375" style="1" bestFit="1" customWidth="1"/>
    <col min="25" max="25" width="7.7109375" style="1" bestFit="1" customWidth="1"/>
    <col min="26" max="16384" width="9.140625" style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2</v>
      </c>
      <c r="F1" s="1" t="s">
        <v>40</v>
      </c>
      <c r="G1" s="1" t="s">
        <v>2</v>
      </c>
      <c r="H1" s="1" t="s">
        <v>5</v>
      </c>
      <c r="J1" s="1" t="s">
        <v>39</v>
      </c>
      <c r="K1" s="1" t="s">
        <v>2</v>
      </c>
      <c r="L1" s="1" t="s">
        <v>8</v>
      </c>
      <c r="M1" s="1" t="s">
        <v>2</v>
      </c>
      <c r="N1" s="1" t="s">
        <v>5</v>
      </c>
      <c r="P1" s="1" t="s">
        <v>27</v>
      </c>
      <c r="Q1" s="1" t="s">
        <v>2</v>
      </c>
      <c r="R1" s="1" t="s">
        <v>43</v>
      </c>
      <c r="S1" s="1" t="s">
        <v>2</v>
      </c>
      <c r="T1" s="1" t="s">
        <v>44</v>
      </c>
      <c r="U1" s="1" t="s">
        <v>2</v>
      </c>
      <c r="V1" s="1" t="s">
        <v>5</v>
      </c>
      <c r="X1" s="1" t="s">
        <v>9</v>
      </c>
      <c r="Y1" s="1" t="s">
        <v>9</v>
      </c>
    </row>
    <row r="2" spans="1:27" x14ac:dyDescent="0.25">
      <c r="A2" s="2">
        <v>43100</v>
      </c>
      <c r="B2" s="1">
        <v>7947</v>
      </c>
      <c r="C2" s="1">
        <f>B2-7947</f>
        <v>0</v>
      </c>
      <c r="D2" s="1">
        <v>114</v>
      </c>
      <c r="E2" s="1">
        <f>D2-114</f>
        <v>0</v>
      </c>
      <c r="F2" s="1">
        <v>112</v>
      </c>
      <c r="G2" s="1">
        <f>F2-112</f>
        <v>0</v>
      </c>
      <c r="H2" s="1">
        <f>G2+E2</f>
        <v>0</v>
      </c>
      <c r="J2" s="1">
        <v>68</v>
      </c>
      <c r="K2" s="1">
        <f>68-J2</f>
        <v>0</v>
      </c>
      <c r="L2" s="1">
        <v>74</v>
      </c>
      <c r="M2" s="1">
        <f>74-L2</f>
        <v>0</v>
      </c>
      <c r="N2" s="1">
        <f>M2+K2</f>
        <v>0</v>
      </c>
      <c r="P2" s="1">
        <v>16922</v>
      </c>
      <c r="Q2" s="1">
        <f>P2-16922</f>
        <v>0</v>
      </c>
      <c r="R2" s="1">
        <v>366</v>
      </c>
      <c r="S2" s="1">
        <f>R2-366</f>
        <v>0</v>
      </c>
      <c r="T2" s="1">
        <v>288</v>
      </c>
      <c r="U2" s="1">
        <f>T2-288</f>
        <v>0</v>
      </c>
      <c r="V2" s="1">
        <f>U2+S2</f>
        <v>0</v>
      </c>
      <c r="X2" s="1">
        <f>V2*120+N2*600+H2*225</f>
        <v>0</v>
      </c>
      <c r="Y2" s="1">
        <f>V2*200+N2*600</f>
        <v>0</v>
      </c>
    </row>
    <row r="3" spans="1:27" x14ac:dyDescent="0.25">
      <c r="A3" s="2">
        <v>42762</v>
      </c>
      <c r="B3" s="1">
        <v>7437</v>
      </c>
      <c r="C3" s="1">
        <f>B3-7947</f>
        <v>-510</v>
      </c>
      <c r="D3" s="1">
        <v>0</v>
      </c>
      <c r="E3" s="1">
        <f>D3-114</f>
        <v>-114</v>
      </c>
      <c r="F3" s="1">
        <v>516</v>
      </c>
      <c r="G3" s="1">
        <f>F3-112</f>
        <v>404</v>
      </c>
      <c r="H3" s="1">
        <f>G3+E3</f>
        <v>290</v>
      </c>
      <c r="J3" s="1">
        <v>0</v>
      </c>
      <c r="K3" s="1">
        <f>68-J3</f>
        <v>68</v>
      </c>
      <c r="L3" s="1">
        <v>426</v>
      </c>
      <c r="M3" s="1">
        <f>74-L3</f>
        <v>-352</v>
      </c>
      <c r="N3" s="1">
        <f>M3+K3</f>
        <v>-284</v>
      </c>
      <c r="P3" s="1">
        <v>15534</v>
      </c>
      <c r="Q3" s="1">
        <f>P3-16922</f>
        <v>-1388</v>
      </c>
      <c r="R3" s="1">
        <v>0</v>
      </c>
      <c r="S3" s="1">
        <f>R3-366</f>
        <v>-366</v>
      </c>
      <c r="T3" s="1">
        <v>1360</v>
      </c>
      <c r="U3" s="1">
        <f>T3-288</f>
        <v>1072</v>
      </c>
      <c r="V3" s="1">
        <f>U3+S3</f>
        <v>706</v>
      </c>
      <c r="X3" s="1">
        <f>V3*120+N3*600+H3*225</f>
        <v>-20430</v>
      </c>
      <c r="Y3" s="1">
        <f>V3*200+N3*600</f>
        <v>-29200</v>
      </c>
    </row>
    <row r="4" spans="1:27" x14ac:dyDescent="0.25">
      <c r="A4" s="2">
        <v>42763</v>
      </c>
      <c r="B4" s="1">
        <v>7424</v>
      </c>
      <c r="C4" s="1">
        <f>B4-7947</f>
        <v>-523</v>
      </c>
      <c r="D4" s="1">
        <v>0</v>
      </c>
      <c r="E4" s="1">
        <f>D4-114</f>
        <v>-114</v>
      </c>
      <c r="F4" s="1">
        <v>503</v>
      </c>
      <c r="G4" s="1">
        <f>F4-112</f>
        <v>391</v>
      </c>
      <c r="H4" s="1">
        <f>G4+E4</f>
        <v>277</v>
      </c>
      <c r="J4" s="1">
        <v>0</v>
      </c>
      <c r="K4" s="1">
        <f>68-J4</f>
        <v>68</v>
      </c>
      <c r="L4" s="1">
        <v>426</v>
      </c>
      <c r="M4" s="1">
        <f>74-L4</f>
        <v>-352</v>
      </c>
      <c r="N4" s="1">
        <f>M4+K4</f>
        <v>-284</v>
      </c>
      <c r="P4" s="1">
        <v>15381</v>
      </c>
      <c r="Q4" s="1">
        <f>P4-16922</f>
        <v>-1541</v>
      </c>
      <c r="R4" s="1">
        <v>0</v>
      </c>
      <c r="S4" s="1">
        <f>R4-366</f>
        <v>-366</v>
      </c>
      <c r="T4" s="1">
        <v>1501</v>
      </c>
      <c r="U4" s="1">
        <f>T4-288</f>
        <v>1213</v>
      </c>
      <c r="V4" s="1">
        <f>U4+S4</f>
        <v>847</v>
      </c>
      <c r="X4" s="3">
        <f>V4*120+N4*600+H4*225</f>
        <v>-6435</v>
      </c>
      <c r="Y4" s="1">
        <f>V4*200+N4*600</f>
        <v>-1000</v>
      </c>
    </row>
    <row r="5" spans="1:27" x14ac:dyDescent="0.25">
      <c r="A5" s="2"/>
    </row>
    <row r="6" spans="1:27" x14ac:dyDescent="0.25">
      <c r="A6" s="1" t="s">
        <v>0</v>
      </c>
      <c r="B6" s="1" t="s">
        <v>1</v>
      </c>
      <c r="C6" s="1" t="s">
        <v>2</v>
      </c>
      <c r="D6" s="1" t="s">
        <v>15</v>
      </c>
      <c r="E6" s="1" t="s">
        <v>2</v>
      </c>
      <c r="F6" s="1" t="s">
        <v>16</v>
      </c>
      <c r="G6" s="1" t="s">
        <v>2</v>
      </c>
      <c r="H6" s="1" t="s">
        <v>5</v>
      </c>
      <c r="J6" s="1" t="s">
        <v>12</v>
      </c>
      <c r="K6" s="1" t="s">
        <v>2</v>
      </c>
      <c r="L6" s="1" t="s">
        <v>45</v>
      </c>
      <c r="M6" s="1" t="s">
        <v>2</v>
      </c>
      <c r="N6" s="1" t="s">
        <v>5</v>
      </c>
      <c r="R6" s="1" t="s">
        <v>46</v>
      </c>
      <c r="S6" s="1" t="s">
        <v>2</v>
      </c>
      <c r="T6" s="1" t="s">
        <v>47</v>
      </c>
      <c r="U6" s="1" t="s">
        <v>2</v>
      </c>
      <c r="V6" s="1" t="s">
        <v>5</v>
      </c>
      <c r="X6" s="1" t="s">
        <v>9</v>
      </c>
      <c r="Y6" s="1" t="s">
        <v>9</v>
      </c>
    </row>
    <row r="7" spans="1:27" x14ac:dyDescent="0.25">
      <c r="A7" s="2">
        <v>42763</v>
      </c>
      <c r="B7" s="1">
        <v>7424</v>
      </c>
      <c r="C7" s="1">
        <f>B7-7424</f>
        <v>0</v>
      </c>
      <c r="D7" s="1">
        <v>162</v>
      </c>
      <c r="E7" s="1">
        <f>D7-162</f>
        <v>0</v>
      </c>
      <c r="F7" s="1">
        <v>116</v>
      </c>
      <c r="G7" s="1">
        <f>F7-116</f>
        <v>0</v>
      </c>
      <c r="H7" s="1">
        <f>G7+E7</f>
        <v>0</v>
      </c>
      <c r="J7" s="1">
        <v>109</v>
      </c>
      <c r="K7" s="1">
        <f>109-J7</f>
        <v>0</v>
      </c>
      <c r="L7" s="1">
        <v>97</v>
      </c>
      <c r="M7" s="1">
        <f>97-L7</f>
        <v>0</v>
      </c>
      <c r="N7" s="1">
        <f>M7+K7</f>
        <v>0</v>
      </c>
      <c r="P7" s="1">
        <v>15381</v>
      </c>
      <c r="Q7" s="1">
        <f>P7-15381</f>
        <v>0</v>
      </c>
      <c r="R7" s="1">
        <v>421</v>
      </c>
      <c r="S7" s="1">
        <f>R7-421</f>
        <v>0</v>
      </c>
      <c r="T7" s="1">
        <v>376</v>
      </c>
      <c r="U7" s="1">
        <f>T7-376</f>
        <v>0</v>
      </c>
      <c r="V7" s="1">
        <f>U7+S7</f>
        <v>0</v>
      </c>
      <c r="X7" s="1">
        <f>V7*120+N7*600+H7*225</f>
        <v>0</v>
      </c>
      <c r="Y7" s="1">
        <f>W7*120+O7*600+I7*225</f>
        <v>0</v>
      </c>
    </row>
    <row r="8" spans="1:27" x14ac:dyDescent="0.25">
      <c r="A8" s="2">
        <v>42790</v>
      </c>
      <c r="B8" s="1">
        <v>7018</v>
      </c>
      <c r="C8" s="1">
        <f>B8-7424</f>
        <v>-406</v>
      </c>
      <c r="D8" s="1">
        <v>0</v>
      </c>
      <c r="E8" s="1">
        <f>D8-162</f>
        <v>-162</v>
      </c>
      <c r="F8" s="1">
        <v>378</v>
      </c>
      <c r="G8" s="1">
        <f>F8-116</f>
        <v>262</v>
      </c>
      <c r="H8" s="1">
        <f>G8+E8</f>
        <v>100</v>
      </c>
      <c r="J8" s="1">
        <v>1</v>
      </c>
      <c r="K8" s="1">
        <f>109-J8</f>
        <v>108</v>
      </c>
      <c r="L8" s="1">
        <v>332</v>
      </c>
      <c r="M8" s="1">
        <f>97-L8</f>
        <v>-235</v>
      </c>
      <c r="N8" s="1">
        <f>M8+K8</f>
        <v>-127</v>
      </c>
      <c r="P8" s="1">
        <v>13794</v>
      </c>
      <c r="Q8" s="1">
        <f>P8-15381</f>
        <v>-1587</v>
      </c>
      <c r="R8" s="1">
        <v>0</v>
      </c>
      <c r="S8" s="1">
        <f>R8-421</f>
        <v>-421</v>
      </c>
      <c r="T8" s="1">
        <v>1450</v>
      </c>
      <c r="U8" s="1">
        <f>T8-376</f>
        <v>1074</v>
      </c>
      <c r="V8" s="1">
        <f>U8+S8</f>
        <v>653</v>
      </c>
      <c r="X8" s="1">
        <f>V8*120+N8*600+H8*225</f>
        <v>24660</v>
      </c>
      <c r="Y8" s="1">
        <f>W8*120+O8*600+I8*225</f>
        <v>0</v>
      </c>
    </row>
    <row r="9" spans="1:27" x14ac:dyDescent="0.25">
      <c r="A9" s="2">
        <v>42791</v>
      </c>
      <c r="B9" s="1">
        <v>6970</v>
      </c>
      <c r="C9" s="1">
        <f>B9-7424</f>
        <v>-454</v>
      </c>
      <c r="D9" s="1">
        <v>0</v>
      </c>
      <c r="E9" s="1">
        <f>D9-162</f>
        <v>-162</v>
      </c>
      <c r="F9" s="1">
        <v>430</v>
      </c>
      <c r="G9" s="1">
        <f>F9-116</f>
        <v>314</v>
      </c>
      <c r="H9" s="1">
        <f>G9+E9</f>
        <v>152</v>
      </c>
      <c r="J9" s="1">
        <v>0</v>
      </c>
      <c r="K9" s="1">
        <f>109-J9</f>
        <v>109</v>
      </c>
      <c r="L9" s="1">
        <v>382</v>
      </c>
      <c r="M9" s="1">
        <f>97-L9</f>
        <v>-285</v>
      </c>
      <c r="N9" s="1">
        <f>M9+K9</f>
        <v>-176</v>
      </c>
      <c r="P9" s="1">
        <v>13555</v>
      </c>
      <c r="Q9" s="1">
        <f>P9-15381</f>
        <v>-1826</v>
      </c>
      <c r="R9" s="1">
        <v>0</v>
      </c>
      <c r="S9" s="1">
        <f>R9-421</f>
        <v>-421</v>
      </c>
      <c r="T9" s="1">
        <v>1833</v>
      </c>
      <c r="U9" s="1">
        <f>T9-376</f>
        <v>1457</v>
      </c>
      <c r="V9" s="1">
        <f>U9+S9</f>
        <v>1036</v>
      </c>
      <c r="X9" s="3">
        <f>V9*120+N9*600+H9*225</f>
        <v>52920</v>
      </c>
      <c r="Y9" s="3">
        <f>V9*200+N9*600</f>
        <v>101600</v>
      </c>
      <c r="AA9" s="3"/>
    </row>
    <row r="11" spans="1:27" x14ac:dyDescent="0.25">
      <c r="A11" s="1" t="s">
        <v>0</v>
      </c>
      <c r="B11" s="1" t="s">
        <v>1</v>
      </c>
      <c r="C11" s="1" t="s">
        <v>2</v>
      </c>
      <c r="D11" s="1" t="s">
        <v>31</v>
      </c>
      <c r="E11" s="1" t="s">
        <v>2</v>
      </c>
      <c r="F11" s="1" t="s">
        <v>24</v>
      </c>
      <c r="G11" s="1" t="s">
        <v>2</v>
      </c>
      <c r="H11" s="1" t="s">
        <v>5</v>
      </c>
      <c r="J11" s="1" t="s">
        <v>48</v>
      </c>
      <c r="K11" s="1" t="s">
        <v>2</v>
      </c>
      <c r="L11" s="1" t="s">
        <v>34</v>
      </c>
      <c r="M11" s="1" t="s">
        <v>2</v>
      </c>
      <c r="N11" s="1" t="s">
        <v>5</v>
      </c>
      <c r="R11" s="1" t="s">
        <v>49</v>
      </c>
      <c r="S11" s="1" t="s">
        <v>2</v>
      </c>
      <c r="T11" s="1" t="s">
        <v>50</v>
      </c>
      <c r="U11" s="1" t="s">
        <v>2</v>
      </c>
      <c r="V11" s="1" t="s">
        <v>5</v>
      </c>
      <c r="X11" s="1" t="s">
        <v>9</v>
      </c>
      <c r="Y11" s="1" t="s">
        <v>9</v>
      </c>
    </row>
    <row r="12" spans="1:27" x14ac:dyDescent="0.25">
      <c r="A12" s="2">
        <v>42791</v>
      </c>
      <c r="B12" s="1">
        <v>6970</v>
      </c>
      <c r="C12" s="1">
        <f>B12-6970</f>
        <v>0</v>
      </c>
      <c r="D12" s="1">
        <v>178</v>
      </c>
      <c r="E12" s="1">
        <f>D12-178</f>
        <v>0</v>
      </c>
      <c r="F12" s="1">
        <v>178</v>
      </c>
      <c r="G12" s="1">
        <f>F12-178</f>
        <v>0</v>
      </c>
      <c r="H12" s="1">
        <f>G12+E12</f>
        <v>0</v>
      </c>
      <c r="J12" s="1">
        <v>154</v>
      </c>
      <c r="K12" s="1">
        <f>154-J12</f>
        <v>0</v>
      </c>
      <c r="L12" s="1">
        <v>139</v>
      </c>
      <c r="M12" s="1">
        <f>139-L12</f>
        <v>0</v>
      </c>
      <c r="N12" s="1">
        <f>M12+K12</f>
        <v>0</v>
      </c>
      <c r="P12" s="1">
        <v>13555</v>
      </c>
      <c r="Q12" s="1">
        <f>P12-13555</f>
        <v>0</v>
      </c>
      <c r="R12" s="1">
        <v>505</v>
      </c>
      <c r="S12" s="1">
        <f>R12-505</f>
        <v>0</v>
      </c>
      <c r="T12" s="1">
        <v>376</v>
      </c>
      <c r="U12" s="1">
        <f>T12-376</f>
        <v>0</v>
      </c>
      <c r="V12" s="1">
        <f>U12+S12</f>
        <v>0</v>
      </c>
      <c r="X12" s="1">
        <f>V12*120+N12*600+H12*225</f>
        <v>0</v>
      </c>
      <c r="Y12" s="1">
        <f>W12*120+O12*600+I12*225</f>
        <v>0</v>
      </c>
    </row>
    <row r="13" spans="1:27" x14ac:dyDescent="0.25">
      <c r="A13" s="2">
        <v>42824</v>
      </c>
      <c r="B13" s="1">
        <v>7735</v>
      </c>
      <c r="C13" s="1">
        <f>B13-6970</f>
        <v>765</v>
      </c>
      <c r="D13" s="1">
        <v>736</v>
      </c>
      <c r="E13" s="1">
        <f>D13-178</f>
        <v>558</v>
      </c>
      <c r="F13" s="1">
        <v>1</v>
      </c>
      <c r="G13" s="1">
        <f>F13-178</f>
        <v>-177</v>
      </c>
      <c r="H13" s="1">
        <f>G13+E13</f>
        <v>381</v>
      </c>
      <c r="J13" s="1">
        <v>686</v>
      </c>
      <c r="K13" s="1">
        <f>154-J13</f>
        <v>-532</v>
      </c>
      <c r="L13" s="1">
        <v>1</v>
      </c>
      <c r="M13" s="1">
        <f>139-L13</f>
        <v>138</v>
      </c>
      <c r="N13" s="1">
        <f>M13+K13</f>
        <v>-394</v>
      </c>
      <c r="P13" s="1">
        <v>16134</v>
      </c>
      <c r="Q13" s="1">
        <f>P13-13555</f>
        <v>2579</v>
      </c>
      <c r="R13" s="1">
        <v>2641</v>
      </c>
      <c r="S13" s="1">
        <f>R13-505</f>
        <v>2136</v>
      </c>
      <c r="T13" s="1">
        <v>0</v>
      </c>
      <c r="U13" s="1">
        <f>T13-376</f>
        <v>-376</v>
      </c>
      <c r="V13" s="1">
        <f>U13+S13</f>
        <v>1760</v>
      </c>
      <c r="X13" s="1">
        <f>V13*120+N13*600+H13*225</f>
        <v>60525</v>
      </c>
      <c r="Y13" s="1">
        <f>W13*120+O13*600+I13*225</f>
        <v>0</v>
      </c>
    </row>
    <row r="14" spans="1:27" x14ac:dyDescent="0.25">
      <c r="A14" s="2">
        <v>42825</v>
      </c>
      <c r="B14" s="1">
        <v>7738</v>
      </c>
      <c r="C14" s="1">
        <f>B14-6970</f>
        <v>768</v>
      </c>
      <c r="D14" s="1">
        <v>736</v>
      </c>
      <c r="E14" s="1">
        <f>D14-178</f>
        <v>558</v>
      </c>
      <c r="F14" s="1">
        <v>0</v>
      </c>
      <c r="G14" s="1">
        <f>F14-178</f>
        <v>-178</v>
      </c>
      <c r="H14" s="1">
        <f>G14+E14</f>
        <v>380</v>
      </c>
      <c r="J14" s="1">
        <v>684</v>
      </c>
      <c r="K14" s="1">
        <f>154-J14</f>
        <v>-530</v>
      </c>
      <c r="L14" s="1">
        <v>0</v>
      </c>
      <c r="M14" s="1">
        <f>139-L14</f>
        <v>139</v>
      </c>
      <c r="N14" s="1">
        <f>M14+K14</f>
        <v>-391</v>
      </c>
      <c r="P14" s="1">
        <v>16141</v>
      </c>
      <c r="Q14" s="1">
        <f>P14-13555</f>
        <v>2586</v>
      </c>
      <c r="R14" s="1">
        <v>2641</v>
      </c>
      <c r="S14" s="1">
        <f>R14-505</f>
        <v>2136</v>
      </c>
      <c r="T14" s="1">
        <v>0</v>
      </c>
      <c r="U14" s="1">
        <f>T14-376</f>
        <v>-376</v>
      </c>
      <c r="V14" s="1">
        <f>U14+S14</f>
        <v>1760</v>
      </c>
      <c r="X14" s="3">
        <f>V14*120+N14*600+H14*225</f>
        <v>62100</v>
      </c>
      <c r="Y14" s="3">
        <f>V14*200+N14*600</f>
        <v>117400</v>
      </c>
    </row>
    <row r="15" spans="1:27" x14ac:dyDescent="0.25">
      <c r="A15" s="2"/>
      <c r="H15" s="5"/>
      <c r="Q15" s="5"/>
    </row>
    <row r="16" spans="1:27" x14ac:dyDescent="0.25">
      <c r="A16" s="1" t="s">
        <v>0</v>
      </c>
      <c r="B16" s="1" t="s">
        <v>1</v>
      </c>
      <c r="C16" s="1" t="s">
        <v>2</v>
      </c>
      <c r="D16" s="1" t="s">
        <v>51</v>
      </c>
      <c r="E16" s="1" t="s">
        <v>2</v>
      </c>
      <c r="F16" s="1" t="s">
        <v>52</v>
      </c>
      <c r="G16" s="1" t="s">
        <v>2</v>
      </c>
      <c r="H16" s="1" t="s">
        <v>5</v>
      </c>
      <c r="J16" s="1" t="s">
        <v>10</v>
      </c>
      <c r="K16" s="1" t="s">
        <v>2</v>
      </c>
      <c r="L16" s="1" t="s">
        <v>53</v>
      </c>
      <c r="M16" s="1" t="s">
        <v>2</v>
      </c>
      <c r="N16" s="1" t="s">
        <v>5</v>
      </c>
      <c r="R16" s="1" t="s">
        <v>54</v>
      </c>
      <c r="S16" s="1" t="s">
        <v>2</v>
      </c>
      <c r="T16" s="1" t="s">
        <v>55</v>
      </c>
      <c r="U16" s="1" t="s">
        <v>2</v>
      </c>
      <c r="V16" s="1" t="s">
        <v>5</v>
      </c>
      <c r="X16" s="1" t="s">
        <v>9</v>
      </c>
      <c r="Y16" s="1" t="s">
        <v>9</v>
      </c>
    </row>
    <row r="17" spans="1:25" x14ac:dyDescent="0.25">
      <c r="A17" s="2">
        <v>42825</v>
      </c>
      <c r="B17" s="1">
        <v>7738</v>
      </c>
      <c r="C17" s="1">
        <f>B17-7738</f>
        <v>0</v>
      </c>
      <c r="D17" s="1">
        <v>150</v>
      </c>
      <c r="E17" s="1">
        <f>D17-150</f>
        <v>0</v>
      </c>
      <c r="F17" s="1">
        <v>117</v>
      </c>
      <c r="G17" s="1">
        <f>F17-117</f>
        <v>0</v>
      </c>
      <c r="H17" s="1">
        <f>G17+E17</f>
        <v>0</v>
      </c>
      <c r="J17" s="1">
        <v>121</v>
      </c>
      <c r="K17" s="1">
        <f>121-J17</f>
        <v>0</v>
      </c>
      <c r="L17" s="1">
        <v>80</v>
      </c>
      <c r="M17" s="1">
        <f>80-L17</f>
        <v>0</v>
      </c>
      <c r="N17" s="1">
        <f>M17+K17</f>
        <v>0</v>
      </c>
      <c r="P17" s="1">
        <v>16141</v>
      </c>
      <c r="Q17" s="1">
        <f>P17-16141</f>
        <v>0</v>
      </c>
      <c r="R17" s="1">
        <v>485</v>
      </c>
      <c r="S17" s="1">
        <f>R17-485</f>
        <v>0</v>
      </c>
      <c r="T17" s="1">
        <v>341</v>
      </c>
      <c r="U17" s="1">
        <f>T17-341</f>
        <v>0</v>
      </c>
      <c r="V17" s="1">
        <f>U17+S17</f>
        <v>0</v>
      </c>
      <c r="X17" s="1">
        <f>V17*120+N17*600+H17*225</f>
        <v>0</v>
      </c>
      <c r="Y17" s="1">
        <f>W17*120+O17*600+I17*225</f>
        <v>0</v>
      </c>
    </row>
    <row r="18" spans="1:25" x14ac:dyDescent="0.25">
      <c r="A18" s="2">
        <v>42852</v>
      </c>
      <c r="B18" s="1">
        <v>7979</v>
      </c>
      <c r="C18" s="1">
        <f>B18-7738</f>
        <v>241</v>
      </c>
      <c r="D18" s="1">
        <v>235</v>
      </c>
      <c r="E18" s="1">
        <f>D18-150</f>
        <v>85</v>
      </c>
      <c r="F18" s="1">
        <v>1</v>
      </c>
      <c r="G18" s="1">
        <f>F18-117</f>
        <v>-116</v>
      </c>
      <c r="H18" s="1">
        <f>G18+E18</f>
        <v>-31</v>
      </c>
      <c r="J18" s="1">
        <v>190</v>
      </c>
      <c r="K18" s="1">
        <f>121-J18</f>
        <v>-69</v>
      </c>
      <c r="L18" s="1">
        <v>1</v>
      </c>
      <c r="M18" s="1">
        <f>80-L18</f>
        <v>79</v>
      </c>
      <c r="N18" s="1">
        <f>M18+K18</f>
        <v>10</v>
      </c>
      <c r="P18" s="1">
        <v>16873</v>
      </c>
      <c r="Q18" s="1">
        <f>P18-16141</f>
        <v>732</v>
      </c>
      <c r="R18" s="1">
        <v>792</v>
      </c>
      <c r="S18" s="1">
        <f>R18-485</f>
        <v>307</v>
      </c>
      <c r="T18" s="1">
        <v>1</v>
      </c>
      <c r="U18" s="1">
        <f>T18-341</f>
        <v>-340</v>
      </c>
      <c r="V18" s="1">
        <f>U18+S18</f>
        <v>-33</v>
      </c>
      <c r="X18" s="1">
        <f>V18*120+N18*600+H18*225</f>
        <v>-4935</v>
      </c>
      <c r="Y18" s="1">
        <f>W18*120+O18*600+I18*225</f>
        <v>0</v>
      </c>
    </row>
    <row r="19" spans="1:25" x14ac:dyDescent="0.25">
      <c r="A19" s="2">
        <v>42853</v>
      </c>
      <c r="B19" s="1">
        <v>7847</v>
      </c>
      <c r="C19" s="1">
        <f>B19-7738</f>
        <v>109</v>
      </c>
      <c r="D19" s="1">
        <v>95</v>
      </c>
      <c r="E19" s="1">
        <f>D19-150</f>
        <v>-55</v>
      </c>
      <c r="F19" s="1">
        <v>0</v>
      </c>
      <c r="G19" s="1">
        <f>F19-117</f>
        <v>-117</v>
      </c>
      <c r="H19" s="1">
        <f>G19+E19</f>
        <v>-172</v>
      </c>
      <c r="J19" s="1">
        <v>55</v>
      </c>
      <c r="K19" s="1">
        <f>121-J19</f>
        <v>66</v>
      </c>
      <c r="L19" s="1">
        <v>0</v>
      </c>
      <c r="M19" s="1">
        <f>80-L19</f>
        <v>80</v>
      </c>
      <c r="N19" s="1">
        <f>M19+K19</f>
        <v>146</v>
      </c>
      <c r="P19" s="1">
        <v>16716</v>
      </c>
      <c r="Q19" s="1">
        <f>P19-16141</f>
        <v>575</v>
      </c>
      <c r="R19" s="1">
        <v>621</v>
      </c>
      <c r="S19" s="1">
        <f>R19-485</f>
        <v>136</v>
      </c>
      <c r="T19" s="1">
        <v>0</v>
      </c>
      <c r="U19" s="1">
        <f>T19-341</f>
        <v>-341</v>
      </c>
      <c r="V19" s="1">
        <f>U19+S19</f>
        <v>-205</v>
      </c>
      <c r="X19" s="3">
        <f>V19*120+N19*600+H19*225</f>
        <v>24300</v>
      </c>
      <c r="Y19" s="3">
        <f>V19*200+N19*600</f>
        <v>46600</v>
      </c>
    </row>
    <row r="21" spans="1:25" x14ac:dyDescent="0.25">
      <c r="A21" s="1" t="s">
        <v>0</v>
      </c>
      <c r="B21" s="1" t="s">
        <v>1</v>
      </c>
      <c r="C21" s="1" t="s">
        <v>2</v>
      </c>
      <c r="D21" s="1" t="s">
        <v>37</v>
      </c>
      <c r="E21" s="1" t="s">
        <v>2</v>
      </c>
      <c r="F21" s="1" t="s">
        <v>8</v>
      </c>
      <c r="G21" s="1" t="s">
        <v>2</v>
      </c>
      <c r="H21" s="1" t="s">
        <v>5</v>
      </c>
      <c r="J21" s="1" t="s">
        <v>41</v>
      </c>
      <c r="K21" s="1" t="s">
        <v>2</v>
      </c>
      <c r="L21" s="1" t="s">
        <v>52</v>
      </c>
      <c r="M21" s="1" t="s">
        <v>2</v>
      </c>
      <c r="N21" s="1" t="s">
        <v>5</v>
      </c>
      <c r="R21" s="1" t="s">
        <v>56</v>
      </c>
      <c r="S21" s="1" t="s">
        <v>2</v>
      </c>
      <c r="T21" s="1" t="s">
        <v>57</v>
      </c>
      <c r="U21" s="1" t="s">
        <v>2</v>
      </c>
      <c r="V21" s="1" t="s">
        <v>5</v>
      </c>
      <c r="X21" s="1" t="s">
        <v>9</v>
      </c>
      <c r="Y21" s="1" t="s">
        <v>9</v>
      </c>
    </row>
    <row r="22" spans="1:25" x14ac:dyDescent="0.25">
      <c r="A22" s="2">
        <v>42853</v>
      </c>
      <c r="B22" s="1">
        <v>7847</v>
      </c>
      <c r="C22" s="1">
        <f>B22-7847</f>
        <v>0</v>
      </c>
      <c r="D22" s="1">
        <v>158</v>
      </c>
      <c r="E22" s="1">
        <f>D22-158</f>
        <v>0</v>
      </c>
      <c r="F22" s="1">
        <v>115</v>
      </c>
      <c r="G22" s="1">
        <f>F22-115</f>
        <v>0</v>
      </c>
      <c r="H22" s="1">
        <f>G22+E22</f>
        <v>0</v>
      </c>
      <c r="J22" s="1">
        <v>105</v>
      </c>
      <c r="K22" s="1">
        <f>105-J22</f>
        <v>0</v>
      </c>
      <c r="L22" s="1">
        <v>78</v>
      </c>
      <c r="M22" s="1">
        <f>78-L22</f>
        <v>0</v>
      </c>
      <c r="N22" s="1">
        <f>M22+K22</f>
        <v>0</v>
      </c>
      <c r="P22" s="1">
        <v>16716</v>
      </c>
      <c r="Q22" s="1">
        <f>P22-16716</f>
        <v>0</v>
      </c>
      <c r="R22" s="1">
        <v>447</v>
      </c>
      <c r="S22" s="1">
        <f>R22-447</f>
        <v>0</v>
      </c>
      <c r="T22" s="1">
        <v>355</v>
      </c>
      <c r="U22" s="1">
        <f>T22-355</f>
        <v>0</v>
      </c>
      <c r="V22" s="1">
        <f>U22+S22</f>
        <v>0</v>
      </c>
      <c r="X22" s="1">
        <f>V22*120+N22*600+H22*225</f>
        <v>0</v>
      </c>
      <c r="Y22" s="1">
        <f>W22*120+O22*600+I22*225</f>
        <v>0</v>
      </c>
    </row>
    <row r="23" spans="1:25" x14ac:dyDescent="0.25">
      <c r="A23" s="2">
        <v>42881</v>
      </c>
      <c r="B23" s="1">
        <v>8070</v>
      </c>
      <c r="C23" s="1">
        <f>B23-7847</f>
        <v>223</v>
      </c>
      <c r="D23" s="1">
        <v>215</v>
      </c>
      <c r="E23" s="1">
        <f>D23-158</f>
        <v>57</v>
      </c>
      <c r="F23" s="1">
        <v>0</v>
      </c>
      <c r="G23" s="1">
        <f>F23-115</f>
        <v>-115</v>
      </c>
      <c r="H23" s="1">
        <f>G23+E23</f>
        <v>-58</v>
      </c>
      <c r="J23" s="1">
        <v>109</v>
      </c>
      <c r="K23" s="1">
        <f>105-J23</f>
        <v>-4</v>
      </c>
      <c r="L23" s="1">
        <v>0</v>
      </c>
      <c r="M23" s="1">
        <f>78-L23</f>
        <v>78</v>
      </c>
      <c r="N23" s="1">
        <f>M23+K23</f>
        <v>74</v>
      </c>
      <c r="P23" s="1">
        <v>17359</v>
      </c>
      <c r="Q23" s="1">
        <f>P23-16716</f>
        <v>643</v>
      </c>
      <c r="R23" s="1">
        <v>627</v>
      </c>
      <c r="S23" s="1">
        <f>R23-447</f>
        <v>180</v>
      </c>
      <c r="T23" s="1">
        <v>0</v>
      </c>
      <c r="U23" s="1">
        <f>T23-355</f>
        <v>-355</v>
      </c>
      <c r="V23" s="1">
        <f>U23+S23</f>
        <v>-175</v>
      </c>
      <c r="X23" s="3">
        <f>V23*120+N23*600+H23*225</f>
        <v>10350</v>
      </c>
      <c r="Y23" s="3">
        <f>V23*200+N23*600</f>
        <v>9400</v>
      </c>
    </row>
    <row r="25" spans="1:25" x14ac:dyDescent="0.25">
      <c r="A25" s="1" t="s">
        <v>0</v>
      </c>
      <c r="B25" s="1" t="s">
        <v>1</v>
      </c>
      <c r="C25" s="1" t="s">
        <v>2</v>
      </c>
      <c r="D25" s="1" t="s">
        <v>39</v>
      </c>
      <c r="E25" s="1" t="s">
        <v>2</v>
      </c>
      <c r="F25" s="1" t="s">
        <v>58</v>
      </c>
      <c r="G25" s="1" t="s">
        <v>2</v>
      </c>
      <c r="H25" s="1" t="s">
        <v>5</v>
      </c>
      <c r="J25" s="1" t="s">
        <v>59</v>
      </c>
      <c r="K25" s="1" t="s">
        <v>2</v>
      </c>
      <c r="L25" s="1" t="s">
        <v>4</v>
      </c>
      <c r="M25" s="1" t="s">
        <v>2</v>
      </c>
      <c r="N25" s="1" t="s">
        <v>5</v>
      </c>
      <c r="R25" s="1" t="s">
        <v>60</v>
      </c>
      <c r="S25" s="1" t="s">
        <v>2</v>
      </c>
      <c r="T25" s="1" t="s">
        <v>61</v>
      </c>
      <c r="U25" s="1" t="s">
        <v>2</v>
      </c>
      <c r="V25" s="1" t="s">
        <v>5</v>
      </c>
      <c r="X25" s="1" t="s">
        <v>9</v>
      </c>
      <c r="Y25" s="1" t="s">
        <v>9</v>
      </c>
    </row>
    <row r="26" spans="1:25" x14ac:dyDescent="0.25">
      <c r="A26" s="2">
        <v>42881</v>
      </c>
      <c r="B26" s="1">
        <v>8070</v>
      </c>
      <c r="C26" s="1">
        <f>B26-8070</f>
        <v>0</v>
      </c>
      <c r="D26" s="1">
        <v>148</v>
      </c>
      <c r="E26" s="1">
        <f>D26-148</f>
        <v>0</v>
      </c>
      <c r="F26" s="1">
        <v>131</v>
      </c>
      <c r="G26" s="1">
        <f>F26-131</f>
        <v>0</v>
      </c>
      <c r="H26" s="1">
        <f>G26+E26</f>
        <v>0</v>
      </c>
      <c r="J26" s="1">
        <v>98</v>
      </c>
      <c r="K26" s="1">
        <f>98-J26</f>
        <v>0</v>
      </c>
      <c r="L26" s="1">
        <v>110</v>
      </c>
      <c r="M26" s="1">
        <f>110-L26</f>
        <v>0</v>
      </c>
      <c r="N26" s="1">
        <f>M26+K26</f>
        <v>0</v>
      </c>
      <c r="P26" s="1">
        <v>17359</v>
      </c>
      <c r="Q26" s="1">
        <f>P26-17359</f>
        <v>0</v>
      </c>
      <c r="R26" s="1">
        <v>346</v>
      </c>
      <c r="S26" s="1">
        <f>R26-346</f>
        <v>0</v>
      </c>
      <c r="T26" s="1">
        <v>472</v>
      </c>
      <c r="U26" s="1">
        <f>T26-472</f>
        <v>0</v>
      </c>
      <c r="V26" s="1">
        <f>U26+S26</f>
        <v>0</v>
      </c>
      <c r="X26" s="1">
        <f>V26*120+N26*600+H26*225</f>
        <v>0</v>
      </c>
      <c r="Y26" s="1">
        <f>W26*120+O26*600+I26*225</f>
        <v>0</v>
      </c>
    </row>
    <row r="27" spans="1:25" x14ac:dyDescent="0.25">
      <c r="A27" s="2">
        <v>42916</v>
      </c>
      <c r="B27" s="1">
        <v>8287</v>
      </c>
      <c r="C27" s="1">
        <f>B27-8070</f>
        <v>217</v>
      </c>
      <c r="D27" s="1">
        <v>230</v>
      </c>
      <c r="E27" s="1">
        <f>D27-148</f>
        <v>82</v>
      </c>
      <c r="F27" s="1">
        <v>0</v>
      </c>
      <c r="G27" s="1">
        <f>F27-131</f>
        <v>-131</v>
      </c>
      <c r="H27" s="1">
        <f>G27+E27</f>
        <v>-49</v>
      </c>
      <c r="J27" s="1">
        <v>137</v>
      </c>
      <c r="K27" s="1">
        <f>98-J27</f>
        <v>-39</v>
      </c>
      <c r="L27" s="1">
        <v>0</v>
      </c>
      <c r="M27" s="1">
        <f>110-L27</f>
        <v>110</v>
      </c>
      <c r="N27" s="1">
        <f>M27+K27</f>
        <v>71</v>
      </c>
      <c r="P27" s="1">
        <v>17935</v>
      </c>
      <c r="Q27" s="1">
        <f>P27-17359</f>
        <v>576</v>
      </c>
      <c r="R27" s="1">
        <v>509</v>
      </c>
      <c r="S27" s="1">
        <f>R27-346</f>
        <v>163</v>
      </c>
      <c r="T27" s="1">
        <v>0</v>
      </c>
      <c r="U27" s="1">
        <f>T27-472</f>
        <v>-472</v>
      </c>
      <c r="V27" s="1">
        <f>U27+S27</f>
        <v>-309</v>
      </c>
      <c r="X27" s="3">
        <f>V27*120+N27*600+H27*225</f>
        <v>-5505</v>
      </c>
      <c r="Y27" s="3">
        <f>V27*200+N27*600</f>
        <v>-19200</v>
      </c>
    </row>
    <row r="29" spans="1:25" x14ac:dyDescent="0.25">
      <c r="A29" s="1" t="s">
        <v>0</v>
      </c>
      <c r="B29" s="1" t="s">
        <v>1</v>
      </c>
      <c r="C29" s="1" t="s">
        <v>2</v>
      </c>
      <c r="D29" s="1" t="s">
        <v>66</v>
      </c>
      <c r="E29" s="1" t="s">
        <v>2</v>
      </c>
      <c r="F29" s="1" t="s">
        <v>67</v>
      </c>
      <c r="G29" s="1" t="s">
        <v>2</v>
      </c>
      <c r="H29" s="1" t="s">
        <v>5</v>
      </c>
      <c r="J29" s="1" t="s">
        <v>68</v>
      </c>
      <c r="K29" s="1" t="s">
        <v>2</v>
      </c>
      <c r="L29" s="1" t="s">
        <v>71</v>
      </c>
      <c r="M29" s="1" t="s">
        <v>2</v>
      </c>
      <c r="N29" s="1" t="s">
        <v>5</v>
      </c>
      <c r="R29" s="1" t="s">
        <v>78</v>
      </c>
      <c r="S29" s="1" t="s">
        <v>2</v>
      </c>
      <c r="T29" s="1" t="s">
        <v>79</v>
      </c>
      <c r="U29" s="1" t="s">
        <v>2</v>
      </c>
      <c r="V29" s="1" t="s">
        <v>5</v>
      </c>
      <c r="X29" s="1" t="s">
        <v>9</v>
      </c>
      <c r="Y29" s="1" t="s">
        <v>9</v>
      </c>
    </row>
    <row r="30" spans="1:25" x14ac:dyDescent="0.25">
      <c r="A30" s="2">
        <v>42916</v>
      </c>
      <c r="B30" s="1">
        <v>8287</v>
      </c>
      <c r="C30" s="1">
        <f>B30-8287</f>
        <v>0</v>
      </c>
      <c r="D30" s="1">
        <v>146</v>
      </c>
      <c r="E30" s="1">
        <f>D30-146</f>
        <v>0</v>
      </c>
      <c r="F30" s="1">
        <v>127</v>
      </c>
      <c r="G30" s="1">
        <f>F30-127</f>
        <v>0</v>
      </c>
      <c r="H30" s="1">
        <f>G30+E30</f>
        <v>0</v>
      </c>
      <c r="J30" s="1">
        <v>121</v>
      </c>
      <c r="K30" s="1">
        <f>121-J30</f>
        <v>0</v>
      </c>
      <c r="L30" s="1">
        <v>90</v>
      </c>
      <c r="M30" s="1">
        <f>90-L30</f>
        <v>0</v>
      </c>
      <c r="N30" s="1">
        <f>M30+K30</f>
        <v>0</v>
      </c>
      <c r="P30" s="1">
        <v>17935</v>
      </c>
      <c r="Q30" s="1">
        <f>P30-17935</f>
        <v>0</v>
      </c>
      <c r="R30" s="1">
        <v>417</v>
      </c>
      <c r="S30" s="1">
        <f>R30-417</f>
        <v>0</v>
      </c>
      <c r="T30" s="1">
        <v>320</v>
      </c>
      <c r="U30" s="1">
        <f>T30-320</f>
        <v>0</v>
      </c>
      <c r="V30" s="1">
        <f>U30+S30</f>
        <v>0</v>
      </c>
      <c r="X30" s="1">
        <f>V30*120+N30*600+H30*225</f>
        <v>0</v>
      </c>
      <c r="Y30" s="1">
        <f>W30*120+O30*600+I30*225</f>
        <v>0</v>
      </c>
    </row>
    <row r="31" spans="1:25" x14ac:dyDescent="0.25">
      <c r="A31" s="2">
        <v>42944</v>
      </c>
      <c r="B31" s="1">
        <v>8666</v>
      </c>
      <c r="C31" s="1">
        <f>B31-8287</f>
        <v>379</v>
      </c>
      <c r="D31" s="1">
        <v>353</v>
      </c>
      <c r="E31" s="1">
        <f>D31-146</f>
        <v>207</v>
      </c>
      <c r="F31" s="1">
        <v>0</v>
      </c>
      <c r="G31" s="1">
        <f>F31-127</f>
        <v>-127</v>
      </c>
      <c r="H31" s="1">
        <f>G31+E31</f>
        <v>80</v>
      </c>
      <c r="J31" s="1">
        <v>303</v>
      </c>
      <c r="K31" s="1">
        <f>121-J31</f>
        <v>-182</v>
      </c>
      <c r="L31" s="1">
        <v>0</v>
      </c>
      <c r="M31" s="1">
        <f>90-L31</f>
        <v>90</v>
      </c>
      <c r="N31" s="1">
        <f>M31+K31</f>
        <v>-92</v>
      </c>
      <c r="P31" s="1">
        <v>19076</v>
      </c>
      <c r="Q31" s="1">
        <f>P31-17935</f>
        <v>1141</v>
      </c>
      <c r="R31" s="1">
        <v>1175</v>
      </c>
      <c r="S31" s="1">
        <f>R31-417</f>
        <v>758</v>
      </c>
      <c r="T31" s="1">
        <v>0</v>
      </c>
      <c r="U31" s="1">
        <f>T31-320</f>
        <v>-320</v>
      </c>
      <c r="V31" s="1">
        <f>U31+S31</f>
        <v>438</v>
      </c>
      <c r="X31" s="3">
        <f>V31*120+N31*600+H31*225</f>
        <v>15360</v>
      </c>
      <c r="Y31" s="3">
        <f>V31*200+N31*600</f>
        <v>32400</v>
      </c>
    </row>
    <row r="33" spans="1:25" x14ac:dyDescent="0.25">
      <c r="A33" s="1" t="s">
        <v>0</v>
      </c>
      <c r="B33" s="1" t="s">
        <v>1</v>
      </c>
      <c r="C33" s="1" t="s">
        <v>2</v>
      </c>
      <c r="D33" s="1" t="s">
        <v>80</v>
      </c>
      <c r="E33" s="1" t="s">
        <v>2</v>
      </c>
      <c r="F33" s="1" t="s">
        <v>81</v>
      </c>
      <c r="G33" s="1" t="s">
        <v>2</v>
      </c>
      <c r="H33" s="1" t="s">
        <v>5</v>
      </c>
      <c r="J33" s="1" t="s">
        <v>82</v>
      </c>
      <c r="K33" s="1" t="s">
        <v>2</v>
      </c>
      <c r="L33" s="1" t="s">
        <v>83</v>
      </c>
      <c r="M33" s="1" t="s">
        <v>2</v>
      </c>
      <c r="N33" s="1" t="s">
        <v>5</v>
      </c>
      <c r="R33" s="1" t="s">
        <v>29</v>
      </c>
      <c r="S33" s="1" t="s">
        <v>2</v>
      </c>
      <c r="T33" s="1" t="s">
        <v>84</v>
      </c>
      <c r="U33" s="1" t="s">
        <v>2</v>
      </c>
      <c r="V33" s="1" t="s">
        <v>5</v>
      </c>
      <c r="X33" s="1" t="s">
        <v>9</v>
      </c>
      <c r="Y33" s="1" t="s">
        <v>9</v>
      </c>
    </row>
    <row r="34" spans="1:25" x14ac:dyDescent="0.25">
      <c r="A34" s="2">
        <v>42944</v>
      </c>
      <c r="B34" s="1">
        <v>8666</v>
      </c>
      <c r="C34" s="1">
        <f>B34-8666</f>
        <v>0</v>
      </c>
      <c r="D34" s="1">
        <v>161</v>
      </c>
      <c r="E34" s="1">
        <f>D34-161</f>
        <v>0</v>
      </c>
      <c r="F34" s="1">
        <v>113</v>
      </c>
      <c r="G34" s="1">
        <f>F34-113</f>
        <v>0</v>
      </c>
      <c r="H34" s="1">
        <f>G34+E34</f>
        <v>0</v>
      </c>
      <c r="J34" s="1">
        <v>110</v>
      </c>
      <c r="K34" s="1">
        <f>110-J34</f>
        <v>0</v>
      </c>
      <c r="L34" s="1">
        <v>94</v>
      </c>
      <c r="M34" s="1">
        <f>94-L34</f>
        <v>0</v>
      </c>
      <c r="N34" s="1">
        <f>M34+K34</f>
        <v>0</v>
      </c>
      <c r="P34" s="1">
        <v>19076</v>
      </c>
      <c r="Q34" s="1">
        <f>P34-19076</f>
        <v>0</v>
      </c>
      <c r="R34" s="1">
        <v>417</v>
      </c>
      <c r="S34" s="1">
        <f>R34-417</f>
        <v>0</v>
      </c>
      <c r="T34" s="1">
        <v>366</v>
      </c>
      <c r="U34" s="1">
        <f>T34-366</f>
        <v>0</v>
      </c>
      <c r="V34" s="1">
        <f>U34+S34</f>
        <v>0</v>
      </c>
      <c r="X34" s="1">
        <f>V34*120+N34*600+H34*225</f>
        <v>0</v>
      </c>
      <c r="Y34" s="1">
        <f>W34*120+O34*600+I34*225</f>
        <v>0</v>
      </c>
    </row>
    <row r="35" spans="1:25" x14ac:dyDescent="0.25">
      <c r="A35" s="2">
        <v>42972</v>
      </c>
      <c r="B35" s="1">
        <v>8592</v>
      </c>
      <c r="C35" s="1">
        <f>B35-8666</f>
        <v>-74</v>
      </c>
      <c r="D35" s="1">
        <v>0</v>
      </c>
      <c r="E35" s="1">
        <f>D35-161</f>
        <v>-161</v>
      </c>
      <c r="F35" s="1">
        <v>49</v>
      </c>
      <c r="G35" s="1">
        <f>F35-113</f>
        <v>-64</v>
      </c>
      <c r="H35" s="1">
        <f>G35+E35</f>
        <v>-225</v>
      </c>
      <c r="J35" s="1">
        <v>0</v>
      </c>
      <c r="K35" s="1">
        <f>110-J35</f>
        <v>110</v>
      </c>
      <c r="L35" s="1">
        <v>10</v>
      </c>
      <c r="M35" s="1">
        <f>94-L35</f>
        <v>84</v>
      </c>
      <c r="N35" s="1">
        <f>M35+K35</f>
        <v>194</v>
      </c>
      <c r="P35" s="1">
        <v>19304</v>
      </c>
      <c r="Q35" s="1">
        <f>P35-19076</f>
        <v>228</v>
      </c>
      <c r="R35" s="1">
        <v>193</v>
      </c>
      <c r="S35" s="1">
        <f>R35-417</f>
        <v>-224</v>
      </c>
      <c r="T35" s="1">
        <v>0</v>
      </c>
      <c r="U35" s="1">
        <f>T35-366</f>
        <v>-366</v>
      </c>
      <c r="V35" s="1">
        <f>U35+S35</f>
        <v>-590</v>
      </c>
      <c r="X35" s="3">
        <f>V35*120+N35*600+H35*225</f>
        <v>-5025</v>
      </c>
      <c r="Y35" s="3">
        <f>V35*200+N35*600</f>
        <v>-1600</v>
      </c>
    </row>
    <row r="37" spans="1:25" x14ac:dyDescent="0.25">
      <c r="A37" s="1" t="s">
        <v>0</v>
      </c>
      <c r="B37" s="1" t="s">
        <v>1</v>
      </c>
      <c r="C37" s="1" t="s">
        <v>2</v>
      </c>
      <c r="D37" s="1" t="s">
        <v>85</v>
      </c>
      <c r="E37" s="1" t="s">
        <v>2</v>
      </c>
      <c r="F37" s="1" t="s">
        <v>83</v>
      </c>
      <c r="G37" s="1" t="s">
        <v>2</v>
      </c>
      <c r="H37" s="1" t="s">
        <v>5</v>
      </c>
      <c r="J37" s="1">
        <v>865</v>
      </c>
      <c r="K37" s="1" t="s">
        <v>2</v>
      </c>
      <c r="L37" s="1" t="s">
        <v>86</v>
      </c>
      <c r="M37" s="1" t="s">
        <v>2</v>
      </c>
      <c r="N37" s="1" t="s">
        <v>5</v>
      </c>
      <c r="R37" s="1" t="s">
        <v>92</v>
      </c>
      <c r="S37" s="1" t="s">
        <v>2</v>
      </c>
      <c r="T37" s="1" t="s">
        <v>93</v>
      </c>
      <c r="U37" s="1" t="s">
        <v>2</v>
      </c>
      <c r="V37" s="1" t="s">
        <v>5</v>
      </c>
      <c r="X37" s="1" t="s">
        <v>9</v>
      </c>
      <c r="Y37" s="1" t="s">
        <v>9</v>
      </c>
    </row>
    <row r="38" spans="1:25" x14ac:dyDescent="0.25">
      <c r="A38" s="2">
        <v>42972</v>
      </c>
      <c r="B38" s="1">
        <v>8592</v>
      </c>
      <c r="C38" s="1">
        <f>B38-8592</f>
        <v>0</v>
      </c>
      <c r="D38" s="1">
        <v>153</v>
      </c>
      <c r="E38" s="1">
        <f>D38-153</f>
        <v>0</v>
      </c>
      <c r="F38" s="1">
        <v>109</v>
      </c>
      <c r="G38" s="1">
        <f>F38-109</f>
        <v>0</v>
      </c>
      <c r="H38" s="1">
        <f>G38+E38</f>
        <v>0</v>
      </c>
      <c r="J38" s="1">
        <v>125</v>
      </c>
      <c r="K38" s="1">
        <f>125-J38</f>
        <v>0</v>
      </c>
      <c r="L38" s="1">
        <v>74</v>
      </c>
      <c r="M38" s="1">
        <f>74-L38</f>
        <v>0</v>
      </c>
      <c r="N38" s="1">
        <f>M38+K38</f>
        <v>0</v>
      </c>
      <c r="P38" s="1">
        <v>19304</v>
      </c>
      <c r="Q38" s="1">
        <f>P38-19304</f>
        <v>0</v>
      </c>
      <c r="R38" s="1">
        <v>403</v>
      </c>
      <c r="S38" s="1">
        <f>R38-403</f>
        <v>0</v>
      </c>
      <c r="T38" s="1">
        <v>300</v>
      </c>
      <c r="U38" s="1">
        <f>T38-300</f>
        <v>0</v>
      </c>
      <c r="V38" s="1">
        <f>U38+S38</f>
        <v>0</v>
      </c>
      <c r="X38" s="1">
        <f>V38*120+N38*600+H38*225</f>
        <v>0</v>
      </c>
      <c r="Y38" s="1">
        <f>W38*120+O38*600+I38*225</f>
        <v>0</v>
      </c>
    </row>
    <row r="39" spans="1:25" x14ac:dyDescent="0.25">
      <c r="A39" s="2">
        <v>43007</v>
      </c>
      <c r="B39" s="1">
        <v>8591</v>
      </c>
      <c r="C39" s="1">
        <f>B39-8592</f>
        <v>-1</v>
      </c>
      <c r="D39" s="1">
        <v>0</v>
      </c>
      <c r="E39" s="1">
        <f>D39-153</f>
        <v>-153</v>
      </c>
      <c r="F39" s="1">
        <v>10</v>
      </c>
      <c r="G39" s="1">
        <f>F39-109</f>
        <v>-99</v>
      </c>
      <c r="H39" s="1">
        <f>G39+E39</f>
        <v>-252</v>
      </c>
      <c r="J39" s="1">
        <v>0</v>
      </c>
      <c r="K39" s="1">
        <f>125-J39</f>
        <v>125</v>
      </c>
      <c r="L39" s="1">
        <v>0</v>
      </c>
      <c r="M39" s="1">
        <f>74-L39</f>
        <v>74</v>
      </c>
      <c r="N39" s="1">
        <f>M39+K39</f>
        <v>199</v>
      </c>
      <c r="P39" s="1">
        <v>19184</v>
      </c>
      <c r="Q39" s="1">
        <f>P39-19304</f>
        <v>-120</v>
      </c>
      <c r="R39" s="1">
        <v>0</v>
      </c>
      <c r="S39" s="1">
        <f>R39-403</f>
        <v>-403</v>
      </c>
      <c r="T39" s="1">
        <v>134</v>
      </c>
      <c r="U39" s="1">
        <f>T39-300</f>
        <v>-166</v>
      </c>
      <c r="V39" s="1">
        <f>U39+S39</f>
        <v>-569</v>
      </c>
      <c r="X39" s="3">
        <f>V39*120+N39*600+H39*225</f>
        <v>-5580</v>
      </c>
      <c r="Y39" s="3">
        <f>V39*200+N39*600</f>
        <v>5600</v>
      </c>
    </row>
    <row r="41" spans="1:25" x14ac:dyDescent="0.25">
      <c r="A41" s="1" t="s">
        <v>0</v>
      </c>
      <c r="B41" s="1" t="s">
        <v>1</v>
      </c>
      <c r="C41" s="1" t="s">
        <v>2</v>
      </c>
      <c r="D41" s="1" t="s">
        <v>85</v>
      </c>
      <c r="E41" s="1" t="s">
        <v>2</v>
      </c>
      <c r="F41" s="1" t="s">
        <v>83</v>
      </c>
      <c r="G41" s="1" t="s">
        <v>2</v>
      </c>
      <c r="H41" s="1" t="s">
        <v>5</v>
      </c>
      <c r="J41" s="1">
        <v>865</v>
      </c>
      <c r="K41" s="1" t="s">
        <v>2</v>
      </c>
      <c r="L41" s="1" t="s">
        <v>86</v>
      </c>
      <c r="M41" s="1" t="s">
        <v>2</v>
      </c>
      <c r="N41" s="1" t="s">
        <v>5</v>
      </c>
      <c r="R41" s="1" t="s">
        <v>94</v>
      </c>
      <c r="S41" s="1" t="s">
        <v>2</v>
      </c>
      <c r="T41" s="1" t="s">
        <v>95</v>
      </c>
      <c r="U41" s="1" t="s">
        <v>2</v>
      </c>
      <c r="V41" s="1" t="s">
        <v>5</v>
      </c>
      <c r="X41" s="1" t="s">
        <v>9</v>
      </c>
      <c r="Y41" s="1" t="s">
        <v>9</v>
      </c>
    </row>
    <row r="42" spans="1:25" x14ac:dyDescent="0.25">
      <c r="A42" s="2">
        <v>43007</v>
      </c>
      <c r="B42" s="1">
        <v>8591</v>
      </c>
      <c r="C42" s="1">
        <f>B42-8591</f>
        <v>0</v>
      </c>
      <c r="D42" s="1">
        <v>182</v>
      </c>
      <c r="E42" s="1">
        <f>D42-182</f>
        <v>0</v>
      </c>
      <c r="F42" s="1">
        <v>147</v>
      </c>
      <c r="G42" s="1">
        <f>F42-147</f>
        <v>0</v>
      </c>
      <c r="H42" s="1">
        <f>G42+E42</f>
        <v>0</v>
      </c>
      <c r="J42" s="1">
        <v>152</v>
      </c>
      <c r="K42" s="1">
        <f>152-J42</f>
        <v>0</v>
      </c>
      <c r="L42" s="1">
        <v>114</v>
      </c>
      <c r="M42" s="1">
        <f>114-L42</f>
        <v>0</v>
      </c>
      <c r="N42" s="1">
        <f>M42+K42</f>
        <v>0</v>
      </c>
      <c r="P42" s="1">
        <v>19184</v>
      </c>
      <c r="Q42" s="1">
        <f>P42-19184</f>
        <v>0</v>
      </c>
      <c r="R42" s="1">
        <v>507</v>
      </c>
      <c r="S42" s="1">
        <f>R42-507</f>
        <v>0</v>
      </c>
      <c r="T42" s="1">
        <v>373</v>
      </c>
      <c r="U42" s="1">
        <f>T42-373</f>
        <v>0</v>
      </c>
      <c r="V42" s="1">
        <f>U42+S42</f>
        <v>0</v>
      </c>
      <c r="X42" s="1">
        <f>V42*120+N42*600+H42*225</f>
        <v>0</v>
      </c>
      <c r="Y42" s="1">
        <f>W42*120+O42*600+I42*225</f>
        <v>0</v>
      </c>
    </row>
    <row r="43" spans="1:25" x14ac:dyDescent="0.25">
      <c r="A43" s="2">
        <v>43035</v>
      </c>
      <c r="B43" s="1">
        <v>8615</v>
      </c>
      <c r="C43" s="1">
        <f>B43-8591</f>
        <v>24</v>
      </c>
      <c r="D43" s="1">
        <v>11</v>
      </c>
      <c r="E43" s="1">
        <f>D43-182</f>
        <v>-171</v>
      </c>
      <c r="F43" s="1">
        <v>1</v>
      </c>
      <c r="G43" s="1">
        <f>F43-147</f>
        <v>-146</v>
      </c>
      <c r="H43" s="1">
        <f>G43+E43</f>
        <v>-317</v>
      </c>
      <c r="J43" s="1">
        <v>0</v>
      </c>
      <c r="K43" s="1">
        <f>152-J43</f>
        <v>152</v>
      </c>
      <c r="L43" s="1">
        <v>0</v>
      </c>
      <c r="M43" s="1">
        <f>114-L43</f>
        <v>114</v>
      </c>
      <c r="N43" s="1">
        <f>M43+K43</f>
        <v>266</v>
      </c>
      <c r="P43" s="1">
        <v>19514</v>
      </c>
      <c r="Q43" s="1">
        <f>P43-19184</f>
        <v>330</v>
      </c>
      <c r="R43" s="1">
        <v>286</v>
      </c>
      <c r="S43" s="1">
        <f>R43-507</f>
        <v>-221</v>
      </c>
      <c r="T43" s="1">
        <v>0</v>
      </c>
      <c r="U43" s="1">
        <f>T43-373</f>
        <v>-373</v>
      </c>
      <c r="V43" s="1">
        <f>U43+S43</f>
        <v>-594</v>
      </c>
      <c r="X43" s="3">
        <f>V43*120+N43*600+H43*225</f>
        <v>16995</v>
      </c>
      <c r="Y43" s="3">
        <f>V43*200+N43*600</f>
        <v>40800</v>
      </c>
    </row>
    <row r="45" spans="1:25" x14ac:dyDescent="0.25">
      <c r="A45" s="1" t="s">
        <v>0</v>
      </c>
      <c r="B45" s="1" t="s">
        <v>1</v>
      </c>
      <c r="C45" s="1" t="s">
        <v>2</v>
      </c>
      <c r="D45" s="1" t="s">
        <v>85</v>
      </c>
      <c r="E45" s="1" t="s">
        <v>2</v>
      </c>
      <c r="F45" s="1" t="s">
        <v>83</v>
      </c>
      <c r="G45" s="1" t="s">
        <v>2</v>
      </c>
      <c r="H45" s="1" t="s">
        <v>5</v>
      </c>
      <c r="J45" s="1" t="s">
        <v>73</v>
      </c>
      <c r="K45" s="1" t="s">
        <v>2</v>
      </c>
      <c r="L45" s="1" t="s">
        <v>76</v>
      </c>
      <c r="M45" s="1" t="s">
        <v>2</v>
      </c>
      <c r="N45" s="1" t="s">
        <v>5</v>
      </c>
      <c r="R45" s="1" t="s">
        <v>99</v>
      </c>
      <c r="S45" s="1" t="s">
        <v>2</v>
      </c>
      <c r="T45" s="1" t="s">
        <v>100</v>
      </c>
      <c r="U45" s="1" t="s">
        <v>2</v>
      </c>
      <c r="V45" s="1" t="s">
        <v>5</v>
      </c>
      <c r="X45" s="1" t="s">
        <v>9</v>
      </c>
      <c r="Y45" s="1" t="s">
        <v>9</v>
      </c>
    </row>
    <row r="46" spans="1:25" x14ac:dyDescent="0.25">
      <c r="A46" s="2">
        <v>43035</v>
      </c>
      <c r="B46" s="1">
        <v>8615</v>
      </c>
      <c r="C46" s="1">
        <f>B46-8615</f>
        <v>0</v>
      </c>
      <c r="D46" s="1">
        <v>155</v>
      </c>
      <c r="E46" s="1">
        <f>D46-155</f>
        <v>0</v>
      </c>
      <c r="F46" s="1">
        <v>102</v>
      </c>
      <c r="G46" s="1">
        <f>F46-102</f>
        <v>0</v>
      </c>
      <c r="H46" s="1">
        <f>G46+E46</f>
        <v>0</v>
      </c>
      <c r="J46" s="1">
        <v>100</v>
      </c>
      <c r="K46" s="1">
        <f>100-J46</f>
        <v>0</v>
      </c>
      <c r="L46" s="1">
        <v>83</v>
      </c>
      <c r="M46" s="1">
        <f>83-L46</f>
        <v>0</v>
      </c>
      <c r="N46" s="1">
        <f>M46+K46</f>
        <v>0</v>
      </c>
      <c r="P46" s="1">
        <v>19514</v>
      </c>
      <c r="Q46" s="1">
        <f>P46-19514</f>
        <v>0</v>
      </c>
      <c r="R46" s="1">
        <v>422</v>
      </c>
      <c r="S46" s="1">
        <f>R46-422</f>
        <v>0</v>
      </c>
      <c r="T46" s="1">
        <v>332</v>
      </c>
      <c r="U46" s="1">
        <f>T46-332</f>
        <v>0</v>
      </c>
      <c r="V46" s="1">
        <f>U46+S46</f>
        <v>0</v>
      </c>
      <c r="X46" s="1">
        <f>V46*120+N46*600+H46*225</f>
        <v>0</v>
      </c>
      <c r="Y46" s="1">
        <f>W46*120+O46*600+I46*225</f>
        <v>0</v>
      </c>
    </row>
    <row r="47" spans="1:25" x14ac:dyDescent="0.25">
      <c r="A47" s="2">
        <v>43063</v>
      </c>
      <c r="B47" s="1">
        <v>7965</v>
      </c>
      <c r="C47" s="1">
        <f>B47-8615</f>
        <v>-650</v>
      </c>
      <c r="D47" s="1">
        <v>0</v>
      </c>
      <c r="E47" s="1">
        <f>D47-155</f>
        <v>-155</v>
      </c>
      <c r="F47" s="1">
        <v>632</v>
      </c>
      <c r="G47" s="1">
        <f>F47-102</f>
        <v>530</v>
      </c>
      <c r="H47" s="1">
        <f>G47+E47</f>
        <v>375</v>
      </c>
      <c r="J47" s="1">
        <v>0</v>
      </c>
      <c r="K47" s="1">
        <f>100-J47</f>
        <v>100</v>
      </c>
      <c r="L47" s="1">
        <v>583</v>
      </c>
      <c r="M47" s="1">
        <f>83-L47</f>
        <v>-500</v>
      </c>
      <c r="N47" s="1">
        <f>M47+K47</f>
        <v>-400</v>
      </c>
      <c r="P47" s="1">
        <v>18256</v>
      </c>
      <c r="Q47" s="1">
        <f>P47-19514</f>
        <v>-1258</v>
      </c>
      <c r="R47" s="1">
        <v>0</v>
      </c>
      <c r="S47" s="1">
        <f>R47-422</f>
        <v>-422</v>
      </c>
      <c r="T47" s="1">
        <v>1238</v>
      </c>
      <c r="U47" s="1">
        <f>T47-332</f>
        <v>906</v>
      </c>
      <c r="V47" s="1">
        <f>U47+S47</f>
        <v>484</v>
      </c>
      <c r="X47" s="3">
        <f>V47*120+N47*600+H47*225</f>
        <v>-97545</v>
      </c>
      <c r="Y47" s="3">
        <f>V47*200+N47*600</f>
        <v>-143200</v>
      </c>
    </row>
    <row r="50" spans="1:16" x14ac:dyDescent="0.25">
      <c r="A50" s="2"/>
    </row>
    <row r="53" spans="1:16" x14ac:dyDescent="0.25">
      <c r="A53" s="2"/>
    </row>
    <row r="54" spans="1:16" x14ac:dyDescent="0.25">
      <c r="A54" s="2"/>
      <c r="P54" s="3"/>
    </row>
    <row r="57" spans="1:16" x14ac:dyDescent="0.25">
      <c r="A57" s="2"/>
    </row>
    <row r="58" spans="1:16" x14ac:dyDescent="0.25">
      <c r="A58" s="2"/>
      <c r="M58" s="3"/>
      <c r="P58" s="5"/>
    </row>
    <row r="61" spans="1:16" x14ac:dyDescent="0.25">
      <c r="A61" s="2"/>
      <c r="P61" s="3"/>
    </row>
    <row r="64" spans="1:16" x14ac:dyDescent="0.25">
      <c r="A64" s="2"/>
    </row>
    <row r="65" spans="1:16" x14ac:dyDescent="0.25">
      <c r="A65" s="2"/>
      <c r="M65" s="3"/>
    </row>
    <row r="68" spans="1:16" x14ac:dyDescent="0.25">
      <c r="A68" s="2"/>
      <c r="M68" s="5"/>
    </row>
    <row r="69" spans="1:16" x14ac:dyDescent="0.25">
      <c r="A69" s="2"/>
      <c r="M69" s="5"/>
      <c r="P69" s="3"/>
    </row>
    <row r="72" spans="1:16" x14ac:dyDescent="0.25">
      <c r="A72" s="2"/>
    </row>
    <row r="73" spans="1:16" x14ac:dyDescent="0.25">
      <c r="A73" s="2"/>
      <c r="P73" s="3"/>
    </row>
    <row r="76" spans="1:16" x14ac:dyDescent="0.25">
      <c r="A76" s="2"/>
    </row>
    <row r="77" spans="1:16" x14ac:dyDescent="0.25">
      <c r="A77" s="2"/>
      <c r="M77" s="3"/>
    </row>
    <row r="80" spans="1:16" x14ac:dyDescent="0.25">
      <c r="A80" s="2"/>
      <c r="M80" s="3"/>
    </row>
    <row r="83" spans="1:16" x14ac:dyDescent="0.25">
      <c r="A83" s="2"/>
    </row>
    <row r="84" spans="1:16" x14ac:dyDescent="0.25">
      <c r="A84" s="2"/>
      <c r="P84" s="3"/>
    </row>
    <row r="87" spans="1:16" x14ac:dyDescent="0.25">
      <c r="A87" s="2"/>
    </row>
    <row r="88" spans="1:16" x14ac:dyDescent="0.25">
      <c r="A88" s="2"/>
      <c r="M88" s="3"/>
    </row>
    <row r="91" spans="1:16" x14ac:dyDescent="0.25">
      <c r="A91" s="2"/>
      <c r="P91" s="3"/>
    </row>
    <row r="94" spans="1:16" x14ac:dyDescent="0.25">
      <c r="A94" s="2"/>
    </row>
    <row r="95" spans="1:16" x14ac:dyDescent="0.25">
      <c r="A95" s="2"/>
      <c r="K95" s="3"/>
    </row>
    <row r="98" spans="1:16" x14ac:dyDescent="0.25">
      <c r="A98" s="2"/>
      <c r="K98" s="3"/>
    </row>
    <row r="101" spans="1:16" x14ac:dyDescent="0.25">
      <c r="A101" s="2"/>
      <c r="K101" s="3"/>
    </row>
    <row r="104" spans="1:16" x14ac:dyDescent="0.25">
      <c r="A104" s="2"/>
      <c r="P104" s="3"/>
    </row>
    <row r="107" spans="1:16" x14ac:dyDescent="0.25">
      <c r="A107" s="2"/>
    </row>
    <row r="108" spans="1:16" x14ac:dyDescent="0.25">
      <c r="A108" s="2"/>
      <c r="M108" s="3"/>
    </row>
    <row r="111" spans="1:16" x14ac:dyDescent="0.25">
      <c r="A111" s="2"/>
    </row>
    <row r="112" spans="1:16" x14ac:dyDescent="0.25">
      <c r="A112" s="2"/>
      <c r="P11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P19" sqref="P19"/>
    </sheetView>
  </sheetViews>
  <sheetFormatPr defaultRowHeight="15" x14ac:dyDescent="0.25"/>
  <cols>
    <col min="1" max="1" width="7" style="1" bestFit="1" customWidth="1"/>
    <col min="2" max="2" width="6" style="1" bestFit="1" customWidth="1"/>
    <col min="3" max="3" width="5" style="1" bestFit="1" customWidth="1"/>
    <col min="4" max="4" width="5.5703125" style="1" bestFit="1" customWidth="1"/>
    <col min="5" max="5" width="4.7109375" style="1" bestFit="1" customWidth="1"/>
    <col min="6" max="6" width="5.5703125" style="1" bestFit="1" customWidth="1"/>
    <col min="7" max="7" width="4.28515625" style="1" bestFit="1" customWidth="1"/>
    <col min="8" max="8" width="6.7109375" style="1" bestFit="1" customWidth="1"/>
    <col min="9" max="9" width="4.28515625" style="1" bestFit="1" customWidth="1"/>
    <col min="10" max="10" width="5" style="1" bestFit="1" customWidth="1"/>
    <col min="11" max="11" width="4.28515625" style="1" bestFit="1" customWidth="1"/>
    <col min="12" max="12" width="4.5703125" style="1" bestFit="1" customWidth="1"/>
    <col min="13" max="13" width="4.28515625" style="1" bestFit="1" customWidth="1"/>
    <col min="14" max="14" width="4.5703125" style="1" bestFit="1" customWidth="1"/>
    <col min="15" max="15" width="4.7109375" style="1" bestFit="1" customWidth="1"/>
    <col min="16" max="16" width="6.7109375" style="1" bestFit="1" customWidth="1"/>
    <col min="17" max="17" width="9.140625" style="1"/>
    <col min="18" max="18" width="6.7109375" style="1" bestFit="1" customWidth="1"/>
    <col min="19" max="20" width="4" style="1" bestFit="1" customWidth="1"/>
    <col min="21" max="16384" width="9.140625" style="1"/>
  </cols>
  <sheetData>
    <row r="1" spans="1:21" x14ac:dyDescent="0.25">
      <c r="A1" s="1" t="s">
        <v>0</v>
      </c>
      <c r="B1" s="1" t="s">
        <v>27</v>
      </c>
      <c r="C1" s="1" t="s">
        <v>2</v>
      </c>
      <c r="D1" s="1" t="s">
        <v>101</v>
      </c>
      <c r="E1" s="1" t="s">
        <v>2</v>
      </c>
      <c r="F1" s="1" t="s">
        <v>102</v>
      </c>
      <c r="G1" s="1" t="s">
        <v>2</v>
      </c>
      <c r="H1" s="1" t="s">
        <v>5</v>
      </c>
      <c r="J1" s="1" t="s">
        <v>1</v>
      </c>
      <c r="K1" s="1" t="s">
        <v>2</v>
      </c>
      <c r="L1" s="1" t="s">
        <v>6</v>
      </c>
      <c r="M1" s="1" t="s">
        <v>2</v>
      </c>
      <c r="N1" s="1" t="s">
        <v>64</v>
      </c>
      <c r="O1" s="1" t="s">
        <v>2</v>
      </c>
      <c r="P1" s="1" t="s">
        <v>5</v>
      </c>
      <c r="R1" s="1" t="s">
        <v>9</v>
      </c>
      <c r="U1" s="1" t="s">
        <v>9</v>
      </c>
    </row>
    <row r="2" spans="1:21" x14ac:dyDescent="0.25">
      <c r="A2" s="2">
        <v>43098</v>
      </c>
      <c r="B2" s="1">
        <v>18033</v>
      </c>
      <c r="C2" s="1">
        <f>B2-18033</f>
        <v>0</v>
      </c>
      <c r="D2" s="1">
        <v>150</v>
      </c>
      <c r="E2" s="1">
        <f>150-D2</f>
        <v>0</v>
      </c>
      <c r="F2" s="1">
        <v>152</v>
      </c>
      <c r="G2" s="1">
        <f>152-F2</f>
        <v>0</v>
      </c>
      <c r="H2" s="1">
        <f>(G2+E2)*40</f>
        <v>0</v>
      </c>
      <c r="J2" s="1">
        <v>8103</v>
      </c>
      <c r="K2" s="1">
        <f>J2-8103</f>
        <v>0</v>
      </c>
      <c r="L2" s="1">
        <v>208</v>
      </c>
      <c r="M2" s="1">
        <f>L2-208</f>
        <v>0</v>
      </c>
      <c r="N2" s="1">
        <v>174</v>
      </c>
      <c r="O2" s="1">
        <f>N2-174</f>
        <v>0</v>
      </c>
      <c r="P2" s="1">
        <f>(O2+M2)*150</f>
        <v>0</v>
      </c>
      <c r="R2" s="1">
        <f>P2+H2</f>
        <v>0</v>
      </c>
      <c r="U2" s="1">
        <f>R2*8</f>
        <v>0</v>
      </c>
    </row>
    <row r="3" spans="1:21" x14ac:dyDescent="0.25">
      <c r="A3" s="2">
        <v>42759</v>
      </c>
      <c r="B3" s="1">
        <v>19023</v>
      </c>
      <c r="C3" s="1">
        <f>B3-18033</f>
        <v>990</v>
      </c>
      <c r="D3" s="1">
        <v>500</v>
      </c>
      <c r="E3" s="1">
        <f>150-D3</f>
        <v>-350</v>
      </c>
      <c r="F3" s="1">
        <v>1</v>
      </c>
      <c r="G3" s="1">
        <f>152-F3</f>
        <v>151</v>
      </c>
      <c r="H3" s="1">
        <f>(G3+E3)*40</f>
        <v>-7960</v>
      </c>
      <c r="J3" s="1">
        <v>8475</v>
      </c>
      <c r="K3" s="1">
        <f>J3-8103</f>
        <v>372</v>
      </c>
      <c r="L3" s="1">
        <v>435</v>
      </c>
      <c r="M3" s="1">
        <f>L3-208</f>
        <v>227</v>
      </c>
      <c r="N3" s="1">
        <v>31</v>
      </c>
      <c r="O3" s="1">
        <f>N3-174</f>
        <v>-143</v>
      </c>
      <c r="P3" s="1">
        <f>(O3+M3)*150</f>
        <v>12600</v>
      </c>
      <c r="R3" s="5">
        <f>P3+H3</f>
        <v>4640</v>
      </c>
      <c r="U3" s="1">
        <f>R3*8</f>
        <v>37120</v>
      </c>
    </row>
    <row r="4" spans="1:21" x14ac:dyDescent="0.25">
      <c r="A4" s="2">
        <v>42760</v>
      </c>
      <c r="B4" s="1">
        <v>19473</v>
      </c>
      <c r="C4" s="1">
        <f>B4-18033</f>
        <v>1440</v>
      </c>
      <c r="D4" s="1">
        <v>920</v>
      </c>
      <c r="E4" s="1">
        <f>150-D4</f>
        <v>-770</v>
      </c>
      <c r="F4" s="1">
        <v>0</v>
      </c>
      <c r="G4" s="1">
        <f>152-F4</f>
        <v>152</v>
      </c>
      <c r="H4" s="1">
        <f>(G4+E4)*40</f>
        <v>-24720</v>
      </c>
      <c r="J4" s="1">
        <v>8602</v>
      </c>
      <c r="K4" s="1">
        <f>J4-8103</f>
        <v>499</v>
      </c>
      <c r="L4" s="5">
        <v>528</v>
      </c>
      <c r="M4" s="1">
        <f>L4-208</f>
        <v>320</v>
      </c>
      <c r="N4" s="1">
        <v>21</v>
      </c>
      <c r="O4" s="1">
        <f>N4-174</f>
        <v>-153</v>
      </c>
      <c r="P4" s="1">
        <f>(O4+M4)*150</f>
        <v>25050</v>
      </c>
      <c r="R4" s="5">
        <f>P4+H4</f>
        <v>330</v>
      </c>
      <c r="U4" s="1">
        <f>R4*8</f>
        <v>2640</v>
      </c>
    </row>
    <row r="6" spans="1:21" x14ac:dyDescent="0.25">
      <c r="D6" s="1" t="s">
        <v>103</v>
      </c>
      <c r="F6" s="1" t="s">
        <v>104</v>
      </c>
      <c r="L6" s="1" t="s">
        <v>85</v>
      </c>
      <c r="N6" s="1" t="s">
        <v>83</v>
      </c>
    </row>
    <row r="7" spans="1:21" x14ac:dyDescent="0.25">
      <c r="A7" s="2">
        <v>42760</v>
      </c>
      <c r="B7" s="1">
        <v>19473</v>
      </c>
      <c r="C7" s="1">
        <f>B7-19473</f>
        <v>0</v>
      </c>
      <c r="D7" s="1">
        <v>183</v>
      </c>
      <c r="E7" s="1">
        <f>183-D7</f>
        <v>0</v>
      </c>
      <c r="F7" s="1">
        <v>203</v>
      </c>
      <c r="G7" s="1">
        <f>203-F7</f>
        <v>0</v>
      </c>
      <c r="H7" s="1">
        <f>(G7+E7)*40</f>
        <v>0</v>
      </c>
      <c r="J7" s="1">
        <v>8602</v>
      </c>
      <c r="K7" s="1">
        <f>J7-8602</f>
        <v>0</v>
      </c>
      <c r="L7" s="1">
        <v>206</v>
      </c>
      <c r="M7" s="1">
        <f>L7-206</f>
        <v>0</v>
      </c>
      <c r="N7" s="1">
        <v>165</v>
      </c>
      <c r="O7" s="1">
        <f>N7-165</f>
        <v>0</v>
      </c>
      <c r="P7" s="1">
        <f>(O7+M7)*225</f>
        <v>0</v>
      </c>
      <c r="R7" s="1">
        <f>P7+H7</f>
        <v>0</v>
      </c>
      <c r="U7" s="1">
        <f>S7+K7</f>
        <v>0</v>
      </c>
    </row>
    <row r="8" spans="1:21" x14ac:dyDescent="0.25">
      <c r="A8" s="2">
        <v>42788</v>
      </c>
      <c r="B8" s="1">
        <v>20868</v>
      </c>
      <c r="C8" s="1">
        <f>B8-19473</f>
        <v>1395</v>
      </c>
      <c r="D8" s="1">
        <v>859</v>
      </c>
      <c r="E8" s="1">
        <f>183-D8</f>
        <v>-676</v>
      </c>
      <c r="F8" s="1">
        <v>1</v>
      </c>
      <c r="G8" s="1">
        <f>203-F8</f>
        <v>202</v>
      </c>
      <c r="H8" s="1">
        <f>(G8+E8)*40</f>
        <v>-18960</v>
      </c>
      <c r="J8" s="1">
        <v>8926</v>
      </c>
      <c r="K8" s="1">
        <f>J8-8602</f>
        <v>324</v>
      </c>
      <c r="L8" s="1">
        <v>387</v>
      </c>
      <c r="M8" s="1">
        <f>L8-206</f>
        <v>181</v>
      </c>
      <c r="N8" s="1">
        <v>41</v>
      </c>
      <c r="O8" s="1">
        <f>N8-165</f>
        <v>-124</v>
      </c>
      <c r="P8" s="1">
        <f>(O8+M8)*150</f>
        <v>8550</v>
      </c>
      <c r="R8" s="5">
        <f>P8+H8</f>
        <v>-10410</v>
      </c>
      <c r="U8" s="1">
        <f>R8*8</f>
        <v>-83280</v>
      </c>
    </row>
    <row r="9" spans="1:21" x14ac:dyDescent="0.25">
      <c r="A9" s="2">
        <v>42789</v>
      </c>
      <c r="B9" s="1">
        <v>20876</v>
      </c>
      <c r="C9" s="1">
        <f>B9-19473</f>
        <v>1403</v>
      </c>
      <c r="D9" s="1">
        <v>850</v>
      </c>
      <c r="E9" s="1">
        <f>183-D9</f>
        <v>-667</v>
      </c>
      <c r="F9" s="1">
        <v>0</v>
      </c>
      <c r="G9" s="1">
        <f>203-F9</f>
        <v>203</v>
      </c>
      <c r="H9" s="1">
        <f>(G9+E9)*40</f>
        <v>-18560</v>
      </c>
      <c r="J9" s="1">
        <v>8939</v>
      </c>
      <c r="K9" s="1">
        <f>J9-8602</f>
        <v>337</v>
      </c>
      <c r="L9" s="5">
        <v>384</v>
      </c>
      <c r="M9" s="1">
        <f>L9-206</f>
        <v>178</v>
      </c>
      <c r="N9" s="1">
        <v>21</v>
      </c>
      <c r="O9" s="1">
        <f>N9-165</f>
        <v>-144</v>
      </c>
      <c r="P9" s="1">
        <f>(O9+M9)*150</f>
        <v>5100</v>
      </c>
      <c r="R9" s="5">
        <f>P9+H9</f>
        <v>-13460</v>
      </c>
      <c r="U9" s="1">
        <f>R9*8</f>
        <v>-107680</v>
      </c>
    </row>
    <row r="10" spans="1:21" x14ac:dyDescent="0.25">
      <c r="A10" s="2"/>
    </row>
    <row r="11" spans="1:21" x14ac:dyDescent="0.25">
      <c r="D11" s="1" t="s">
        <v>106</v>
      </c>
      <c r="F11" s="1" t="s">
        <v>107</v>
      </c>
      <c r="L11" s="1" t="s">
        <v>108</v>
      </c>
      <c r="N11" s="1" t="s">
        <v>109</v>
      </c>
    </row>
    <row r="12" spans="1:21" x14ac:dyDescent="0.25">
      <c r="A12" s="2">
        <v>42789</v>
      </c>
      <c r="B12" s="1">
        <v>20876</v>
      </c>
      <c r="C12" s="1">
        <f>B12-20876</f>
        <v>0</v>
      </c>
      <c r="D12" s="1">
        <v>153</v>
      </c>
      <c r="E12" s="1">
        <f>153-D12</f>
        <v>0</v>
      </c>
      <c r="F12" s="1">
        <v>248</v>
      </c>
      <c r="G12" s="1">
        <f>248-F12</f>
        <v>0</v>
      </c>
      <c r="H12" s="1">
        <f>(G12+E12)*40</f>
        <v>0</v>
      </c>
      <c r="J12" s="1">
        <v>8939</v>
      </c>
      <c r="K12" s="1">
        <f>J12-8939</f>
        <v>0</v>
      </c>
      <c r="L12" s="1">
        <v>173</v>
      </c>
      <c r="M12" s="1">
        <f>L12-173</f>
        <v>0</v>
      </c>
      <c r="N12" s="1">
        <v>179</v>
      </c>
      <c r="O12" s="1">
        <f>N12-179</f>
        <v>0</v>
      </c>
      <c r="P12" s="1">
        <f>(O12+M12)*225</f>
        <v>0</v>
      </c>
    </row>
    <row r="13" spans="1:21" x14ac:dyDescent="0.25">
      <c r="A13" s="2">
        <v>42823</v>
      </c>
      <c r="B13" s="1">
        <v>21391</v>
      </c>
      <c r="C13" s="1">
        <f>B13-20876</f>
        <v>515</v>
      </c>
      <c r="D13" s="1">
        <v>27</v>
      </c>
      <c r="E13" s="1">
        <f>153-D13</f>
        <v>126</v>
      </c>
      <c r="F13" s="1">
        <v>1</v>
      </c>
      <c r="G13" s="1">
        <f>248-F13</f>
        <v>247</v>
      </c>
      <c r="H13" s="1">
        <f>(G13+E13)*40</f>
        <v>14920</v>
      </c>
      <c r="J13" s="1">
        <v>9143</v>
      </c>
      <c r="K13" s="1">
        <f>J13-8939</f>
        <v>204</v>
      </c>
      <c r="L13" s="1">
        <v>225</v>
      </c>
      <c r="M13" s="1">
        <f>L13-173</f>
        <v>52</v>
      </c>
      <c r="N13" s="1">
        <v>55</v>
      </c>
      <c r="O13" s="1">
        <f>N13-179</f>
        <v>-124</v>
      </c>
      <c r="P13" s="1">
        <f>(O13+M13)*150</f>
        <v>-10800</v>
      </c>
      <c r="R13" s="5">
        <f>P13+H13</f>
        <v>4120</v>
      </c>
      <c r="U13" s="1">
        <f>R13*8</f>
        <v>32960</v>
      </c>
    </row>
    <row r="14" spans="1:21" x14ac:dyDescent="0.25">
      <c r="A14" s="2">
        <v>42824</v>
      </c>
      <c r="B14" s="1">
        <v>21620</v>
      </c>
      <c r="C14" s="1">
        <f>B14-20876</f>
        <v>744</v>
      </c>
      <c r="D14" s="1">
        <v>83</v>
      </c>
      <c r="E14" s="1">
        <f>153-D14</f>
        <v>70</v>
      </c>
      <c r="F14" s="1">
        <v>0</v>
      </c>
      <c r="G14" s="1">
        <f>248-F14</f>
        <v>248</v>
      </c>
      <c r="H14" s="1">
        <f>(G14+E14)*40</f>
        <v>12720</v>
      </c>
      <c r="J14" s="1">
        <v>9173</v>
      </c>
      <c r="K14" s="1">
        <f>J14-8939</f>
        <v>234</v>
      </c>
      <c r="L14" s="5">
        <v>235</v>
      </c>
      <c r="M14" s="1">
        <f>L14-173</f>
        <v>62</v>
      </c>
      <c r="N14" s="1">
        <v>52</v>
      </c>
      <c r="O14" s="1">
        <f>N14-179</f>
        <v>-127</v>
      </c>
      <c r="P14" s="1">
        <f>(O14+M14)*150</f>
        <v>-9750</v>
      </c>
      <c r="R14" s="5">
        <f>P14+H14</f>
        <v>2970</v>
      </c>
      <c r="U14" s="1">
        <f>R14*8</f>
        <v>23760</v>
      </c>
    </row>
    <row r="19" spans="1:16" x14ac:dyDescent="0.25">
      <c r="A19" s="2"/>
    </row>
    <row r="20" spans="1:16" x14ac:dyDescent="0.25">
      <c r="A20" s="2"/>
      <c r="K20" s="3"/>
    </row>
    <row r="23" spans="1:16" x14ac:dyDescent="0.25">
      <c r="A23" s="2"/>
      <c r="K23" s="3"/>
    </row>
    <row r="26" spans="1:16" x14ac:dyDescent="0.25">
      <c r="A26" s="2"/>
      <c r="P26" s="3"/>
    </row>
    <row r="29" spans="1:16" x14ac:dyDescent="0.25">
      <c r="A29" s="2"/>
    </row>
    <row r="30" spans="1:16" x14ac:dyDescent="0.25">
      <c r="A30" s="2"/>
      <c r="E30" s="5"/>
      <c r="K30" s="5"/>
      <c r="M30" s="3"/>
    </row>
    <row r="33" spans="1:16" x14ac:dyDescent="0.25">
      <c r="A33" s="2"/>
      <c r="E33" s="5"/>
      <c r="K33" s="5"/>
      <c r="M33" s="3"/>
    </row>
    <row r="36" spans="1:16" x14ac:dyDescent="0.25">
      <c r="A36" s="2"/>
      <c r="E36" s="5"/>
      <c r="K36" s="5"/>
      <c r="M36" s="3"/>
    </row>
    <row r="39" spans="1:16" x14ac:dyDescent="0.25">
      <c r="A39" s="2"/>
      <c r="E39" s="5"/>
      <c r="K39" s="5"/>
      <c r="M39" s="3"/>
    </row>
    <row r="42" spans="1:16" x14ac:dyDescent="0.25">
      <c r="A42" s="2"/>
      <c r="E42" s="5"/>
      <c r="K42" s="5"/>
      <c r="P42" s="3"/>
    </row>
    <row r="45" spans="1:16" x14ac:dyDescent="0.25">
      <c r="A45" s="2"/>
    </row>
    <row r="46" spans="1:16" x14ac:dyDescent="0.25">
      <c r="A46" s="2"/>
      <c r="K46" s="3"/>
    </row>
    <row r="49" spans="1:16" x14ac:dyDescent="0.25">
      <c r="A49" s="2"/>
      <c r="M49" s="3"/>
    </row>
    <row r="52" spans="1:16" x14ac:dyDescent="0.25">
      <c r="A52" s="2"/>
    </row>
    <row r="55" spans="1:16" x14ac:dyDescent="0.25">
      <c r="A55" s="2"/>
    </row>
    <row r="56" spans="1:16" x14ac:dyDescent="0.25">
      <c r="A56" s="2"/>
      <c r="P56" s="3"/>
    </row>
    <row r="59" spans="1:16" x14ac:dyDescent="0.25">
      <c r="A59" s="2"/>
    </row>
    <row r="60" spans="1:16" x14ac:dyDescent="0.25">
      <c r="A60" s="2"/>
      <c r="M60" s="3"/>
      <c r="P60" s="5"/>
    </row>
    <row r="63" spans="1:16" x14ac:dyDescent="0.25">
      <c r="A63" s="2"/>
      <c r="P63" s="3"/>
    </row>
    <row r="66" spans="1:16" x14ac:dyDescent="0.25">
      <c r="A66" s="2"/>
    </row>
    <row r="67" spans="1:16" x14ac:dyDescent="0.25">
      <c r="A67" s="2"/>
      <c r="M67" s="3"/>
    </row>
    <row r="70" spans="1:16" x14ac:dyDescent="0.25">
      <c r="A70" s="2"/>
      <c r="M70" s="5"/>
    </row>
    <row r="71" spans="1:16" x14ac:dyDescent="0.25">
      <c r="A71" s="2"/>
      <c r="M71" s="5"/>
      <c r="P71" s="3"/>
    </row>
    <row r="74" spans="1:16" x14ac:dyDescent="0.25">
      <c r="A74" s="2"/>
    </row>
    <row r="75" spans="1:16" x14ac:dyDescent="0.25">
      <c r="A75" s="2"/>
      <c r="P75" s="3"/>
    </row>
    <row r="78" spans="1:16" x14ac:dyDescent="0.25">
      <c r="A78" s="2"/>
    </row>
    <row r="79" spans="1:16" x14ac:dyDescent="0.25">
      <c r="A79" s="2"/>
      <c r="M79" s="3"/>
    </row>
    <row r="82" spans="1:16" x14ac:dyDescent="0.25">
      <c r="A82" s="2"/>
      <c r="M82" s="3"/>
    </row>
    <row r="85" spans="1:16" x14ac:dyDescent="0.25">
      <c r="A85" s="2"/>
    </row>
    <row r="86" spans="1:16" x14ac:dyDescent="0.25">
      <c r="A86" s="2"/>
      <c r="P86" s="3"/>
    </row>
    <row r="89" spans="1:16" x14ac:dyDescent="0.25">
      <c r="A89" s="2"/>
    </row>
    <row r="90" spans="1:16" x14ac:dyDescent="0.25">
      <c r="A90" s="2"/>
      <c r="M90" s="3"/>
    </row>
    <row r="93" spans="1:16" x14ac:dyDescent="0.25">
      <c r="A93" s="2"/>
      <c r="P93" s="3"/>
    </row>
    <row r="96" spans="1:16" x14ac:dyDescent="0.25">
      <c r="A96" s="2"/>
    </row>
    <row r="97" spans="1:16" x14ac:dyDescent="0.25">
      <c r="A97" s="2"/>
      <c r="K97" s="3"/>
    </row>
    <row r="100" spans="1:16" x14ac:dyDescent="0.25">
      <c r="A100" s="2"/>
      <c r="K100" s="3"/>
    </row>
    <row r="103" spans="1:16" x14ac:dyDescent="0.25">
      <c r="A103" s="2"/>
      <c r="K103" s="3"/>
    </row>
    <row r="106" spans="1:16" x14ac:dyDescent="0.25">
      <c r="A106" s="2"/>
      <c r="P106" s="3"/>
    </row>
    <row r="109" spans="1:16" x14ac:dyDescent="0.25">
      <c r="A109" s="2"/>
    </row>
    <row r="110" spans="1:16" x14ac:dyDescent="0.25">
      <c r="A110" s="2"/>
      <c r="M110" s="3"/>
    </row>
    <row r="113" spans="1:16" x14ac:dyDescent="0.25">
      <c r="A113" s="2"/>
    </row>
    <row r="114" spans="1:16" x14ac:dyDescent="0.25">
      <c r="A114" s="2"/>
      <c r="P11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"/>
  <sheetViews>
    <sheetView tabSelected="1" topLeftCell="C1" workbookViewId="0">
      <selection activeCell="AA1" sqref="AA1:AB21"/>
    </sheetView>
  </sheetViews>
  <sheetFormatPr defaultRowHeight="15" x14ac:dyDescent="0.25"/>
  <cols>
    <col min="1" max="1" width="7.42578125" style="1" bestFit="1" customWidth="1"/>
    <col min="2" max="2" width="6" style="1" bestFit="1" customWidth="1"/>
    <col min="3" max="3" width="4.7109375" style="1" bestFit="1" customWidth="1"/>
    <col min="4" max="4" width="5.5703125" style="1" bestFit="1" customWidth="1"/>
    <col min="5" max="5" width="5" style="1" bestFit="1" customWidth="1"/>
    <col min="6" max="6" width="5.5703125" style="1" bestFit="1" customWidth="1"/>
    <col min="7" max="8" width="4.7109375" style="1" bestFit="1" customWidth="1"/>
    <col min="9" max="9" width="9.140625" style="1"/>
    <col min="10" max="10" width="5.5703125" style="1" bestFit="1" customWidth="1"/>
    <col min="11" max="11" width="4.7109375" style="1" bestFit="1" customWidth="1"/>
    <col min="12" max="12" width="5.5703125" style="1" bestFit="1" customWidth="1"/>
    <col min="13" max="14" width="4.7109375" style="1" bestFit="1" customWidth="1"/>
    <col min="15" max="15" width="9.140625" style="1"/>
    <col min="16" max="16" width="6" style="1" bestFit="1" customWidth="1"/>
    <col min="17" max="17" width="5.7109375" style="1" bestFit="1" customWidth="1"/>
    <col min="18" max="18" width="5.5703125" style="1" bestFit="1" customWidth="1"/>
    <col min="19" max="19" width="5" style="1" bestFit="1" customWidth="1"/>
    <col min="20" max="20" width="5.5703125" style="1" bestFit="1" customWidth="1"/>
    <col min="21" max="22" width="5" style="1" bestFit="1" customWidth="1"/>
    <col min="23" max="23" width="9.140625" style="1"/>
    <col min="24" max="24" width="7.7109375" style="1" bestFit="1" customWidth="1"/>
    <col min="25" max="16384" width="9.14062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2</v>
      </c>
      <c r="F1" s="1" t="s">
        <v>40</v>
      </c>
      <c r="G1" s="1" t="s">
        <v>2</v>
      </c>
      <c r="H1" s="1" t="s">
        <v>5</v>
      </c>
      <c r="J1" s="1" t="s">
        <v>3</v>
      </c>
      <c r="K1" s="1" t="s">
        <v>2</v>
      </c>
      <c r="L1" s="1" t="s">
        <v>20</v>
      </c>
      <c r="M1" s="1" t="s">
        <v>2</v>
      </c>
      <c r="N1" s="1" t="s">
        <v>5</v>
      </c>
      <c r="P1" s="1" t="s">
        <v>27</v>
      </c>
      <c r="Q1" s="1" t="s">
        <v>2</v>
      </c>
      <c r="R1" s="1" t="s">
        <v>43</v>
      </c>
      <c r="S1" s="1" t="s">
        <v>2</v>
      </c>
      <c r="T1" s="1" t="s">
        <v>44</v>
      </c>
      <c r="U1" s="1" t="s">
        <v>2</v>
      </c>
      <c r="V1" s="1" t="s">
        <v>5</v>
      </c>
      <c r="X1" s="1" t="s">
        <v>9</v>
      </c>
      <c r="Y1" s="1" t="s">
        <v>9</v>
      </c>
      <c r="AA1" s="5"/>
      <c r="AB1" s="4"/>
      <c r="AC1" s="1">
        <v>14245</v>
      </c>
    </row>
    <row r="2" spans="1:29" x14ac:dyDescent="0.25">
      <c r="A2" s="2">
        <v>43100</v>
      </c>
      <c r="B2" s="1">
        <v>7947</v>
      </c>
      <c r="C2" s="1">
        <f>B2-7947</f>
        <v>0</v>
      </c>
      <c r="D2" s="1">
        <v>114</v>
      </c>
      <c r="E2" s="1">
        <f>114-D2</f>
        <v>0</v>
      </c>
      <c r="F2" s="1">
        <v>112</v>
      </c>
      <c r="G2" s="1">
        <f>112-F2</f>
        <v>0</v>
      </c>
      <c r="H2" s="1">
        <f>G2+E2</f>
        <v>0</v>
      </c>
      <c r="J2" s="1">
        <v>88</v>
      </c>
      <c r="K2" s="1">
        <f>J2-88</f>
        <v>0</v>
      </c>
      <c r="L2" s="1">
        <v>90</v>
      </c>
      <c r="M2" s="1">
        <f>L2-90</f>
        <v>0</v>
      </c>
      <c r="N2" s="1">
        <f>M2+K2</f>
        <v>0</v>
      </c>
      <c r="P2" s="1">
        <v>16922</v>
      </c>
      <c r="Q2" s="1">
        <f>P2-16922</f>
        <v>0</v>
      </c>
      <c r="R2" s="1">
        <v>366</v>
      </c>
      <c r="S2" s="1">
        <f>R2-366</f>
        <v>0</v>
      </c>
      <c r="T2" s="1">
        <v>288</v>
      </c>
      <c r="U2" s="1">
        <f>T2-288</f>
        <v>0</v>
      </c>
      <c r="V2" s="1">
        <f>U2+S2</f>
        <v>0</v>
      </c>
      <c r="X2" s="1">
        <f>V2*120+N2*600+H2*225</f>
        <v>0</v>
      </c>
      <c r="Y2" s="1">
        <f>W2*120+O2*600+I2*225</f>
        <v>0</v>
      </c>
      <c r="AB2" s="4"/>
      <c r="AC2" s="1">
        <v>102670</v>
      </c>
    </row>
    <row r="3" spans="1:29" x14ac:dyDescent="0.25">
      <c r="A3" s="2">
        <v>42762</v>
      </c>
      <c r="B3" s="1">
        <v>7437</v>
      </c>
      <c r="C3" s="1">
        <f>B3-7947</f>
        <v>-510</v>
      </c>
      <c r="D3" s="1">
        <v>0</v>
      </c>
      <c r="E3" s="1">
        <f>114-D3</f>
        <v>114</v>
      </c>
      <c r="F3" s="1">
        <v>516</v>
      </c>
      <c r="G3" s="1">
        <f>112-F3</f>
        <v>-404</v>
      </c>
      <c r="H3" s="1">
        <f>G3+E3</f>
        <v>-290</v>
      </c>
      <c r="J3" s="1">
        <v>1</v>
      </c>
      <c r="K3" s="1">
        <f>J3-88</f>
        <v>-87</v>
      </c>
      <c r="L3" s="1">
        <v>464</v>
      </c>
      <c r="M3" s="1">
        <f>L3-90</f>
        <v>374</v>
      </c>
      <c r="N3" s="1">
        <f>M3+K3</f>
        <v>287</v>
      </c>
      <c r="P3" s="1">
        <v>15534</v>
      </c>
      <c r="Q3" s="1">
        <f>P3-16922</f>
        <v>-1388</v>
      </c>
      <c r="R3" s="1">
        <v>0</v>
      </c>
      <c r="S3" s="1">
        <f>R3-366</f>
        <v>-366</v>
      </c>
      <c r="T3" s="1">
        <v>1360</v>
      </c>
      <c r="U3" s="1">
        <f>T3-288</f>
        <v>1072</v>
      </c>
      <c r="V3" s="1">
        <f>U3+S3</f>
        <v>706</v>
      </c>
      <c r="X3" s="1">
        <f>V3*120+N3*600+H3*225</f>
        <v>191670</v>
      </c>
      <c r="Y3" s="1">
        <f>W3*120+O3*600+I3*225</f>
        <v>0</v>
      </c>
      <c r="AB3" s="4"/>
      <c r="AC3" s="1">
        <v>113075</v>
      </c>
    </row>
    <row r="4" spans="1:29" x14ac:dyDescent="0.25">
      <c r="A4" s="2">
        <v>42763</v>
      </c>
      <c r="B4" s="1">
        <v>7424</v>
      </c>
      <c r="C4" s="1">
        <f>B4-7947</f>
        <v>-523</v>
      </c>
      <c r="D4" s="1">
        <v>0</v>
      </c>
      <c r="E4" s="1">
        <f>114-D4</f>
        <v>114</v>
      </c>
      <c r="F4" s="1">
        <v>503</v>
      </c>
      <c r="G4" s="1">
        <f>112-F4</f>
        <v>-391</v>
      </c>
      <c r="H4" s="1">
        <f>G4+E4</f>
        <v>-277</v>
      </c>
      <c r="J4" s="1">
        <v>0</v>
      </c>
      <c r="K4" s="1">
        <f>J4-88</f>
        <v>-88</v>
      </c>
      <c r="L4" s="1">
        <v>470</v>
      </c>
      <c r="M4" s="1">
        <f>L4-90</f>
        <v>380</v>
      </c>
      <c r="N4" s="1">
        <f>M4+K4</f>
        <v>292</v>
      </c>
      <c r="P4" s="1">
        <v>15381</v>
      </c>
      <c r="Q4" s="1">
        <f>P4-16922</f>
        <v>-1541</v>
      </c>
      <c r="R4" s="1">
        <v>0</v>
      </c>
      <c r="S4" s="1">
        <f>R4-366</f>
        <v>-366</v>
      </c>
      <c r="T4" s="1">
        <v>1501</v>
      </c>
      <c r="U4" s="1">
        <f>T4-288</f>
        <v>1213</v>
      </c>
      <c r="V4" s="1">
        <f>U4+S4</f>
        <v>847</v>
      </c>
      <c r="X4" s="3">
        <f>V4*120+N4*225+H4*675</f>
        <v>-19635</v>
      </c>
      <c r="Y4" s="3">
        <f>V4*160+N4*225+H4*675</f>
        <v>14245</v>
      </c>
      <c r="AB4" s="4"/>
      <c r="AC4" s="1">
        <v>50450</v>
      </c>
    </row>
    <row r="5" spans="1:29" x14ac:dyDescent="0.25">
      <c r="A5" s="2"/>
      <c r="AB5" s="4"/>
      <c r="AC5" s="1">
        <v>-3700</v>
      </c>
    </row>
    <row r="6" spans="1:29" x14ac:dyDescent="0.25">
      <c r="A6" s="1" t="s">
        <v>0</v>
      </c>
      <c r="B6" s="1" t="s">
        <v>1</v>
      </c>
      <c r="C6" s="1" t="s">
        <v>2</v>
      </c>
      <c r="D6" s="1" t="s">
        <v>15</v>
      </c>
      <c r="E6" s="1" t="s">
        <v>2</v>
      </c>
      <c r="F6" s="1" t="s">
        <v>16</v>
      </c>
      <c r="G6" s="1" t="s">
        <v>2</v>
      </c>
      <c r="H6" s="1" t="s">
        <v>5</v>
      </c>
      <c r="J6" s="1" t="s">
        <v>12</v>
      </c>
      <c r="K6" s="1" t="s">
        <v>2</v>
      </c>
      <c r="L6" s="1" t="s">
        <v>45</v>
      </c>
      <c r="M6" s="1" t="s">
        <v>2</v>
      </c>
      <c r="N6" s="1" t="s">
        <v>5</v>
      </c>
      <c r="R6" s="1" t="s">
        <v>46</v>
      </c>
      <c r="S6" s="1" t="s">
        <v>2</v>
      </c>
      <c r="T6" s="1" t="s">
        <v>47</v>
      </c>
      <c r="U6" s="1" t="s">
        <v>2</v>
      </c>
      <c r="V6" s="1" t="s">
        <v>5</v>
      </c>
      <c r="X6" s="1" t="s">
        <v>9</v>
      </c>
      <c r="Y6" s="1" t="s">
        <v>9</v>
      </c>
      <c r="AB6" s="4"/>
      <c r="AC6" s="1">
        <v>-32340</v>
      </c>
    </row>
    <row r="7" spans="1:29" x14ac:dyDescent="0.25">
      <c r="A7" s="2">
        <v>42763</v>
      </c>
      <c r="B7" s="1">
        <v>7424</v>
      </c>
      <c r="C7" s="1">
        <f>B7-7424</f>
        <v>0</v>
      </c>
      <c r="D7" s="1">
        <v>162</v>
      </c>
      <c r="E7" s="1">
        <f>162-D7</f>
        <v>0</v>
      </c>
      <c r="F7" s="1">
        <v>116</v>
      </c>
      <c r="G7" s="1">
        <f>116-F7</f>
        <v>0</v>
      </c>
      <c r="H7" s="1">
        <f>G7+E7</f>
        <v>0</v>
      </c>
      <c r="J7" s="1">
        <v>109</v>
      </c>
      <c r="K7" s="1">
        <f>J7-109</f>
        <v>0</v>
      </c>
      <c r="L7" s="1">
        <v>97</v>
      </c>
      <c r="M7" s="1">
        <f>L7-97</f>
        <v>0</v>
      </c>
      <c r="N7" s="1">
        <f>M7+K7</f>
        <v>0</v>
      </c>
      <c r="P7" s="1">
        <v>15381</v>
      </c>
      <c r="Q7" s="1">
        <f>P7-15381</f>
        <v>0</v>
      </c>
      <c r="R7" s="1">
        <v>421</v>
      </c>
      <c r="S7" s="1">
        <f>R7-421</f>
        <v>0</v>
      </c>
      <c r="T7" s="1">
        <v>376</v>
      </c>
      <c r="U7" s="1">
        <f>T7-376</f>
        <v>0</v>
      </c>
      <c r="V7" s="1">
        <f>U7+S7</f>
        <v>0</v>
      </c>
      <c r="X7" s="1">
        <f>V7*120+N7*600+H7*225</f>
        <v>0</v>
      </c>
      <c r="Y7" s="1">
        <f>W7*120+O7*600+I7*225</f>
        <v>0</v>
      </c>
      <c r="AB7" s="4"/>
      <c r="AC7" s="1">
        <v>36780</v>
      </c>
    </row>
    <row r="8" spans="1:29" x14ac:dyDescent="0.25">
      <c r="A8" s="2">
        <v>42790</v>
      </c>
      <c r="B8" s="1">
        <v>7018</v>
      </c>
      <c r="C8" s="1">
        <f>B8-7424</f>
        <v>-406</v>
      </c>
      <c r="D8" s="1">
        <v>0</v>
      </c>
      <c r="E8" s="1">
        <f>162-D8</f>
        <v>162</v>
      </c>
      <c r="F8" s="1">
        <v>378</v>
      </c>
      <c r="G8" s="1">
        <f>116-F8</f>
        <v>-262</v>
      </c>
      <c r="H8" s="1">
        <f>G8+E8</f>
        <v>-100</v>
      </c>
      <c r="J8" s="1">
        <v>1</v>
      </c>
      <c r="K8" s="1">
        <f>J8-109</f>
        <v>-108</v>
      </c>
      <c r="L8" s="1">
        <v>332</v>
      </c>
      <c r="M8" s="1">
        <f>L8-97</f>
        <v>235</v>
      </c>
      <c r="N8" s="1">
        <f>M8+K8</f>
        <v>127</v>
      </c>
      <c r="P8" s="1">
        <v>13794</v>
      </c>
      <c r="Q8" s="1">
        <f>P8-15381</f>
        <v>-1587</v>
      </c>
      <c r="R8" s="1">
        <v>0</v>
      </c>
      <c r="S8" s="1">
        <f>R8-421</f>
        <v>-421</v>
      </c>
      <c r="T8" s="1">
        <v>1450</v>
      </c>
      <c r="U8" s="1">
        <f>T8-376</f>
        <v>1074</v>
      </c>
      <c r="V8" s="1">
        <f>U8+S8</f>
        <v>653</v>
      </c>
      <c r="X8" s="1">
        <f>V8*120+N8*600+H8*225</f>
        <v>132060</v>
      </c>
      <c r="Y8" s="1">
        <f>W8*120+O8*600+I8*225</f>
        <v>0</v>
      </c>
      <c r="AB8" s="4"/>
      <c r="AC8" s="1">
        <v>13825</v>
      </c>
    </row>
    <row r="9" spans="1:29" x14ac:dyDescent="0.25">
      <c r="A9" s="2">
        <v>42791</v>
      </c>
      <c r="B9" s="1">
        <v>6970</v>
      </c>
      <c r="C9" s="1">
        <f>B9-7424</f>
        <v>-454</v>
      </c>
      <c r="D9" s="1">
        <v>0</v>
      </c>
      <c r="E9" s="1">
        <f>162-D9</f>
        <v>162</v>
      </c>
      <c r="F9" s="1">
        <v>430</v>
      </c>
      <c r="G9" s="1">
        <f>116-F9</f>
        <v>-314</v>
      </c>
      <c r="H9" s="1">
        <f>G9+E9</f>
        <v>-152</v>
      </c>
      <c r="J9" s="1">
        <v>0</v>
      </c>
      <c r="K9" s="1">
        <f>J9-109</f>
        <v>-109</v>
      </c>
      <c r="L9" s="1">
        <v>382</v>
      </c>
      <c r="M9" s="1">
        <f>L9-97</f>
        <v>285</v>
      </c>
      <c r="N9" s="1">
        <f>M9+K9</f>
        <v>176</v>
      </c>
      <c r="P9" s="1">
        <v>13555</v>
      </c>
      <c r="Q9" s="1">
        <f>P9-15381</f>
        <v>-1826</v>
      </c>
      <c r="R9" s="1">
        <v>0</v>
      </c>
      <c r="S9" s="1">
        <f>R9-421</f>
        <v>-421</v>
      </c>
      <c r="T9" s="1">
        <v>1833</v>
      </c>
      <c r="U9" s="1">
        <f>T9-376</f>
        <v>1457</v>
      </c>
      <c r="V9" s="1">
        <f>U9+S9</f>
        <v>1036</v>
      </c>
      <c r="X9" s="3">
        <f>V9*120+N9*225+H9*675</f>
        <v>61320</v>
      </c>
      <c r="Y9" s="3">
        <f>V9*160+N9*225+H9*675</f>
        <v>102760</v>
      </c>
      <c r="AB9" s="4"/>
      <c r="AC9" s="1">
        <v>34285</v>
      </c>
    </row>
    <row r="10" spans="1:29" x14ac:dyDescent="0.25">
      <c r="AB10" s="4"/>
      <c r="AC10" s="1">
        <v>59085</v>
      </c>
    </row>
    <row r="11" spans="1:29" x14ac:dyDescent="0.25">
      <c r="A11" s="1" t="s">
        <v>0</v>
      </c>
      <c r="B11" s="1" t="s">
        <v>1</v>
      </c>
      <c r="C11" s="1" t="s">
        <v>2</v>
      </c>
      <c r="D11" s="1" t="s">
        <v>31</v>
      </c>
      <c r="E11" s="1" t="s">
        <v>2</v>
      </c>
      <c r="F11" s="1" t="s">
        <v>24</v>
      </c>
      <c r="G11" s="1" t="s">
        <v>2</v>
      </c>
      <c r="H11" s="1" t="s">
        <v>5</v>
      </c>
      <c r="J11" s="1" t="s">
        <v>48</v>
      </c>
      <c r="K11" s="1" t="s">
        <v>2</v>
      </c>
      <c r="L11" s="1" t="s">
        <v>34</v>
      </c>
      <c r="M11" s="1" t="s">
        <v>2</v>
      </c>
      <c r="N11" s="1" t="s">
        <v>5</v>
      </c>
      <c r="R11" s="1" t="s">
        <v>49</v>
      </c>
      <c r="S11" s="1" t="s">
        <v>2</v>
      </c>
      <c r="T11" s="1" t="s">
        <v>50</v>
      </c>
      <c r="U11" s="1" t="s">
        <v>2</v>
      </c>
      <c r="V11" s="1" t="s">
        <v>5</v>
      </c>
      <c r="X11" s="1" t="s">
        <v>9</v>
      </c>
      <c r="Y11" s="1" t="s">
        <v>9</v>
      </c>
      <c r="AC11" s="1">
        <v>-96260</v>
      </c>
    </row>
    <row r="12" spans="1:29" x14ac:dyDescent="0.25">
      <c r="A12" s="2">
        <v>42791</v>
      </c>
      <c r="B12" s="1">
        <v>6970</v>
      </c>
      <c r="C12" s="1">
        <f>B12-6970</f>
        <v>0</v>
      </c>
      <c r="D12" s="1">
        <v>178</v>
      </c>
      <c r="E12" s="1">
        <f>178-D12</f>
        <v>0</v>
      </c>
      <c r="F12" s="1">
        <v>178</v>
      </c>
      <c r="G12" s="1">
        <f>178-F12</f>
        <v>0</v>
      </c>
      <c r="H12" s="1">
        <f>G12+E12</f>
        <v>0</v>
      </c>
      <c r="J12" s="1">
        <v>154</v>
      </c>
      <c r="K12" s="1">
        <f>J12-154</f>
        <v>0</v>
      </c>
      <c r="L12" s="1">
        <v>139</v>
      </c>
      <c r="M12" s="1">
        <f>L12-139</f>
        <v>0</v>
      </c>
      <c r="N12" s="1">
        <f>M12+K12</f>
        <v>0</v>
      </c>
      <c r="P12" s="1">
        <v>13555</v>
      </c>
      <c r="Q12" s="1">
        <f>P12-13555</f>
        <v>0</v>
      </c>
      <c r="R12" s="1">
        <v>505</v>
      </c>
      <c r="S12" s="1">
        <f>R12-505</f>
        <v>0</v>
      </c>
      <c r="T12" s="1">
        <v>376</v>
      </c>
      <c r="U12" s="1">
        <f>T12-376</f>
        <v>0</v>
      </c>
      <c r="V12" s="1">
        <f>U12+S12</f>
        <v>0</v>
      </c>
      <c r="X12" s="1">
        <f>V12*120+N12*600+H12*225</f>
        <v>0</v>
      </c>
      <c r="Y12" s="1">
        <f>W12*120+O12*600+I12*225</f>
        <v>0</v>
      </c>
      <c r="AC12" s="1">
        <v>-19370</v>
      </c>
    </row>
    <row r="13" spans="1:29" x14ac:dyDescent="0.25">
      <c r="A13" s="2">
        <v>42824</v>
      </c>
      <c r="B13" s="1">
        <v>7735</v>
      </c>
      <c r="C13" s="1">
        <f>B13-6970</f>
        <v>765</v>
      </c>
      <c r="D13" s="1">
        <v>736</v>
      </c>
      <c r="E13" s="1">
        <f>178-D13</f>
        <v>-558</v>
      </c>
      <c r="F13" s="1">
        <v>1</v>
      </c>
      <c r="G13" s="1">
        <f>178-F13</f>
        <v>177</v>
      </c>
      <c r="H13" s="1">
        <f>G13+E13</f>
        <v>-381</v>
      </c>
      <c r="J13" s="1">
        <v>686</v>
      </c>
      <c r="K13" s="1">
        <f>J13-154</f>
        <v>532</v>
      </c>
      <c r="L13" s="1">
        <v>1</v>
      </c>
      <c r="M13" s="1">
        <f>L13-139</f>
        <v>-138</v>
      </c>
      <c r="N13" s="1">
        <f>M13+K13</f>
        <v>394</v>
      </c>
      <c r="P13" s="1">
        <v>16134</v>
      </c>
      <c r="Q13" s="1">
        <f>P13-13555</f>
        <v>2579</v>
      </c>
      <c r="R13" s="1">
        <v>2641</v>
      </c>
      <c r="S13" s="1">
        <f>R13-505</f>
        <v>2136</v>
      </c>
      <c r="T13" s="1">
        <v>0</v>
      </c>
      <c r="U13" s="1">
        <f>T13-376</f>
        <v>-376</v>
      </c>
      <c r="V13" s="1">
        <f>U13+S13</f>
        <v>1760</v>
      </c>
      <c r="X13" s="1">
        <f>V13*120+N13*600+H13*225</f>
        <v>361875</v>
      </c>
      <c r="Y13" s="1">
        <f>W13*120+O13*600+I13*225</f>
        <v>0</v>
      </c>
      <c r="AC13" s="1">
        <v>5205</v>
      </c>
    </row>
    <row r="14" spans="1:29" x14ac:dyDescent="0.25">
      <c r="A14" s="2">
        <v>42825</v>
      </c>
      <c r="B14" s="1">
        <v>7738</v>
      </c>
      <c r="C14" s="1">
        <f>B14-6970</f>
        <v>768</v>
      </c>
      <c r="D14" s="1">
        <v>736</v>
      </c>
      <c r="E14" s="1">
        <f>178-D14</f>
        <v>-558</v>
      </c>
      <c r="F14" s="1">
        <v>0</v>
      </c>
      <c r="G14" s="1">
        <f>178-F14</f>
        <v>178</v>
      </c>
      <c r="H14" s="1">
        <f>G14+E14</f>
        <v>-380</v>
      </c>
      <c r="J14" s="1">
        <v>684</v>
      </c>
      <c r="K14" s="1">
        <f>J14-154</f>
        <v>530</v>
      </c>
      <c r="L14" s="1">
        <v>0</v>
      </c>
      <c r="M14" s="1">
        <f>L14-139</f>
        <v>-139</v>
      </c>
      <c r="N14" s="1">
        <f>M14+K14</f>
        <v>391</v>
      </c>
      <c r="P14" s="1">
        <v>16141</v>
      </c>
      <c r="Q14" s="1">
        <f>P14-13555</f>
        <v>2586</v>
      </c>
      <c r="R14" s="1">
        <v>2641</v>
      </c>
      <c r="S14" s="1">
        <f>R14-505</f>
        <v>2136</v>
      </c>
      <c r="T14" s="1">
        <v>0</v>
      </c>
      <c r="U14" s="1">
        <f>T14-376</f>
        <v>-376</v>
      </c>
      <c r="V14" s="1">
        <f>U14+S14</f>
        <v>1760</v>
      </c>
      <c r="X14" s="3">
        <f>V14*120+N14*225+H14*675</f>
        <v>42675</v>
      </c>
      <c r="Y14" s="3">
        <f>V14*160+N14*225+H14*675</f>
        <v>113075</v>
      </c>
      <c r="AC14" s="1">
        <v>57645</v>
      </c>
    </row>
    <row r="15" spans="1:29" x14ac:dyDescent="0.25">
      <c r="A15" s="2"/>
      <c r="H15" s="5"/>
      <c r="Q15" s="5"/>
      <c r="AC15" s="1">
        <v>705</v>
      </c>
    </row>
    <row r="16" spans="1:29" x14ac:dyDescent="0.25">
      <c r="A16" s="1" t="s">
        <v>0</v>
      </c>
      <c r="B16" s="1" t="s">
        <v>1</v>
      </c>
      <c r="C16" s="1" t="s">
        <v>2</v>
      </c>
      <c r="D16" s="1" t="s">
        <v>51</v>
      </c>
      <c r="E16" s="1" t="s">
        <v>2</v>
      </c>
      <c r="F16" s="1" t="s">
        <v>52</v>
      </c>
      <c r="G16" s="1" t="s">
        <v>2</v>
      </c>
      <c r="H16" s="1" t="s">
        <v>5</v>
      </c>
      <c r="J16" s="1" t="s">
        <v>10</v>
      </c>
      <c r="K16" s="1" t="s">
        <v>2</v>
      </c>
      <c r="L16" s="1" t="s">
        <v>53</v>
      </c>
      <c r="M16" s="1" t="s">
        <v>2</v>
      </c>
      <c r="N16" s="1" t="s">
        <v>5</v>
      </c>
      <c r="R16" s="1" t="s">
        <v>54</v>
      </c>
      <c r="S16" s="1" t="s">
        <v>2</v>
      </c>
      <c r="T16" s="1" t="s">
        <v>55</v>
      </c>
      <c r="U16" s="1" t="s">
        <v>2</v>
      </c>
      <c r="V16" s="1" t="s">
        <v>5</v>
      </c>
      <c r="X16" s="1" t="s">
        <v>9</v>
      </c>
      <c r="Y16" s="1" t="s">
        <v>9</v>
      </c>
      <c r="AC16" s="1">
        <v>47380</v>
      </c>
    </row>
    <row r="17" spans="1:29" x14ac:dyDescent="0.25">
      <c r="A17" s="2">
        <v>42825</v>
      </c>
      <c r="B17" s="1">
        <v>7738</v>
      </c>
      <c r="C17" s="1">
        <f>B17-7738</f>
        <v>0</v>
      </c>
      <c r="D17" s="1">
        <v>150</v>
      </c>
      <c r="E17" s="1">
        <f>150-D17</f>
        <v>0</v>
      </c>
      <c r="F17" s="1">
        <v>117</v>
      </c>
      <c r="G17" s="1">
        <f>117-F17</f>
        <v>0</v>
      </c>
      <c r="H17" s="1">
        <f>G17+E17</f>
        <v>0</v>
      </c>
      <c r="J17" s="1">
        <v>121</v>
      </c>
      <c r="K17" s="1">
        <f>J17-121</f>
        <v>0</v>
      </c>
      <c r="L17" s="1">
        <v>80</v>
      </c>
      <c r="M17" s="1">
        <f>L17-80</f>
        <v>0</v>
      </c>
      <c r="N17" s="1">
        <f>M17+K17</f>
        <v>0</v>
      </c>
      <c r="P17" s="1">
        <v>16141</v>
      </c>
      <c r="Q17" s="1">
        <f>P17-16141</f>
        <v>0</v>
      </c>
      <c r="R17" s="1">
        <v>485</v>
      </c>
      <c r="S17" s="1">
        <f>R17-485</f>
        <v>0</v>
      </c>
      <c r="T17" s="1">
        <v>341</v>
      </c>
      <c r="U17" s="1">
        <f>T17-341</f>
        <v>0</v>
      </c>
      <c r="V17" s="1">
        <f>U17+S17</f>
        <v>0</v>
      </c>
      <c r="X17" s="1">
        <f>V17*120+N17*600+H17*225</f>
        <v>0</v>
      </c>
      <c r="Y17" s="1">
        <f>W17*120+O17*600+I17*225</f>
        <v>0</v>
      </c>
      <c r="AC17" s="1">
        <v>54960</v>
      </c>
    </row>
    <row r="18" spans="1:29" x14ac:dyDescent="0.25">
      <c r="A18" s="2">
        <v>42852</v>
      </c>
      <c r="B18" s="1">
        <v>7979</v>
      </c>
      <c r="C18" s="1">
        <f>B18-7738</f>
        <v>241</v>
      </c>
      <c r="D18" s="1">
        <v>235</v>
      </c>
      <c r="E18" s="1">
        <f>150-D18</f>
        <v>-85</v>
      </c>
      <c r="F18" s="1">
        <v>1</v>
      </c>
      <c r="G18" s="1">
        <f>117-F18</f>
        <v>116</v>
      </c>
      <c r="H18" s="1">
        <f>G18+E18</f>
        <v>31</v>
      </c>
      <c r="J18" s="1">
        <v>190</v>
      </c>
      <c r="K18" s="1">
        <f>J18-121</f>
        <v>69</v>
      </c>
      <c r="L18" s="1">
        <v>1</v>
      </c>
      <c r="M18" s="1">
        <f>L18-80</f>
        <v>-79</v>
      </c>
      <c r="N18" s="1">
        <f>M18+K18</f>
        <v>-10</v>
      </c>
      <c r="P18" s="1">
        <v>16873</v>
      </c>
      <c r="Q18" s="1">
        <f>P18-16141</f>
        <v>732</v>
      </c>
      <c r="R18" s="1">
        <v>792</v>
      </c>
      <c r="S18" s="1">
        <f>R18-485</f>
        <v>307</v>
      </c>
      <c r="T18" s="1">
        <v>1</v>
      </c>
      <c r="U18" s="1">
        <f>T18-341</f>
        <v>-340</v>
      </c>
      <c r="V18" s="1">
        <f>U18+S18</f>
        <v>-33</v>
      </c>
      <c r="X18" s="1">
        <f>V18*120+N18*600+H18*225</f>
        <v>-2985</v>
      </c>
      <c r="Y18" s="1">
        <f>W18*120+O18*600+I18*225</f>
        <v>0</v>
      </c>
      <c r="AC18" s="1">
        <v>-3815</v>
      </c>
    </row>
    <row r="19" spans="1:29" x14ac:dyDescent="0.25">
      <c r="A19" s="2">
        <v>42853</v>
      </c>
      <c r="B19" s="1">
        <v>7847</v>
      </c>
      <c r="C19" s="1">
        <f>B19-7738</f>
        <v>109</v>
      </c>
      <c r="D19" s="1">
        <v>95</v>
      </c>
      <c r="E19" s="1">
        <f>150-D19</f>
        <v>55</v>
      </c>
      <c r="F19" s="1">
        <v>0</v>
      </c>
      <c r="G19" s="1">
        <f>117-F19</f>
        <v>117</v>
      </c>
      <c r="H19" s="1">
        <f>G19+E19</f>
        <v>172</v>
      </c>
      <c r="J19" s="1">
        <v>55</v>
      </c>
      <c r="K19" s="1">
        <f>J19-121</f>
        <v>-66</v>
      </c>
      <c r="L19" s="1">
        <v>0</v>
      </c>
      <c r="M19" s="1">
        <f>L19-80</f>
        <v>-80</v>
      </c>
      <c r="N19" s="1">
        <f>M19+K19</f>
        <v>-146</v>
      </c>
      <c r="P19" s="1">
        <v>16716</v>
      </c>
      <c r="Q19" s="1">
        <f>P19-16141</f>
        <v>575</v>
      </c>
      <c r="R19" s="1">
        <v>621</v>
      </c>
      <c r="S19" s="1">
        <f>R19-485</f>
        <v>136</v>
      </c>
      <c r="T19" s="1">
        <v>0</v>
      </c>
      <c r="U19" s="1">
        <f>T19-341</f>
        <v>-341</v>
      </c>
      <c r="V19" s="1">
        <f>U19+S19</f>
        <v>-205</v>
      </c>
      <c r="X19" s="3">
        <f>V19*120+N19*225+H19*675</f>
        <v>58650</v>
      </c>
      <c r="Y19" s="3">
        <f>V19*160+N19*225+H19*675</f>
        <v>50450</v>
      </c>
      <c r="AC19" s="1">
        <v>17650</v>
      </c>
    </row>
    <row r="20" spans="1:29" x14ac:dyDescent="0.25">
      <c r="AC20" s="1">
        <v>56265</v>
      </c>
    </row>
    <row r="21" spans="1:29" x14ac:dyDescent="0.25">
      <c r="A21" s="1" t="s">
        <v>0</v>
      </c>
      <c r="B21" s="1" t="s">
        <v>1</v>
      </c>
      <c r="C21" s="1" t="s">
        <v>2</v>
      </c>
      <c r="D21" s="1" t="s">
        <v>37</v>
      </c>
      <c r="E21" s="1" t="s">
        <v>2</v>
      </c>
      <c r="F21" s="1" t="s">
        <v>8</v>
      </c>
      <c r="G21" s="1" t="s">
        <v>2</v>
      </c>
      <c r="H21" s="1" t="s">
        <v>5</v>
      </c>
      <c r="J21" s="1" t="s">
        <v>26</v>
      </c>
      <c r="K21" s="1" t="s">
        <v>2</v>
      </c>
      <c r="L21" s="1" t="s">
        <v>7</v>
      </c>
      <c r="M21" s="1" t="s">
        <v>2</v>
      </c>
      <c r="N21" s="1" t="s">
        <v>5</v>
      </c>
      <c r="R21" s="1" t="s">
        <v>56</v>
      </c>
      <c r="S21" s="1" t="s">
        <v>2</v>
      </c>
      <c r="T21" s="1" t="s">
        <v>57</v>
      </c>
      <c r="U21" s="1" t="s">
        <v>2</v>
      </c>
      <c r="V21" s="1" t="s">
        <v>5</v>
      </c>
      <c r="X21" s="1" t="s">
        <v>9</v>
      </c>
      <c r="Y21" s="1" t="s">
        <v>9</v>
      </c>
      <c r="AC21" s="1">
        <v>-2440</v>
      </c>
    </row>
    <row r="22" spans="1:29" x14ac:dyDescent="0.25">
      <c r="A22" s="2">
        <v>42853</v>
      </c>
      <c r="B22" s="1">
        <v>7847</v>
      </c>
      <c r="C22" s="1">
        <f>B22-7847</f>
        <v>0</v>
      </c>
      <c r="D22" s="1">
        <v>158</v>
      </c>
      <c r="E22" s="1">
        <f>158-D22</f>
        <v>0</v>
      </c>
      <c r="F22" s="1">
        <v>115</v>
      </c>
      <c r="G22" s="1">
        <f>115-F22</f>
        <v>0</v>
      </c>
      <c r="H22" s="1">
        <f>G22+E22</f>
        <v>0</v>
      </c>
      <c r="J22" s="1">
        <v>129</v>
      </c>
      <c r="K22" s="1">
        <f>J22-129</f>
        <v>0</v>
      </c>
      <c r="L22" s="1">
        <v>94</v>
      </c>
      <c r="M22" s="1">
        <f>L22-94</f>
        <v>0</v>
      </c>
      <c r="N22" s="1">
        <f>M22+K22</f>
        <v>0</v>
      </c>
      <c r="P22" s="1">
        <v>16716</v>
      </c>
      <c r="Q22" s="1">
        <f>P22-16716</f>
        <v>0</v>
      </c>
      <c r="R22" s="1">
        <v>447</v>
      </c>
      <c r="S22" s="1">
        <f>R22-447</f>
        <v>0</v>
      </c>
      <c r="T22" s="1">
        <v>355</v>
      </c>
      <c r="U22" s="1">
        <f>T22-355</f>
        <v>0</v>
      </c>
      <c r="V22" s="1">
        <f>U22+S22</f>
        <v>0</v>
      </c>
      <c r="X22" s="1">
        <f>V22*120+N22*600+H22*225</f>
        <v>0</v>
      </c>
      <c r="Y22" s="1">
        <f>W22*120+O22*600+I22*225</f>
        <v>0</v>
      </c>
    </row>
    <row r="23" spans="1:29" x14ac:dyDescent="0.25">
      <c r="A23" s="2">
        <v>42881</v>
      </c>
      <c r="B23" s="1">
        <v>8070</v>
      </c>
      <c r="C23" s="1">
        <f>B23-7847</f>
        <v>223</v>
      </c>
      <c r="D23" s="1">
        <v>215</v>
      </c>
      <c r="E23" s="1">
        <f>158-D23</f>
        <v>-57</v>
      </c>
      <c r="F23" s="1">
        <v>0</v>
      </c>
      <c r="G23" s="1">
        <f>115-F23</f>
        <v>115</v>
      </c>
      <c r="H23" s="1">
        <f>G23+E23</f>
        <v>58</v>
      </c>
      <c r="J23" s="1">
        <v>157</v>
      </c>
      <c r="K23" s="1">
        <f>J23-129</f>
        <v>28</v>
      </c>
      <c r="L23" s="1">
        <v>0</v>
      </c>
      <c r="M23" s="1">
        <f>L23-94</f>
        <v>-94</v>
      </c>
      <c r="N23" s="1">
        <f>M23+K23</f>
        <v>-66</v>
      </c>
      <c r="P23" s="1">
        <v>17359</v>
      </c>
      <c r="Q23" s="1">
        <f>P23-16716</f>
        <v>643</v>
      </c>
      <c r="R23" s="1">
        <v>627</v>
      </c>
      <c r="S23" s="1">
        <f>R23-447</f>
        <v>180</v>
      </c>
      <c r="T23" s="1">
        <v>0</v>
      </c>
      <c r="U23" s="1">
        <f>T23-355</f>
        <v>-355</v>
      </c>
      <c r="V23" s="1">
        <f>U23+S23</f>
        <v>-175</v>
      </c>
      <c r="X23" s="3">
        <f>V23*120+N23*225+H23*675</f>
        <v>3300</v>
      </c>
      <c r="Y23" s="3">
        <f>V23*160+N23*225+H23*675</f>
        <v>-3700</v>
      </c>
    </row>
    <row r="25" spans="1:29" x14ac:dyDescent="0.25">
      <c r="A25" s="1" t="s">
        <v>0</v>
      </c>
      <c r="B25" s="1" t="s">
        <v>1</v>
      </c>
      <c r="C25" s="1" t="s">
        <v>2</v>
      </c>
      <c r="D25" s="1" t="s">
        <v>39</v>
      </c>
      <c r="E25" s="1" t="s">
        <v>2</v>
      </c>
      <c r="F25" s="1" t="s">
        <v>58</v>
      </c>
      <c r="G25" s="1" t="s">
        <v>2</v>
      </c>
      <c r="H25" s="1" t="s">
        <v>5</v>
      </c>
      <c r="J25" s="1" t="s">
        <v>59</v>
      </c>
      <c r="K25" s="1" t="s">
        <v>2</v>
      </c>
      <c r="L25" s="1" t="s">
        <v>4</v>
      </c>
      <c r="M25" s="1" t="s">
        <v>2</v>
      </c>
      <c r="N25" s="1" t="s">
        <v>5</v>
      </c>
      <c r="R25" s="1" t="s">
        <v>60</v>
      </c>
      <c r="S25" s="1" t="s">
        <v>2</v>
      </c>
      <c r="T25" s="1" t="s">
        <v>61</v>
      </c>
      <c r="U25" s="1" t="s">
        <v>2</v>
      </c>
      <c r="V25" s="1" t="s">
        <v>5</v>
      </c>
      <c r="X25" s="1" t="s">
        <v>9</v>
      </c>
      <c r="Y25" s="1" t="s">
        <v>9</v>
      </c>
    </row>
    <row r="26" spans="1:29" x14ac:dyDescent="0.25">
      <c r="A26" s="2">
        <v>42881</v>
      </c>
      <c r="B26" s="1">
        <v>8070</v>
      </c>
      <c r="C26" s="1">
        <f>B26-8070</f>
        <v>0</v>
      </c>
      <c r="D26" s="1">
        <v>148</v>
      </c>
      <c r="E26" s="1">
        <f>148-D26</f>
        <v>0</v>
      </c>
      <c r="F26" s="1">
        <v>131</v>
      </c>
      <c r="G26" s="1">
        <f>131-F26</f>
        <v>0</v>
      </c>
      <c r="H26" s="1">
        <f>G26+E26</f>
        <v>0</v>
      </c>
      <c r="J26" s="1">
        <v>98</v>
      </c>
      <c r="K26" s="1">
        <f>J26-98</f>
        <v>0</v>
      </c>
      <c r="L26" s="1">
        <v>110</v>
      </c>
      <c r="M26" s="1">
        <f>L26-110</f>
        <v>0</v>
      </c>
      <c r="N26" s="1">
        <f>M26+K26</f>
        <v>0</v>
      </c>
      <c r="P26" s="1">
        <v>17359</v>
      </c>
      <c r="Q26" s="1">
        <f>P26-17359</f>
        <v>0</v>
      </c>
      <c r="R26" s="1">
        <v>346</v>
      </c>
      <c r="S26" s="1">
        <f>R26-346</f>
        <v>0</v>
      </c>
      <c r="T26" s="1">
        <v>472</v>
      </c>
      <c r="U26" s="1">
        <f>T26-472</f>
        <v>0</v>
      </c>
      <c r="V26" s="1">
        <f>U26+S26</f>
        <v>0</v>
      </c>
      <c r="X26" s="1">
        <f>V26*120+N26*600+H26*225</f>
        <v>0</v>
      </c>
      <c r="Y26" s="1">
        <f>W26*120+O26*600+I26*225</f>
        <v>0</v>
      </c>
    </row>
    <row r="27" spans="1:29" x14ac:dyDescent="0.25">
      <c r="A27" s="2">
        <v>42916</v>
      </c>
      <c r="B27" s="1">
        <v>8287</v>
      </c>
      <c r="C27" s="1">
        <f>B27-8070</f>
        <v>217</v>
      </c>
      <c r="D27" s="1">
        <v>230</v>
      </c>
      <c r="E27" s="1">
        <f>148-D27</f>
        <v>-82</v>
      </c>
      <c r="F27" s="1">
        <v>0</v>
      </c>
      <c r="G27" s="1">
        <f>131-F27</f>
        <v>131</v>
      </c>
      <c r="H27" s="1">
        <f>G27+E27</f>
        <v>49</v>
      </c>
      <c r="J27" s="1">
        <v>137</v>
      </c>
      <c r="K27" s="1">
        <f>J27-98</f>
        <v>39</v>
      </c>
      <c r="L27" s="1">
        <v>0</v>
      </c>
      <c r="M27" s="1">
        <f>L27-110</f>
        <v>-110</v>
      </c>
      <c r="N27" s="1">
        <f>M27+K27</f>
        <v>-71</v>
      </c>
      <c r="P27" s="1">
        <v>17935</v>
      </c>
      <c r="Q27" s="1">
        <f>P27-17359</f>
        <v>576</v>
      </c>
      <c r="R27" s="1">
        <v>509</v>
      </c>
      <c r="S27" s="1">
        <f>R27-346</f>
        <v>163</v>
      </c>
      <c r="T27" s="1">
        <v>0</v>
      </c>
      <c r="U27" s="1">
        <f>T27-472</f>
        <v>-472</v>
      </c>
      <c r="V27" s="1">
        <f>U27+S27</f>
        <v>-309</v>
      </c>
      <c r="X27" s="3">
        <f>V27*120+N27*225+H27*675</f>
        <v>-19980</v>
      </c>
      <c r="Y27" s="3">
        <f>V27*160+N27*225+H27*675</f>
        <v>-32340</v>
      </c>
    </row>
    <row r="29" spans="1:29" x14ac:dyDescent="0.25">
      <c r="A29" s="1" t="s">
        <v>0</v>
      </c>
      <c r="B29" s="1" t="s">
        <v>1</v>
      </c>
      <c r="C29" s="1" t="s">
        <v>2</v>
      </c>
      <c r="D29" s="1" t="s">
        <v>66</v>
      </c>
      <c r="E29" s="1" t="s">
        <v>2</v>
      </c>
      <c r="F29" s="1" t="s">
        <v>67</v>
      </c>
      <c r="G29" s="1" t="s">
        <v>2</v>
      </c>
      <c r="H29" s="1" t="s">
        <v>5</v>
      </c>
      <c r="J29" s="1" t="s">
        <v>68</v>
      </c>
      <c r="K29" s="1" t="s">
        <v>2</v>
      </c>
      <c r="L29" s="1" t="s">
        <v>71</v>
      </c>
      <c r="M29" s="1" t="s">
        <v>2</v>
      </c>
      <c r="N29" s="1" t="s">
        <v>5</v>
      </c>
      <c r="R29" s="1" t="s">
        <v>78</v>
      </c>
      <c r="S29" s="1" t="s">
        <v>2</v>
      </c>
      <c r="T29" s="1" t="s">
        <v>79</v>
      </c>
      <c r="U29" s="1" t="s">
        <v>2</v>
      </c>
      <c r="V29" s="1" t="s">
        <v>5</v>
      </c>
      <c r="X29" s="1" t="s">
        <v>9</v>
      </c>
      <c r="Y29" s="1" t="s">
        <v>9</v>
      </c>
    </row>
    <row r="30" spans="1:29" x14ac:dyDescent="0.25">
      <c r="A30" s="2">
        <v>42916</v>
      </c>
      <c r="B30" s="1">
        <v>8287</v>
      </c>
      <c r="C30" s="1">
        <f>B30-8287</f>
        <v>0</v>
      </c>
      <c r="D30" s="1">
        <v>146</v>
      </c>
      <c r="E30" s="1">
        <f>146-D30</f>
        <v>0</v>
      </c>
      <c r="F30" s="1">
        <v>127</v>
      </c>
      <c r="G30" s="1">
        <f>127-F30</f>
        <v>0</v>
      </c>
      <c r="H30" s="1">
        <f>G30+E30</f>
        <v>0</v>
      </c>
      <c r="J30" s="1">
        <v>121</v>
      </c>
      <c r="K30" s="1">
        <f>J30-121</f>
        <v>0</v>
      </c>
      <c r="L30" s="1">
        <v>90</v>
      </c>
      <c r="M30" s="1">
        <f>L30-90</f>
        <v>0</v>
      </c>
      <c r="N30" s="1">
        <f>M30+K30</f>
        <v>0</v>
      </c>
      <c r="P30" s="1">
        <v>17935</v>
      </c>
      <c r="Q30" s="1">
        <f>P30-17935</f>
        <v>0</v>
      </c>
      <c r="R30" s="1">
        <v>417</v>
      </c>
      <c r="S30" s="1">
        <f>R30-417</f>
        <v>0</v>
      </c>
      <c r="T30" s="1">
        <v>320</v>
      </c>
      <c r="U30" s="1">
        <f>T30-320</f>
        <v>0</v>
      </c>
      <c r="V30" s="1">
        <f>U30+S30</f>
        <v>0</v>
      </c>
      <c r="X30" s="1">
        <f>V30*120+N30*600+H30*225</f>
        <v>0</v>
      </c>
      <c r="Y30" s="1">
        <f>W30*120+O30*600+I30*225</f>
        <v>0</v>
      </c>
    </row>
    <row r="31" spans="1:29" x14ac:dyDescent="0.25">
      <c r="A31" s="2">
        <v>42944</v>
      </c>
      <c r="B31" s="1">
        <v>8666</v>
      </c>
      <c r="C31" s="1">
        <f>B31-8287</f>
        <v>379</v>
      </c>
      <c r="D31" s="1">
        <v>353</v>
      </c>
      <c r="E31" s="1">
        <f>146-D31</f>
        <v>-207</v>
      </c>
      <c r="F31" s="1">
        <v>0</v>
      </c>
      <c r="G31" s="1">
        <f>127-F31</f>
        <v>127</v>
      </c>
      <c r="H31" s="1">
        <f>G31+E31</f>
        <v>-80</v>
      </c>
      <c r="J31" s="1">
        <v>303</v>
      </c>
      <c r="K31" s="1">
        <f>J31-121</f>
        <v>182</v>
      </c>
      <c r="L31" s="1">
        <v>0</v>
      </c>
      <c r="M31" s="1">
        <f>L31-90</f>
        <v>-90</v>
      </c>
      <c r="N31" s="1">
        <f>M31+K31</f>
        <v>92</v>
      </c>
      <c r="P31" s="1">
        <v>19076</v>
      </c>
      <c r="Q31" s="1">
        <f>P31-17935</f>
        <v>1141</v>
      </c>
      <c r="R31" s="1">
        <v>1175</v>
      </c>
      <c r="S31" s="1">
        <f>R31-417</f>
        <v>758</v>
      </c>
      <c r="T31" s="1">
        <v>0</v>
      </c>
      <c r="U31" s="1">
        <f>T31-320</f>
        <v>-320</v>
      </c>
      <c r="V31" s="1">
        <f>U31+S31</f>
        <v>438</v>
      </c>
      <c r="X31" s="3">
        <f>V31*120+N31*225+H31*675</f>
        <v>19260</v>
      </c>
      <c r="Y31" s="3">
        <f>V31*160+N31*225+H31*675</f>
        <v>36780</v>
      </c>
    </row>
    <row r="33" spans="1:25" x14ac:dyDescent="0.25">
      <c r="A33" s="1" t="s">
        <v>0</v>
      </c>
      <c r="B33" s="1" t="s">
        <v>1</v>
      </c>
      <c r="C33" s="1" t="s">
        <v>2</v>
      </c>
      <c r="D33" s="1" t="s">
        <v>80</v>
      </c>
      <c r="E33" s="1" t="s">
        <v>2</v>
      </c>
      <c r="F33" s="1" t="s">
        <v>81</v>
      </c>
      <c r="G33" s="1" t="s">
        <v>2</v>
      </c>
      <c r="H33" s="1" t="s">
        <v>5</v>
      </c>
      <c r="J33" s="1" t="s">
        <v>82</v>
      </c>
      <c r="K33" s="1" t="s">
        <v>2</v>
      </c>
      <c r="L33" s="1" t="s">
        <v>83</v>
      </c>
      <c r="M33" s="1" t="s">
        <v>2</v>
      </c>
      <c r="N33" s="1" t="s">
        <v>5</v>
      </c>
      <c r="R33" s="1" t="s">
        <v>29</v>
      </c>
      <c r="S33" s="1" t="s">
        <v>2</v>
      </c>
      <c r="T33" s="1" t="s">
        <v>84</v>
      </c>
      <c r="U33" s="1" t="s">
        <v>2</v>
      </c>
      <c r="V33" s="1" t="s">
        <v>5</v>
      </c>
      <c r="X33" s="1" t="s">
        <v>9</v>
      </c>
      <c r="Y33" s="1" t="s">
        <v>9</v>
      </c>
    </row>
    <row r="34" spans="1:25" x14ac:dyDescent="0.25">
      <c r="A34" s="2">
        <v>42944</v>
      </c>
      <c r="B34" s="1">
        <v>8666</v>
      </c>
      <c r="C34" s="1">
        <f>B34-8666</f>
        <v>0</v>
      </c>
      <c r="D34" s="1">
        <v>161</v>
      </c>
      <c r="E34" s="1">
        <f>161-D34</f>
        <v>0</v>
      </c>
      <c r="F34" s="1">
        <v>113</v>
      </c>
      <c r="G34" s="1">
        <f>113-F34</f>
        <v>0</v>
      </c>
      <c r="H34" s="1">
        <f>G34+E34</f>
        <v>0</v>
      </c>
      <c r="J34" s="1">
        <v>110</v>
      </c>
      <c r="K34" s="1">
        <f>J34-110</f>
        <v>0</v>
      </c>
      <c r="L34" s="1">
        <v>94</v>
      </c>
      <c r="M34" s="1">
        <f>L34-94</f>
        <v>0</v>
      </c>
      <c r="N34" s="1">
        <f>M34+K34</f>
        <v>0</v>
      </c>
      <c r="P34" s="1">
        <v>19076</v>
      </c>
      <c r="Q34" s="1">
        <f>P34-19076</f>
        <v>0</v>
      </c>
      <c r="R34" s="1">
        <v>417</v>
      </c>
      <c r="S34" s="1">
        <f>R34-417</f>
        <v>0</v>
      </c>
      <c r="T34" s="1">
        <v>366</v>
      </c>
      <c r="U34" s="1">
        <f>T34-366</f>
        <v>0</v>
      </c>
      <c r="V34" s="1">
        <f>U34+S34</f>
        <v>0</v>
      </c>
      <c r="X34" s="1">
        <f>V34*120+N34*600+H34*225</f>
        <v>0</v>
      </c>
      <c r="Y34" s="1">
        <f>W34*120+O34*600+I34*225</f>
        <v>0</v>
      </c>
    </row>
    <row r="35" spans="1:25" x14ac:dyDescent="0.25">
      <c r="A35" s="2">
        <v>42972</v>
      </c>
      <c r="B35" s="1">
        <v>8592</v>
      </c>
      <c r="C35" s="1">
        <f>B35-8666</f>
        <v>-74</v>
      </c>
      <c r="D35" s="1">
        <v>0</v>
      </c>
      <c r="E35" s="1">
        <f>161-D35</f>
        <v>161</v>
      </c>
      <c r="F35" s="1">
        <v>49</v>
      </c>
      <c r="G35" s="1">
        <f>113-F35</f>
        <v>64</v>
      </c>
      <c r="H35" s="1">
        <f>G35+E35</f>
        <v>225</v>
      </c>
      <c r="J35" s="1">
        <v>0</v>
      </c>
      <c r="K35" s="1">
        <f>J35-110</f>
        <v>-110</v>
      </c>
      <c r="L35" s="1">
        <v>10</v>
      </c>
      <c r="M35" s="1">
        <f>L35-94</f>
        <v>-84</v>
      </c>
      <c r="N35" s="1">
        <f>M35+K35</f>
        <v>-194</v>
      </c>
      <c r="P35" s="1">
        <v>19304</v>
      </c>
      <c r="Q35" s="1">
        <f>P35-19076</f>
        <v>228</v>
      </c>
      <c r="R35" s="1">
        <v>193</v>
      </c>
      <c r="S35" s="1">
        <f>R35-417</f>
        <v>-224</v>
      </c>
      <c r="T35" s="1">
        <v>0</v>
      </c>
      <c r="U35" s="1">
        <f>T35-366</f>
        <v>-366</v>
      </c>
      <c r="V35" s="1">
        <f>U35+S35</f>
        <v>-590</v>
      </c>
      <c r="X35" s="3">
        <f>V35*120+N35*225+H35*675</f>
        <v>37425</v>
      </c>
      <c r="Y35" s="3">
        <f>V35*160+N35*225+H35*675</f>
        <v>13825</v>
      </c>
    </row>
    <row r="37" spans="1:25" x14ac:dyDescent="0.25">
      <c r="A37" s="1" t="s">
        <v>0</v>
      </c>
      <c r="B37" s="1" t="s">
        <v>1</v>
      </c>
      <c r="C37" s="1" t="s">
        <v>2</v>
      </c>
      <c r="D37" s="1" t="s">
        <v>85</v>
      </c>
      <c r="E37" s="1" t="s">
        <v>2</v>
      </c>
      <c r="F37" s="1" t="s">
        <v>83</v>
      </c>
      <c r="G37" s="1" t="s">
        <v>2</v>
      </c>
      <c r="H37" s="1" t="s">
        <v>5</v>
      </c>
      <c r="J37" s="1">
        <v>865</v>
      </c>
      <c r="K37" s="1" t="s">
        <v>2</v>
      </c>
      <c r="L37" s="1" t="s">
        <v>86</v>
      </c>
      <c r="M37" s="1" t="s">
        <v>2</v>
      </c>
      <c r="N37" s="1" t="s">
        <v>5</v>
      </c>
      <c r="R37" s="1" t="s">
        <v>92</v>
      </c>
      <c r="S37" s="1" t="s">
        <v>2</v>
      </c>
      <c r="T37" s="1" t="s">
        <v>93</v>
      </c>
      <c r="U37" s="1" t="s">
        <v>2</v>
      </c>
      <c r="V37" s="1" t="s">
        <v>5</v>
      </c>
      <c r="X37" s="1" t="s">
        <v>9</v>
      </c>
      <c r="Y37" s="1" t="s">
        <v>9</v>
      </c>
    </row>
    <row r="38" spans="1:25" x14ac:dyDescent="0.25">
      <c r="A38" s="2">
        <v>42972</v>
      </c>
      <c r="B38" s="1">
        <v>8592</v>
      </c>
      <c r="C38" s="1">
        <f>B38-8592</f>
        <v>0</v>
      </c>
      <c r="D38" s="1">
        <v>153</v>
      </c>
      <c r="E38" s="1">
        <f>153-D38</f>
        <v>0</v>
      </c>
      <c r="F38" s="1">
        <v>109</v>
      </c>
      <c r="G38" s="1">
        <f>109-F38</f>
        <v>0</v>
      </c>
      <c r="H38" s="1">
        <f>G38+E38</f>
        <v>0</v>
      </c>
      <c r="J38" s="1">
        <v>125</v>
      </c>
      <c r="K38" s="1">
        <f>J38-125</f>
        <v>0</v>
      </c>
      <c r="L38" s="1">
        <v>74</v>
      </c>
      <c r="M38" s="1">
        <f>L38-74</f>
        <v>0</v>
      </c>
      <c r="N38" s="1">
        <f>M38+K38</f>
        <v>0</v>
      </c>
      <c r="P38" s="1">
        <v>19304</v>
      </c>
      <c r="Q38" s="1">
        <f>P38-19304</f>
        <v>0</v>
      </c>
      <c r="R38" s="1">
        <v>403</v>
      </c>
      <c r="S38" s="1">
        <f>R38-403</f>
        <v>0</v>
      </c>
      <c r="T38" s="1">
        <v>300</v>
      </c>
      <c r="U38" s="1">
        <f>T38-300</f>
        <v>0</v>
      </c>
      <c r="V38" s="1">
        <f>U38+S38</f>
        <v>0</v>
      </c>
      <c r="X38" s="1">
        <f>V38*120+N38*600+H38*225</f>
        <v>0</v>
      </c>
      <c r="Y38" s="1">
        <f>W38*120+O38*600+I38*225</f>
        <v>0</v>
      </c>
    </row>
    <row r="39" spans="1:25" x14ac:dyDescent="0.25">
      <c r="A39" s="2">
        <v>43007</v>
      </c>
      <c r="B39" s="1">
        <v>8591</v>
      </c>
      <c r="C39" s="1">
        <f>B39-8592</f>
        <v>-1</v>
      </c>
      <c r="D39" s="1">
        <v>0</v>
      </c>
      <c r="E39" s="1">
        <f>153-D39</f>
        <v>153</v>
      </c>
      <c r="F39" s="1">
        <v>10</v>
      </c>
      <c r="G39" s="1">
        <f>109-F39</f>
        <v>99</v>
      </c>
      <c r="H39" s="1">
        <f>G39+E39</f>
        <v>252</v>
      </c>
      <c r="J39" s="1">
        <v>0</v>
      </c>
      <c r="K39" s="1">
        <f>J39-125</f>
        <v>-125</v>
      </c>
      <c r="L39" s="1">
        <v>0</v>
      </c>
      <c r="M39" s="1">
        <f>L39-74</f>
        <v>-74</v>
      </c>
      <c r="N39" s="1">
        <f>M39+K39</f>
        <v>-199</v>
      </c>
      <c r="P39" s="1">
        <v>19184</v>
      </c>
      <c r="Q39" s="1">
        <f>P39-19304</f>
        <v>-120</v>
      </c>
      <c r="R39" s="1">
        <v>0</v>
      </c>
      <c r="S39" s="1">
        <f>R39-403</f>
        <v>-403</v>
      </c>
      <c r="T39" s="1">
        <v>134</v>
      </c>
      <c r="U39" s="1">
        <f>T39-300</f>
        <v>-166</v>
      </c>
      <c r="V39" s="1">
        <f>U39+S39</f>
        <v>-569</v>
      </c>
      <c r="X39" s="3">
        <f>V39*120+N39*225+H39*675</f>
        <v>57045</v>
      </c>
      <c r="Y39" s="3">
        <f>V39*160+N39*225+H39*675</f>
        <v>34285</v>
      </c>
    </row>
    <row r="41" spans="1:25" x14ac:dyDescent="0.25">
      <c r="A41" s="1" t="s">
        <v>0</v>
      </c>
      <c r="B41" s="1" t="s">
        <v>1</v>
      </c>
      <c r="C41" s="1" t="s">
        <v>2</v>
      </c>
      <c r="D41" s="1" t="s">
        <v>85</v>
      </c>
      <c r="E41" s="1" t="s">
        <v>2</v>
      </c>
      <c r="F41" s="1" t="s">
        <v>83</v>
      </c>
      <c r="G41" s="1" t="s">
        <v>2</v>
      </c>
      <c r="H41" s="1" t="s">
        <v>5</v>
      </c>
      <c r="J41" s="1">
        <v>865</v>
      </c>
      <c r="K41" s="1" t="s">
        <v>2</v>
      </c>
      <c r="L41" s="1" t="s">
        <v>86</v>
      </c>
      <c r="M41" s="1" t="s">
        <v>2</v>
      </c>
      <c r="N41" s="1" t="s">
        <v>5</v>
      </c>
      <c r="R41" s="1" t="s">
        <v>94</v>
      </c>
      <c r="S41" s="1" t="s">
        <v>2</v>
      </c>
      <c r="T41" s="1" t="s">
        <v>95</v>
      </c>
      <c r="U41" s="1" t="s">
        <v>2</v>
      </c>
      <c r="V41" s="1" t="s">
        <v>5</v>
      </c>
      <c r="X41" s="1" t="s">
        <v>9</v>
      </c>
      <c r="Y41" s="1" t="s">
        <v>9</v>
      </c>
    </row>
    <row r="42" spans="1:25" x14ac:dyDescent="0.25">
      <c r="A42" s="2">
        <v>43007</v>
      </c>
      <c r="B42" s="1">
        <v>8591</v>
      </c>
      <c r="C42" s="1">
        <f>B42-8591</f>
        <v>0</v>
      </c>
      <c r="D42" s="1">
        <v>182</v>
      </c>
      <c r="E42" s="1">
        <f>182-D42</f>
        <v>0</v>
      </c>
      <c r="F42" s="1">
        <v>147</v>
      </c>
      <c r="G42" s="1">
        <f>147-F42</f>
        <v>0</v>
      </c>
      <c r="H42" s="1">
        <f>G42+E42</f>
        <v>0</v>
      </c>
      <c r="J42" s="1">
        <v>152</v>
      </c>
      <c r="K42" s="1">
        <f>J42-152</f>
        <v>0</v>
      </c>
      <c r="L42" s="1">
        <v>114</v>
      </c>
      <c r="M42" s="1">
        <f>L42-114</f>
        <v>0</v>
      </c>
      <c r="N42" s="1">
        <f>M42+K42</f>
        <v>0</v>
      </c>
      <c r="P42" s="1">
        <v>19184</v>
      </c>
      <c r="Q42" s="1">
        <f>P42-19184</f>
        <v>0</v>
      </c>
      <c r="R42" s="1">
        <v>507</v>
      </c>
      <c r="S42" s="1">
        <f>R42-507</f>
        <v>0</v>
      </c>
      <c r="T42" s="1">
        <v>373</v>
      </c>
      <c r="U42" s="1">
        <f>T42-373</f>
        <v>0</v>
      </c>
      <c r="V42" s="1">
        <f>U42+S42</f>
        <v>0</v>
      </c>
      <c r="X42" s="1">
        <f>V42*120+N42*600+H42*225</f>
        <v>0</v>
      </c>
      <c r="Y42" s="1">
        <f>W42*120+O42*600+I42*225</f>
        <v>0</v>
      </c>
    </row>
    <row r="43" spans="1:25" x14ac:dyDescent="0.25">
      <c r="A43" s="2">
        <v>43035</v>
      </c>
      <c r="B43" s="1">
        <v>8615</v>
      </c>
      <c r="C43" s="1">
        <f>B43-8591</f>
        <v>24</v>
      </c>
      <c r="D43" s="1">
        <v>11</v>
      </c>
      <c r="E43" s="1">
        <f>182-D43</f>
        <v>171</v>
      </c>
      <c r="F43" s="1">
        <v>1</v>
      </c>
      <c r="G43" s="1">
        <f>147-F43</f>
        <v>146</v>
      </c>
      <c r="H43" s="1">
        <f>G43+E43</f>
        <v>317</v>
      </c>
      <c r="J43" s="1">
        <v>0</v>
      </c>
      <c r="K43" s="1">
        <f>J43-152</f>
        <v>-152</v>
      </c>
      <c r="L43" s="1">
        <v>0</v>
      </c>
      <c r="M43" s="1">
        <f>L43-114</f>
        <v>-114</v>
      </c>
      <c r="N43" s="1">
        <f>M43+K43</f>
        <v>-266</v>
      </c>
      <c r="P43" s="1">
        <v>19514</v>
      </c>
      <c r="Q43" s="1">
        <f>P43-19184</f>
        <v>330</v>
      </c>
      <c r="R43" s="1">
        <v>286</v>
      </c>
      <c r="S43" s="1">
        <f>R43-507</f>
        <v>-221</v>
      </c>
      <c r="T43" s="1">
        <v>0</v>
      </c>
      <c r="U43" s="1">
        <f>T43-373</f>
        <v>-373</v>
      </c>
      <c r="V43" s="1">
        <f>U43+S43</f>
        <v>-594</v>
      </c>
      <c r="X43" s="3">
        <f>V43*120+N43*225+H43*675</f>
        <v>82845</v>
      </c>
      <c r="Y43" s="3">
        <f>V43*160+N43*225+H43*675</f>
        <v>59085</v>
      </c>
    </row>
    <row r="45" spans="1:25" x14ac:dyDescent="0.25">
      <c r="A45" s="1" t="s">
        <v>0</v>
      </c>
      <c r="B45" s="1" t="s">
        <v>1</v>
      </c>
      <c r="C45" s="1" t="s">
        <v>2</v>
      </c>
      <c r="D45" s="1" t="s">
        <v>85</v>
      </c>
      <c r="E45" s="1" t="s">
        <v>2</v>
      </c>
      <c r="F45" s="1" t="s">
        <v>83</v>
      </c>
      <c r="G45" s="1" t="s">
        <v>2</v>
      </c>
      <c r="H45" s="1" t="s">
        <v>5</v>
      </c>
      <c r="J45" s="1" t="s">
        <v>73</v>
      </c>
      <c r="K45" s="1" t="s">
        <v>2</v>
      </c>
      <c r="L45" s="1" t="s">
        <v>86</v>
      </c>
      <c r="M45" s="1" t="s">
        <v>2</v>
      </c>
      <c r="N45" s="1" t="s">
        <v>5</v>
      </c>
      <c r="R45" s="1" t="s">
        <v>99</v>
      </c>
      <c r="S45" s="1" t="s">
        <v>2</v>
      </c>
      <c r="T45" s="1" t="s">
        <v>100</v>
      </c>
      <c r="U45" s="1" t="s">
        <v>2</v>
      </c>
      <c r="V45" s="1" t="s">
        <v>5</v>
      </c>
      <c r="X45" s="1" t="s">
        <v>9</v>
      </c>
      <c r="Y45" s="1" t="s">
        <v>9</v>
      </c>
    </row>
    <row r="46" spans="1:25" x14ac:dyDescent="0.25">
      <c r="A46" s="2">
        <v>43035</v>
      </c>
      <c r="B46" s="1">
        <v>8615</v>
      </c>
      <c r="C46" s="1">
        <f>B46-8615</f>
        <v>0</v>
      </c>
      <c r="D46" s="1">
        <v>154</v>
      </c>
      <c r="E46" s="1">
        <f>154-D46</f>
        <v>0</v>
      </c>
      <c r="F46" s="1">
        <v>101</v>
      </c>
      <c r="G46" s="1">
        <f>101-F46</f>
        <v>0</v>
      </c>
      <c r="H46" s="1">
        <f>G46+E46</f>
        <v>0</v>
      </c>
      <c r="J46" s="1">
        <v>101</v>
      </c>
      <c r="K46" s="1">
        <f>J46-101</f>
        <v>0</v>
      </c>
      <c r="L46" s="1">
        <v>70</v>
      </c>
      <c r="M46" s="1">
        <f>L46-70</f>
        <v>0</v>
      </c>
      <c r="N46" s="1">
        <f>M46+K46</f>
        <v>0</v>
      </c>
      <c r="P46" s="1">
        <v>19514</v>
      </c>
      <c r="Q46" s="1">
        <f>P46-19514</f>
        <v>0</v>
      </c>
      <c r="R46" s="1">
        <v>422</v>
      </c>
      <c r="S46" s="1">
        <f>R46-422</f>
        <v>0</v>
      </c>
      <c r="T46" s="1">
        <v>332</v>
      </c>
      <c r="U46" s="1">
        <f>T46-332</f>
        <v>0</v>
      </c>
      <c r="V46" s="1">
        <f>U46+S46</f>
        <v>0</v>
      </c>
      <c r="X46" s="1">
        <f>V46*120+N46*600+H46*225</f>
        <v>0</v>
      </c>
      <c r="Y46" s="1">
        <f>W46*120+O46*600+I46*225</f>
        <v>0</v>
      </c>
    </row>
    <row r="47" spans="1:25" x14ac:dyDescent="0.25">
      <c r="A47" s="2">
        <v>43063</v>
      </c>
      <c r="B47" s="1">
        <v>7965</v>
      </c>
      <c r="C47" s="1">
        <f>B47-8615</f>
        <v>-650</v>
      </c>
      <c r="D47" s="1">
        <v>0</v>
      </c>
      <c r="E47" s="1">
        <f>154-D47</f>
        <v>154</v>
      </c>
      <c r="F47" s="1">
        <v>632</v>
      </c>
      <c r="G47" s="1">
        <f>101-F47</f>
        <v>-531</v>
      </c>
      <c r="H47" s="1">
        <f>G47+E47</f>
        <v>-377</v>
      </c>
      <c r="J47" s="1">
        <v>0</v>
      </c>
      <c r="K47" s="1">
        <f>J47-101</f>
        <v>-101</v>
      </c>
      <c r="L47" s="1">
        <v>530</v>
      </c>
      <c r="M47" s="1">
        <f>L47-70</f>
        <v>460</v>
      </c>
      <c r="N47" s="1">
        <f>M47+K47</f>
        <v>359</v>
      </c>
      <c r="P47" s="1">
        <v>18256</v>
      </c>
      <c r="Q47" s="1">
        <f>P47-19514</f>
        <v>-1258</v>
      </c>
      <c r="R47" s="1">
        <v>0</v>
      </c>
      <c r="S47" s="1">
        <f>R47-422</f>
        <v>-422</v>
      </c>
      <c r="T47" s="1">
        <v>1238</v>
      </c>
      <c r="U47" s="1">
        <f>T47-332</f>
        <v>906</v>
      </c>
      <c r="V47" s="1">
        <f>U47+S47</f>
        <v>484</v>
      </c>
      <c r="X47" s="3">
        <f>V47*120+N47*225+H47*675</f>
        <v>-115620</v>
      </c>
      <c r="Y47" s="3">
        <f>V47*160+N47*225+H47*675</f>
        <v>-96260</v>
      </c>
    </row>
    <row r="49" spans="1:25" x14ac:dyDescent="0.25">
      <c r="A49" s="1" t="s">
        <v>0</v>
      </c>
      <c r="B49" s="1" t="s">
        <v>1</v>
      </c>
      <c r="C49" s="1" t="s">
        <v>2</v>
      </c>
      <c r="D49" s="1" t="s">
        <v>41</v>
      </c>
      <c r="E49" s="1" t="s">
        <v>2</v>
      </c>
      <c r="F49" s="1" t="s">
        <v>40</v>
      </c>
      <c r="G49" s="1" t="s">
        <v>2</v>
      </c>
      <c r="H49" s="1" t="s">
        <v>5</v>
      </c>
      <c r="J49" s="1" t="s">
        <v>39</v>
      </c>
      <c r="K49" s="1" t="s">
        <v>2</v>
      </c>
      <c r="L49" s="1" t="s">
        <v>8</v>
      </c>
      <c r="M49" s="1" t="s">
        <v>2</v>
      </c>
      <c r="N49" s="1" t="s">
        <v>5</v>
      </c>
      <c r="R49" s="1" t="s">
        <v>110</v>
      </c>
      <c r="S49" s="1" t="s">
        <v>2</v>
      </c>
      <c r="T49" s="1" t="s">
        <v>111</v>
      </c>
      <c r="U49" s="1" t="s">
        <v>2</v>
      </c>
      <c r="V49" s="1" t="s">
        <v>5</v>
      </c>
      <c r="X49" s="1" t="s">
        <v>9</v>
      </c>
      <c r="Y49" s="1" t="s">
        <v>9</v>
      </c>
    </row>
    <row r="50" spans="1:25" x14ac:dyDescent="0.25">
      <c r="A50" s="2">
        <v>43063</v>
      </c>
      <c r="B50" s="1">
        <v>7965</v>
      </c>
      <c r="C50" s="1">
        <f>B50-7965</f>
        <v>0</v>
      </c>
      <c r="D50" s="1">
        <v>186</v>
      </c>
      <c r="E50" s="1">
        <f>186-D50</f>
        <v>0</v>
      </c>
      <c r="F50" s="1">
        <v>129</v>
      </c>
      <c r="G50" s="1">
        <f>129-F50</f>
        <v>0</v>
      </c>
      <c r="H50" s="1">
        <f>G50+E50</f>
        <v>0</v>
      </c>
      <c r="J50" s="1">
        <v>134</v>
      </c>
      <c r="K50" s="1">
        <f>J50-134</f>
        <v>0</v>
      </c>
      <c r="L50" s="1">
        <v>96</v>
      </c>
      <c r="M50" s="1">
        <f>L50-96</f>
        <v>0</v>
      </c>
      <c r="N50" s="1">
        <f>M50+K50</f>
        <v>0</v>
      </c>
      <c r="P50" s="1">
        <v>18256</v>
      </c>
      <c r="Q50" s="1">
        <f>P50-18256</f>
        <v>0</v>
      </c>
      <c r="R50" s="1">
        <v>434</v>
      </c>
      <c r="S50" s="1">
        <f>R50-434</f>
        <v>0</v>
      </c>
      <c r="T50" s="1">
        <v>383</v>
      </c>
      <c r="U50" s="1">
        <f>T50-383</f>
        <v>0</v>
      </c>
      <c r="V50" s="1">
        <f>U50+S50</f>
        <v>0</v>
      </c>
      <c r="X50" s="1">
        <f>V50*120+N50*600+H50*225</f>
        <v>0</v>
      </c>
      <c r="Y50" s="1">
        <f>W50*120+O50*600+I50*225</f>
        <v>0</v>
      </c>
    </row>
    <row r="51" spans="1:25" x14ac:dyDescent="0.25">
      <c r="A51" s="2">
        <v>43098</v>
      </c>
      <c r="B51" s="1">
        <v>8103</v>
      </c>
      <c r="C51" s="1">
        <f>B51-7965</f>
        <v>138</v>
      </c>
      <c r="D51" s="1">
        <v>152</v>
      </c>
      <c r="E51" s="1">
        <f>186-D51</f>
        <v>34</v>
      </c>
      <c r="F51" s="1">
        <v>0</v>
      </c>
      <c r="G51" s="1">
        <f>129-F51</f>
        <v>129</v>
      </c>
      <c r="H51" s="1">
        <f>G51+E51</f>
        <v>163</v>
      </c>
      <c r="J51" s="1">
        <v>51</v>
      </c>
      <c r="K51" s="1">
        <f>J51-134</f>
        <v>-83</v>
      </c>
      <c r="L51" s="1">
        <v>0</v>
      </c>
      <c r="M51" s="1">
        <f>L51-96</f>
        <v>-96</v>
      </c>
      <c r="N51" s="1">
        <f>M51+K51</f>
        <v>-179</v>
      </c>
      <c r="P51" s="1">
        <v>18033</v>
      </c>
      <c r="Q51" s="1">
        <f>P51-18256</f>
        <v>-223</v>
      </c>
      <c r="R51" s="1">
        <v>0</v>
      </c>
      <c r="S51" s="1">
        <f>R51-434</f>
        <v>-434</v>
      </c>
      <c r="T51" s="1">
        <v>260</v>
      </c>
      <c r="U51" s="1">
        <f>T51-383</f>
        <v>-123</v>
      </c>
      <c r="V51" s="1">
        <f>U51+S51</f>
        <v>-557</v>
      </c>
      <c r="X51" s="3">
        <f>V51*120+N51*225+H51*675</f>
        <v>2910</v>
      </c>
      <c r="Y51" s="3">
        <f>V51*160+N51*225+H51*675</f>
        <v>-19370</v>
      </c>
    </row>
    <row r="53" spans="1:25" x14ac:dyDescent="0.25">
      <c r="A53" s="1" t="s">
        <v>0</v>
      </c>
      <c r="B53" s="1" t="s">
        <v>1</v>
      </c>
      <c r="C53" s="1" t="s">
        <v>2</v>
      </c>
      <c r="D53" s="1" t="s">
        <v>6</v>
      </c>
      <c r="E53" s="1" t="s">
        <v>2</v>
      </c>
      <c r="F53" s="1" t="s">
        <v>64</v>
      </c>
      <c r="G53" s="1" t="s">
        <v>2</v>
      </c>
      <c r="H53" s="1" t="s">
        <v>5</v>
      </c>
      <c r="J53" s="1" t="s">
        <v>65</v>
      </c>
      <c r="K53" s="1" t="s">
        <v>2</v>
      </c>
      <c r="L53" s="1" t="s">
        <v>4</v>
      </c>
      <c r="M53" s="1" t="s">
        <v>2</v>
      </c>
      <c r="N53" s="1" t="s">
        <v>5</v>
      </c>
      <c r="R53" s="1" t="s">
        <v>28</v>
      </c>
      <c r="S53" s="1" t="s">
        <v>2</v>
      </c>
      <c r="T53" s="1" t="s">
        <v>42</v>
      </c>
      <c r="U53" s="1" t="s">
        <v>2</v>
      </c>
      <c r="V53" s="1" t="s">
        <v>5</v>
      </c>
      <c r="X53" s="1" t="s">
        <v>9</v>
      </c>
      <c r="Y53" s="1" t="s">
        <v>9</v>
      </c>
    </row>
    <row r="54" spans="1:25" x14ac:dyDescent="0.25">
      <c r="A54" s="2">
        <v>43098</v>
      </c>
      <c r="B54" s="1">
        <v>8103</v>
      </c>
      <c r="C54" s="1">
        <f>B54-8103</f>
        <v>0</v>
      </c>
      <c r="D54" s="1">
        <v>128</v>
      </c>
      <c r="E54" s="1">
        <f>128-D54</f>
        <v>0</v>
      </c>
      <c r="F54" s="1">
        <v>115</v>
      </c>
      <c r="G54" s="1">
        <f>115-F54</f>
        <v>0</v>
      </c>
      <c r="H54" s="1">
        <f>G54+E54</f>
        <v>0</v>
      </c>
      <c r="J54" s="1">
        <v>78</v>
      </c>
      <c r="K54" s="1">
        <f>J54-78</f>
        <v>0</v>
      </c>
      <c r="L54" s="1">
        <v>81</v>
      </c>
      <c r="M54" s="1">
        <f>L54-81</f>
        <v>0</v>
      </c>
      <c r="N54" s="1">
        <f>M54+K54</f>
        <v>0</v>
      </c>
      <c r="P54" s="1">
        <v>18033</v>
      </c>
      <c r="Q54" s="1">
        <f>P54-18033</f>
        <v>0</v>
      </c>
      <c r="R54" s="1">
        <v>375</v>
      </c>
      <c r="S54" s="1">
        <f>R54-375</f>
        <v>0</v>
      </c>
      <c r="T54" s="1">
        <v>305</v>
      </c>
      <c r="U54" s="1">
        <f>T54-305</f>
        <v>0</v>
      </c>
      <c r="V54" s="1">
        <f>U54+S54</f>
        <v>0</v>
      </c>
      <c r="X54" s="1">
        <f>V54*120+N54*600+H54*225</f>
        <v>0</v>
      </c>
      <c r="Y54" s="1">
        <f>W54*120+O54*600+I54*225</f>
        <v>0</v>
      </c>
    </row>
    <row r="55" spans="1:25" x14ac:dyDescent="0.25">
      <c r="A55" s="2">
        <v>42760</v>
      </c>
      <c r="B55" s="1">
        <v>8603</v>
      </c>
      <c r="C55" s="1">
        <f>B55-8103</f>
        <v>500</v>
      </c>
      <c r="D55" s="1">
        <v>496</v>
      </c>
      <c r="E55" s="1">
        <f>128-D55</f>
        <v>-368</v>
      </c>
      <c r="F55" s="1">
        <v>0</v>
      </c>
      <c r="G55" s="1">
        <f>115-F55</f>
        <v>115</v>
      </c>
      <c r="H55" s="1">
        <f>G55+E55</f>
        <v>-253</v>
      </c>
      <c r="J55" s="1">
        <v>395</v>
      </c>
      <c r="K55" s="1">
        <f>J55-78</f>
        <v>317</v>
      </c>
      <c r="L55" s="1">
        <v>0</v>
      </c>
      <c r="M55" s="1">
        <f>L55-81</f>
        <v>-81</v>
      </c>
      <c r="N55" s="1">
        <f>M55+K55</f>
        <v>236</v>
      </c>
      <c r="P55" s="1">
        <v>19473</v>
      </c>
      <c r="Q55" s="1">
        <f>P55-18033</f>
        <v>1440</v>
      </c>
      <c r="R55" s="1">
        <v>1448</v>
      </c>
      <c r="S55" s="1">
        <f>R55-375</f>
        <v>1073</v>
      </c>
      <c r="T55" s="1">
        <v>0</v>
      </c>
      <c r="U55" s="1">
        <f>T55-305</f>
        <v>-305</v>
      </c>
      <c r="V55" s="1">
        <f>U55+S55</f>
        <v>768</v>
      </c>
      <c r="X55" s="3">
        <f>V55*120+N55*225+H55*675</f>
        <v>-25515</v>
      </c>
      <c r="Y55" s="3">
        <f>V55*160+N55*225+H55*675</f>
        <v>5205</v>
      </c>
    </row>
    <row r="57" spans="1:25" x14ac:dyDescent="0.25">
      <c r="A57" s="1" t="s">
        <v>0</v>
      </c>
      <c r="B57" s="1" t="s">
        <v>1</v>
      </c>
      <c r="C57" s="1" t="s">
        <v>2</v>
      </c>
      <c r="D57" s="1" t="s">
        <v>85</v>
      </c>
      <c r="E57" s="1" t="s">
        <v>2</v>
      </c>
      <c r="F57" s="1" t="s">
        <v>83</v>
      </c>
      <c r="G57" s="1" t="s">
        <v>2</v>
      </c>
      <c r="H57" s="1" t="s">
        <v>5</v>
      </c>
      <c r="J57" s="1" t="s">
        <v>73</v>
      </c>
      <c r="K57" s="1" t="s">
        <v>2</v>
      </c>
      <c r="L57" s="1" t="s">
        <v>86</v>
      </c>
      <c r="M57" s="1" t="s">
        <v>2</v>
      </c>
      <c r="N57" s="1" t="s">
        <v>5</v>
      </c>
      <c r="R57" s="1" t="s">
        <v>99</v>
      </c>
      <c r="S57" s="1" t="s">
        <v>2</v>
      </c>
      <c r="T57" s="1" t="s">
        <v>100</v>
      </c>
      <c r="U57" s="1" t="s">
        <v>2</v>
      </c>
      <c r="V57" s="1" t="s">
        <v>5</v>
      </c>
      <c r="X57" s="1" t="s">
        <v>9</v>
      </c>
      <c r="Y57" s="1" t="s">
        <v>9</v>
      </c>
    </row>
    <row r="58" spans="1:25" x14ac:dyDescent="0.25">
      <c r="A58" s="2">
        <v>42760</v>
      </c>
      <c r="B58" s="1">
        <v>8603</v>
      </c>
      <c r="C58" s="1">
        <f>B58-8603</f>
        <v>0</v>
      </c>
      <c r="D58" s="1">
        <v>143</v>
      </c>
      <c r="E58" s="1">
        <f>143-D58</f>
        <v>0</v>
      </c>
      <c r="F58" s="1">
        <v>131</v>
      </c>
      <c r="G58" s="1">
        <f>131-F58</f>
        <v>0</v>
      </c>
      <c r="H58" s="1">
        <f>G58+E58</f>
        <v>0</v>
      </c>
      <c r="J58" s="1">
        <v>92</v>
      </c>
      <c r="K58" s="1">
        <f>J58-92</f>
        <v>0</v>
      </c>
      <c r="L58" s="1">
        <v>94</v>
      </c>
      <c r="M58" s="1">
        <f>L58-94</f>
        <v>0</v>
      </c>
      <c r="N58" s="1">
        <f>M58+K58</f>
        <v>0</v>
      </c>
      <c r="P58" s="1">
        <v>19473</v>
      </c>
      <c r="Q58" s="1">
        <f>P58-19473</f>
        <v>0</v>
      </c>
      <c r="R58" s="1">
        <v>403</v>
      </c>
      <c r="S58" s="1">
        <f>R58-403</f>
        <v>0</v>
      </c>
      <c r="T58" s="1">
        <v>380</v>
      </c>
      <c r="U58" s="1">
        <f>T58-380</f>
        <v>0</v>
      </c>
      <c r="V58" s="1">
        <f>U58+S58</f>
        <v>0</v>
      </c>
      <c r="X58" s="1">
        <f>V58*120+N58*600+H58*225</f>
        <v>0</v>
      </c>
      <c r="Y58" s="1">
        <f>W58*120+O58*600+I58*225</f>
        <v>0</v>
      </c>
    </row>
    <row r="59" spans="1:25" x14ac:dyDescent="0.25">
      <c r="A59" s="2">
        <v>42789</v>
      </c>
      <c r="B59" s="1">
        <v>8939</v>
      </c>
      <c r="C59" s="1">
        <f>B59-8603</f>
        <v>336</v>
      </c>
      <c r="D59" s="1">
        <v>340</v>
      </c>
      <c r="E59" s="1">
        <f>143-D59</f>
        <v>-197</v>
      </c>
      <c r="F59" s="1">
        <v>0</v>
      </c>
      <c r="G59" s="1">
        <f>131-F59</f>
        <v>131</v>
      </c>
      <c r="H59" s="1">
        <f>G59+E59</f>
        <v>-66</v>
      </c>
      <c r="J59" s="1">
        <v>237</v>
      </c>
      <c r="K59" s="1">
        <f>J59-92</f>
        <v>145</v>
      </c>
      <c r="L59" s="1">
        <v>0</v>
      </c>
      <c r="M59" s="1">
        <f>L59-94</f>
        <v>-94</v>
      </c>
      <c r="N59" s="1">
        <f>M59+K59</f>
        <v>51</v>
      </c>
      <c r="P59" s="1">
        <v>20876</v>
      </c>
      <c r="Q59" s="1">
        <f>P59-19473</f>
        <v>1403</v>
      </c>
      <c r="R59" s="1">
        <v>1350</v>
      </c>
      <c r="S59" s="1">
        <f>R59-403</f>
        <v>947</v>
      </c>
      <c r="T59" s="1">
        <v>0</v>
      </c>
      <c r="U59" s="1">
        <f>T59-380</f>
        <v>-380</v>
      </c>
      <c r="V59" s="1">
        <f>U59+S59</f>
        <v>567</v>
      </c>
      <c r="X59" s="3">
        <f>V59*120+N59*225+H59*675</f>
        <v>34965</v>
      </c>
      <c r="Y59" s="3">
        <f>V59*160+N59*225+H59*675</f>
        <v>57645</v>
      </c>
    </row>
    <row r="61" spans="1:25" x14ac:dyDescent="0.25">
      <c r="A61" s="1" t="s">
        <v>0</v>
      </c>
      <c r="B61" s="1" t="s">
        <v>1</v>
      </c>
      <c r="C61" s="1" t="s">
        <v>2</v>
      </c>
      <c r="D61" s="1" t="s">
        <v>112</v>
      </c>
      <c r="E61" s="1" t="s">
        <v>2</v>
      </c>
      <c r="F61" s="1" t="s">
        <v>113</v>
      </c>
      <c r="G61" s="1" t="s">
        <v>2</v>
      </c>
      <c r="H61" s="1" t="s">
        <v>5</v>
      </c>
      <c r="J61" s="1">
        <v>905</v>
      </c>
      <c r="K61" s="1" t="s">
        <v>2</v>
      </c>
      <c r="L61" s="1" t="s">
        <v>114</v>
      </c>
      <c r="M61" s="1" t="s">
        <v>2</v>
      </c>
      <c r="N61" s="1" t="s">
        <v>5</v>
      </c>
      <c r="R61" s="1" t="s">
        <v>105</v>
      </c>
      <c r="S61" s="1" t="s">
        <v>2</v>
      </c>
      <c r="T61" s="1" t="s">
        <v>115</v>
      </c>
      <c r="U61" s="1" t="s">
        <v>2</v>
      </c>
      <c r="V61" s="1" t="s">
        <v>5</v>
      </c>
      <c r="X61" s="1" t="s">
        <v>9</v>
      </c>
      <c r="Y61" s="1" t="s">
        <v>9</v>
      </c>
    </row>
    <row r="62" spans="1:25" x14ac:dyDescent="0.25">
      <c r="A62" s="2">
        <v>42789</v>
      </c>
      <c r="B62" s="1">
        <v>8939</v>
      </c>
      <c r="C62" s="1">
        <f>B62-8939</f>
        <v>0</v>
      </c>
      <c r="D62" s="1">
        <v>135</v>
      </c>
      <c r="E62" s="1">
        <f>135-D62</f>
        <v>0</v>
      </c>
      <c r="F62" s="1">
        <v>130</v>
      </c>
      <c r="G62" s="1">
        <f>130-F62</f>
        <v>0</v>
      </c>
      <c r="H62" s="1">
        <f>G62+E62</f>
        <v>0</v>
      </c>
      <c r="J62" s="1">
        <v>89</v>
      </c>
      <c r="K62" s="1">
        <f>J62-89</f>
        <v>0</v>
      </c>
      <c r="L62" s="1">
        <v>94</v>
      </c>
      <c r="M62" s="1">
        <f>L62-94</f>
        <v>0</v>
      </c>
      <c r="N62" s="1">
        <f>M62+K62</f>
        <v>0</v>
      </c>
      <c r="P62" s="1">
        <v>20876</v>
      </c>
      <c r="Q62" s="1">
        <f>P62-20876</f>
        <v>0</v>
      </c>
      <c r="R62" s="1">
        <v>372</v>
      </c>
      <c r="S62" s="1">
        <f>R62-372</f>
        <v>0</v>
      </c>
      <c r="T62" s="1">
        <v>412</v>
      </c>
      <c r="U62" s="1">
        <f>T62-412</f>
        <v>0</v>
      </c>
      <c r="V62" s="1">
        <f>U62+S62</f>
        <v>0</v>
      </c>
      <c r="X62" s="1">
        <f>V62*120+N62*600+H62*225</f>
        <v>0</v>
      </c>
      <c r="Y62" s="1">
        <f>W62*120+O62*600+I62*225</f>
        <v>0</v>
      </c>
    </row>
    <row r="63" spans="1:25" x14ac:dyDescent="0.25">
      <c r="A63" s="2">
        <v>42824</v>
      </c>
      <c r="B63" s="1">
        <v>9174</v>
      </c>
      <c r="C63" s="1">
        <f>B63-8939</f>
        <v>235</v>
      </c>
      <c r="D63" s="1">
        <v>222</v>
      </c>
      <c r="E63" s="1">
        <f>135-D63</f>
        <v>-87</v>
      </c>
      <c r="F63" s="1">
        <v>0</v>
      </c>
      <c r="G63" s="1">
        <f>130-F63</f>
        <v>130</v>
      </c>
      <c r="H63" s="1">
        <f>G63+E63</f>
        <v>43</v>
      </c>
      <c r="J63" s="1">
        <v>119</v>
      </c>
      <c r="K63" s="1">
        <f>J63-89</f>
        <v>30</v>
      </c>
      <c r="L63" s="1">
        <v>0</v>
      </c>
      <c r="M63" s="1">
        <f>L63-94</f>
        <v>-94</v>
      </c>
      <c r="N63" s="1">
        <f>M63+K63</f>
        <v>-64</v>
      </c>
      <c r="P63" s="1">
        <v>21620</v>
      </c>
      <c r="Q63" s="1">
        <f>P63-20876</f>
        <v>744</v>
      </c>
      <c r="R63" s="1">
        <v>697</v>
      </c>
      <c r="S63" s="1">
        <f>R63-372</f>
        <v>325</v>
      </c>
      <c r="T63" s="1">
        <v>0</v>
      </c>
      <c r="U63" s="1">
        <f>T63-412</f>
        <v>-412</v>
      </c>
      <c r="V63" s="1">
        <f>U63+S63</f>
        <v>-87</v>
      </c>
      <c r="X63" s="3">
        <f>V63*120+N63*225+H63*675</f>
        <v>4185</v>
      </c>
      <c r="Y63" s="3">
        <f>V63*160+N63*225+H63*675</f>
        <v>705</v>
      </c>
    </row>
    <row r="65" spans="1:25" x14ac:dyDescent="0.25">
      <c r="A65" s="1" t="s">
        <v>0</v>
      </c>
      <c r="B65" s="1" t="s">
        <v>1</v>
      </c>
      <c r="C65" s="1" t="s">
        <v>2</v>
      </c>
      <c r="D65" s="1" t="s">
        <v>116</v>
      </c>
      <c r="E65" s="1" t="s">
        <v>2</v>
      </c>
      <c r="F65" s="1" t="s">
        <v>117</v>
      </c>
      <c r="G65" s="1" t="s">
        <v>2</v>
      </c>
      <c r="H65" s="1" t="s">
        <v>5</v>
      </c>
      <c r="J65" s="1" t="s">
        <v>118</v>
      </c>
      <c r="K65" s="1" t="s">
        <v>2</v>
      </c>
      <c r="L65" s="1" t="s">
        <v>119</v>
      </c>
      <c r="M65" s="1" t="s">
        <v>2</v>
      </c>
      <c r="N65" s="1" t="s">
        <v>5</v>
      </c>
      <c r="R65" s="1" t="s">
        <v>120</v>
      </c>
      <c r="S65" s="1" t="s">
        <v>2</v>
      </c>
      <c r="T65" s="1" t="s">
        <v>121</v>
      </c>
      <c r="U65" s="1" t="s">
        <v>2</v>
      </c>
      <c r="V65" s="1" t="s">
        <v>5</v>
      </c>
      <c r="X65" s="1" t="s">
        <v>9</v>
      </c>
      <c r="Y65" s="1" t="s">
        <v>9</v>
      </c>
    </row>
    <row r="66" spans="1:25" x14ac:dyDescent="0.25">
      <c r="A66" s="2">
        <v>42824</v>
      </c>
      <c r="B66" s="1">
        <v>9174</v>
      </c>
      <c r="C66" s="1">
        <f>B66-9174</f>
        <v>0</v>
      </c>
      <c r="D66" s="1">
        <v>106</v>
      </c>
      <c r="E66" s="1">
        <f>106-D66</f>
        <v>0</v>
      </c>
      <c r="F66" s="1">
        <v>117</v>
      </c>
      <c r="G66" s="1">
        <f>117-F66</f>
        <v>0</v>
      </c>
      <c r="H66" s="1">
        <f>G66+E66</f>
        <v>0</v>
      </c>
      <c r="J66" s="1">
        <v>83</v>
      </c>
      <c r="K66" s="1">
        <f>J66-83</f>
        <v>0</v>
      </c>
      <c r="L66" s="1">
        <v>80</v>
      </c>
      <c r="M66" s="1">
        <f>L66-80</f>
        <v>0</v>
      </c>
      <c r="N66" s="1">
        <f>M66+K66</f>
        <v>0</v>
      </c>
      <c r="P66" s="1">
        <v>21620</v>
      </c>
      <c r="Q66" s="1">
        <f>P66-21620</f>
        <v>0</v>
      </c>
      <c r="R66" s="1">
        <v>313</v>
      </c>
      <c r="S66" s="1">
        <f>R66-313</f>
        <v>0</v>
      </c>
      <c r="T66" s="1">
        <v>372</v>
      </c>
      <c r="U66" s="1">
        <f>T66-372</f>
        <v>0</v>
      </c>
      <c r="V66" s="1">
        <f>U66+S66</f>
        <v>0</v>
      </c>
      <c r="X66" s="1">
        <f>V66*120+N66*600+H66*225</f>
        <v>0</v>
      </c>
      <c r="Y66" s="1">
        <f>W66*120+O66*600+I66*225</f>
        <v>0</v>
      </c>
    </row>
    <row r="67" spans="1:25" x14ac:dyDescent="0.25">
      <c r="A67" s="2">
        <v>42852</v>
      </c>
      <c r="B67" s="1">
        <v>9342</v>
      </c>
      <c r="C67" s="1">
        <f>B67-9174</f>
        <v>168</v>
      </c>
      <c r="D67" s="1">
        <v>137</v>
      </c>
      <c r="E67" s="1">
        <f>106-D67</f>
        <v>-31</v>
      </c>
      <c r="F67" s="1">
        <v>0</v>
      </c>
      <c r="G67" s="1">
        <f>117-F67</f>
        <v>117</v>
      </c>
      <c r="H67" s="1">
        <f>G67+E67</f>
        <v>86</v>
      </c>
      <c r="J67" s="1">
        <v>85</v>
      </c>
      <c r="K67" s="1">
        <f>J67-83</f>
        <v>2</v>
      </c>
      <c r="L67" s="1">
        <v>0</v>
      </c>
      <c r="M67" s="1">
        <f>L67-80</f>
        <v>-80</v>
      </c>
      <c r="N67" s="1">
        <f>M67+K67</f>
        <v>-78</v>
      </c>
      <c r="P67" s="1">
        <v>22326</v>
      </c>
      <c r="Q67" s="1">
        <f>P67-21620</f>
        <v>706</v>
      </c>
      <c r="R67" s="1">
        <v>728</v>
      </c>
      <c r="S67" s="1">
        <f>R67-313</f>
        <v>415</v>
      </c>
      <c r="T67" s="1">
        <v>0</v>
      </c>
      <c r="U67" s="1">
        <f>T67-372</f>
        <v>-372</v>
      </c>
      <c r="V67" s="1">
        <f>U67+S67</f>
        <v>43</v>
      </c>
      <c r="X67" s="3">
        <f>V67*120+N67*225+H67*675</f>
        <v>45660</v>
      </c>
      <c r="Y67" s="3">
        <f>V67*160+N67*225+H67*675</f>
        <v>47380</v>
      </c>
    </row>
    <row r="69" spans="1:25" x14ac:dyDescent="0.25">
      <c r="A69" s="1" t="s">
        <v>0</v>
      </c>
      <c r="B69" s="1" t="s">
        <v>1</v>
      </c>
      <c r="C69" s="1" t="s">
        <v>2</v>
      </c>
      <c r="D69" s="1" t="s">
        <v>122</v>
      </c>
      <c r="E69" s="1" t="s">
        <v>2</v>
      </c>
      <c r="F69" s="1" t="s">
        <v>123</v>
      </c>
      <c r="G69" s="1" t="s">
        <v>2</v>
      </c>
      <c r="H69" s="1" t="s">
        <v>5</v>
      </c>
      <c r="J69" s="1" t="s">
        <v>124</v>
      </c>
      <c r="K69" s="1" t="s">
        <v>2</v>
      </c>
      <c r="L69" s="1" t="s">
        <v>125</v>
      </c>
      <c r="M69" s="1" t="s">
        <v>2</v>
      </c>
      <c r="N69" s="1" t="s">
        <v>5</v>
      </c>
      <c r="R69" s="1" t="s">
        <v>126</v>
      </c>
      <c r="S69" s="1" t="s">
        <v>2</v>
      </c>
      <c r="T69" s="1" t="s">
        <v>127</v>
      </c>
      <c r="U69" s="1" t="s">
        <v>2</v>
      </c>
      <c r="V69" s="1" t="s">
        <v>5</v>
      </c>
      <c r="X69" s="1" t="s">
        <v>9</v>
      </c>
      <c r="Y69" s="1" t="s">
        <v>9</v>
      </c>
    </row>
    <row r="70" spans="1:25" x14ac:dyDescent="0.25">
      <c r="A70" s="2">
        <v>42852</v>
      </c>
      <c r="B70" s="1">
        <v>9342</v>
      </c>
      <c r="C70" s="1">
        <f>B70-9342</f>
        <v>0</v>
      </c>
      <c r="D70" s="1">
        <v>105</v>
      </c>
      <c r="E70" s="1">
        <f>105-D70</f>
        <v>0</v>
      </c>
      <c r="F70" s="1">
        <v>102</v>
      </c>
      <c r="G70" s="1">
        <f>102-F70</f>
        <v>0</v>
      </c>
      <c r="H70" s="1">
        <f>G70+E70</f>
        <v>0</v>
      </c>
      <c r="J70" s="1">
        <v>58</v>
      </c>
      <c r="K70" s="1">
        <f>J70-58</f>
        <v>0</v>
      </c>
      <c r="L70" s="1">
        <v>67</v>
      </c>
      <c r="M70" s="1">
        <f>L70-67</f>
        <v>0</v>
      </c>
      <c r="N70" s="1">
        <f>M70+K70</f>
        <v>0</v>
      </c>
      <c r="P70" s="1">
        <v>22326</v>
      </c>
      <c r="Q70" s="1">
        <f>P70-22326</f>
        <v>0</v>
      </c>
      <c r="R70" s="1">
        <v>319</v>
      </c>
      <c r="S70" s="1">
        <f>R70-319</f>
        <v>0</v>
      </c>
      <c r="T70" s="1">
        <v>323</v>
      </c>
      <c r="U70" s="1">
        <f>T70-323</f>
        <v>0</v>
      </c>
      <c r="V70" s="1">
        <f>U70+S70</f>
        <v>0</v>
      </c>
      <c r="X70" s="1">
        <f>V70*120+N70*600+H70*225</f>
        <v>0</v>
      </c>
      <c r="Y70" s="1">
        <f>W70*120+O70*600+I70*225</f>
        <v>0</v>
      </c>
    </row>
    <row r="71" spans="1:25" x14ac:dyDescent="0.25">
      <c r="A71" s="2">
        <v>42880</v>
      </c>
      <c r="B71" s="1">
        <v>9509</v>
      </c>
      <c r="C71" s="1">
        <f>B71-9342</f>
        <v>167</v>
      </c>
      <c r="D71" s="1">
        <v>158</v>
      </c>
      <c r="E71" s="1">
        <f>105-D71</f>
        <v>-53</v>
      </c>
      <c r="F71" s="1">
        <v>0</v>
      </c>
      <c r="G71" s="1">
        <f>102-F71</f>
        <v>102</v>
      </c>
      <c r="H71" s="1">
        <f>G71+E71</f>
        <v>49</v>
      </c>
      <c r="J71" s="1">
        <v>54</v>
      </c>
      <c r="K71" s="1">
        <f>J71-54</f>
        <v>0</v>
      </c>
      <c r="L71" s="1">
        <v>0</v>
      </c>
      <c r="M71" s="1">
        <f>L71-67</f>
        <v>-67</v>
      </c>
      <c r="N71" s="1">
        <f>M71+K71</f>
        <v>-67</v>
      </c>
      <c r="P71" s="1">
        <v>23190</v>
      </c>
      <c r="Q71" s="1">
        <f>P71-22326</f>
        <v>864</v>
      </c>
      <c r="R71" s="1">
        <v>873</v>
      </c>
      <c r="S71" s="1">
        <f>R71-319</f>
        <v>554</v>
      </c>
      <c r="T71" s="1">
        <v>0</v>
      </c>
      <c r="U71" s="1">
        <f>T71-323</f>
        <v>-323</v>
      </c>
      <c r="V71" s="1">
        <f>U71+S71</f>
        <v>231</v>
      </c>
      <c r="X71" s="3">
        <f>V71*120+N71*225+H71*675</f>
        <v>45720</v>
      </c>
      <c r="Y71" s="3">
        <f>V71*160+N71*225+H71*675</f>
        <v>54960</v>
      </c>
    </row>
    <row r="73" spans="1:25" x14ac:dyDescent="0.25">
      <c r="A73" s="1" t="s">
        <v>0</v>
      </c>
      <c r="B73" s="1" t="s">
        <v>1</v>
      </c>
      <c r="C73" s="1" t="s">
        <v>2</v>
      </c>
      <c r="D73" s="1" t="s">
        <v>128</v>
      </c>
      <c r="E73" s="1" t="s">
        <v>2</v>
      </c>
      <c r="F73" s="1" t="s">
        <v>129</v>
      </c>
      <c r="G73" s="1" t="s">
        <v>2</v>
      </c>
      <c r="H73" s="1" t="s">
        <v>5</v>
      </c>
      <c r="J73" s="1" t="s">
        <v>130</v>
      </c>
      <c r="K73" s="1" t="s">
        <v>2</v>
      </c>
      <c r="L73" s="1" t="s">
        <v>131</v>
      </c>
      <c r="M73" s="1" t="s">
        <v>2</v>
      </c>
      <c r="N73" s="1" t="s">
        <v>5</v>
      </c>
      <c r="R73" s="1" t="s">
        <v>132</v>
      </c>
      <c r="S73" s="1" t="s">
        <v>2</v>
      </c>
      <c r="T73" s="1" t="s">
        <v>133</v>
      </c>
      <c r="U73" s="1" t="s">
        <v>2</v>
      </c>
      <c r="V73" s="1" t="s">
        <v>5</v>
      </c>
      <c r="X73" s="1" t="s">
        <v>9</v>
      </c>
      <c r="Y73" s="1" t="s">
        <v>9</v>
      </c>
    </row>
    <row r="74" spans="1:25" x14ac:dyDescent="0.25">
      <c r="A74" s="2">
        <v>42880</v>
      </c>
      <c r="B74" s="1">
        <v>9509</v>
      </c>
      <c r="C74" s="1">
        <f>B74-9509</f>
        <v>0</v>
      </c>
      <c r="D74" s="1">
        <v>110</v>
      </c>
      <c r="E74" s="1">
        <f>110-D74</f>
        <v>0</v>
      </c>
      <c r="F74" s="1">
        <v>102</v>
      </c>
      <c r="G74" s="1">
        <f>102-F74</f>
        <v>0</v>
      </c>
      <c r="H74" s="1">
        <f>G74+E74</f>
        <v>0</v>
      </c>
      <c r="J74" s="1">
        <v>57</v>
      </c>
      <c r="K74" s="1">
        <f>J74-57</f>
        <v>0</v>
      </c>
      <c r="L74" s="1">
        <v>76</v>
      </c>
      <c r="M74" s="1">
        <f>L74-76</f>
        <v>0</v>
      </c>
      <c r="N74" s="1">
        <f>M74+K74</f>
        <v>0</v>
      </c>
      <c r="P74" s="1">
        <v>23190</v>
      </c>
      <c r="Q74" s="1">
        <f>P74-23190</f>
        <v>0</v>
      </c>
      <c r="R74" s="1">
        <v>271</v>
      </c>
      <c r="S74" s="1">
        <f>R74-271</f>
        <v>0</v>
      </c>
      <c r="T74" s="1">
        <v>433</v>
      </c>
      <c r="U74" s="1">
        <f>T74-433</f>
        <v>0</v>
      </c>
      <c r="V74" s="1">
        <f>U74+S74</f>
        <v>0</v>
      </c>
      <c r="X74" s="1">
        <f>V74*120+N74*600+H74*225</f>
        <v>0</v>
      </c>
      <c r="Y74" s="1">
        <f>W74*120+O74*600+I74*225</f>
        <v>0</v>
      </c>
    </row>
    <row r="75" spans="1:25" x14ac:dyDescent="0.25">
      <c r="A75" s="2">
        <v>42915</v>
      </c>
      <c r="B75" s="1">
        <v>9504</v>
      </c>
      <c r="C75" s="1">
        <f>B75-9509</f>
        <v>-5</v>
      </c>
      <c r="D75" s="1">
        <v>5</v>
      </c>
      <c r="E75" s="1">
        <f>110-D75</f>
        <v>105</v>
      </c>
      <c r="F75" s="1">
        <v>5</v>
      </c>
      <c r="G75" s="1">
        <f>102-F75</f>
        <v>97</v>
      </c>
      <c r="H75" s="1">
        <f>G75+E75</f>
        <v>202</v>
      </c>
      <c r="J75" s="1">
        <v>0</v>
      </c>
      <c r="K75" s="1">
        <f>J75-57</f>
        <v>-57</v>
      </c>
      <c r="L75" s="1">
        <v>0</v>
      </c>
      <c r="M75" s="1">
        <f>L75-76</f>
        <v>-76</v>
      </c>
      <c r="N75" s="1">
        <f>M75+K75</f>
        <v>-133</v>
      </c>
      <c r="P75" s="1">
        <v>23227</v>
      </c>
      <c r="Q75" s="1">
        <f>P75-23190</f>
        <v>37</v>
      </c>
      <c r="R75" s="1">
        <v>15</v>
      </c>
      <c r="S75" s="1">
        <f>R75-271</f>
        <v>-256</v>
      </c>
      <c r="T75" s="1">
        <v>0</v>
      </c>
      <c r="U75" s="1">
        <f>T75-433</f>
        <v>-433</v>
      </c>
      <c r="V75" s="1">
        <f>U75+S75</f>
        <v>-689</v>
      </c>
      <c r="X75" s="3">
        <f>V75*120+N75*225+H75*675</f>
        <v>23745</v>
      </c>
      <c r="Y75" s="3">
        <f>V75*160+N75*225+H75*675</f>
        <v>-3815</v>
      </c>
    </row>
    <row r="77" spans="1:25" x14ac:dyDescent="0.25">
      <c r="A77" s="1" t="s">
        <v>0</v>
      </c>
      <c r="B77" s="1" t="s">
        <v>1</v>
      </c>
      <c r="C77" s="1" t="s">
        <v>2</v>
      </c>
      <c r="D77" s="1" t="s">
        <v>128</v>
      </c>
      <c r="E77" s="1" t="s">
        <v>2</v>
      </c>
      <c r="F77" s="1" t="s">
        <v>129</v>
      </c>
      <c r="G77" s="1" t="s">
        <v>2</v>
      </c>
      <c r="H77" s="1" t="s">
        <v>5</v>
      </c>
      <c r="J77" s="1" t="s">
        <v>130</v>
      </c>
      <c r="K77" s="1" t="s">
        <v>2</v>
      </c>
      <c r="L77" s="1" t="s">
        <v>131</v>
      </c>
      <c r="M77" s="1" t="s">
        <v>2</v>
      </c>
      <c r="N77" s="1" t="s">
        <v>5</v>
      </c>
      <c r="R77" s="1" t="s">
        <v>132</v>
      </c>
      <c r="S77" s="1" t="s">
        <v>2</v>
      </c>
      <c r="T77" s="1" t="s">
        <v>133</v>
      </c>
      <c r="U77" s="1" t="s">
        <v>2</v>
      </c>
      <c r="V77" s="1" t="s">
        <v>5</v>
      </c>
      <c r="X77" s="1" t="s">
        <v>9</v>
      </c>
      <c r="Y77" s="1" t="s">
        <v>9</v>
      </c>
    </row>
    <row r="78" spans="1:25" x14ac:dyDescent="0.25">
      <c r="A78" s="2">
        <v>42915</v>
      </c>
      <c r="B78" s="1">
        <v>9504</v>
      </c>
      <c r="C78" s="1">
        <f>B78-9504</f>
        <v>0</v>
      </c>
      <c r="D78" s="1">
        <v>117</v>
      </c>
      <c r="E78" s="1">
        <f>117-D78</f>
        <v>0</v>
      </c>
      <c r="F78" s="1">
        <v>100</v>
      </c>
      <c r="G78" s="1">
        <f>100-F78</f>
        <v>0</v>
      </c>
      <c r="H78" s="1">
        <f>G78+E78</f>
        <v>0</v>
      </c>
      <c r="J78" s="1">
        <v>70</v>
      </c>
      <c r="K78" s="1">
        <f>J78-70</f>
        <v>0</v>
      </c>
      <c r="L78" s="1">
        <v>67</v>
      </c>
      <c r="M78" s="1">
        <f>L78-67</f>
        <v>0</v>
      </c>
      <c r="N78" s="1">
        <f>M78+K78</f>
        <v>0</v>
      </c>
      <c r="P78" s="1">
        <v>23227</v>
      </c>
      <c r="Q78" s="1">
        <f>P78-23190</f>
        <v>37</v>
      </c>
      <c r="R78" s="1">
        <v>369</v>
      </c>
      <c r="S78" s="1">
        <f>R78-369</f>
        <v>0</v>
      </c>
      <c r="T78" s="1">
        <v>346</v>
      </c>
      <c r="U78" s="1">
        <f>T78-346</f>
        <v>0</v>
      </c>
      <c r="V78" s="1">
        <f>U78+S78</f>
        <v>0</v>
      </c>
      <c r="X78" s="1">
        <f>V78*120+N78*600+H78*225</f>
        <v>0</v>
      </c>
      <c r="Y78" s="1">
        <f>W78*120+O78*600+I78*225</f>
        <v>0</v>
      </c>
    </row>
    <row r="79" spans="1:25" x14ac:dyDescent="0.25">
      <c r="A79" s="2">
        <v>42943</v>
      </c>
      <c r="B79" s="1">
        <v>10020</v>
      </c>
      <c r="C79" s="1">
        <f>B79-9504</f>
        <v>516</v>
      </c>
      <c r="D79" s="1">
        <v>518</v>
      </c>
      <c r="E79" s="1">
        <f>117-D79</f>
        <v>-401</v>
      </c>
      <c r="F79" s="1">
        <v>0</v>
      </c>
      <c r="G79" s="1">
        <f>100-F79</f>
        <v>100</v>
      </c>
      <c r="H79" s="1">
        <f>G79+E79</f>
        <v>-301</v>
      </c>
      <c r="J79" s="1">
        <v>418</v>
      </c>
      <c r="K79" s="1">
        <f>J79-70</f>
        <v>348</v>
      </c>
      <c r="L79" s="1">
        <v>0</v>
      </c>
      <c r="M79" s="1">
        <f>L79-67</f>
        <v>-67</v>
      </c>
      <c r="N79" s="1">
        <f>M79+K79</f>
        <v>281</v>
      </c>
      <c r="P79" s="1">
        <v>24922</v>
      </c>
      <c r="Q79" s="1">
        <f>P79-23190</f>
        <v>1732</v>
      </c>
      <c r="R79" s="1">
        <v>1700</v>
      </c>
      <c r="S79" s="1">
        <f>R79-369</f>
        <v>1331</v>
      </c>
      <c r="T79" s="1">
        <v>0</v>
      </c>
      <c r="U79" s="1">
        <f>T79-346</f>
        <v>-346</v>
      </c>
      <c r="V79" s="1">
        <f>U79+S79</f>
        <v>985</v>
      </c>
      <c r="X79" s="3">
        <f>V79*120+N79*225+H79*675</f>
        <v>-21750</v>
      </c>
      <c r="Y79" s="3">
        <f>V79*160+N79*225+H79*675</f>
        <v>17650</v>
      </c>
    </row>
    <row r="81" spans="1:25" x14ac:dyDescent="0.25">
      <c r="A81" s="1" t="s">
        <v>0</v>
      </c>
      <c r="B81" s="1" t="s">
        <v>1</v>
      </c>
      <c r="C81" s="1" t="s">
        <v>2</v>
      </c>
      <c r="D81" s="1" t="s">
        <v>134</v>
      </c>
      <c r="E81" s="1" t="s">
        <v>2</v>
      </c>
      <c r="F81" s="1" t="s">
        <v>135</v>
      </c>
      <c r="G81" s="1" t="s">
        <v>2</v>
      </c>
      <c r="H81" s="1" t="s">
        <v>5</v>
      </c>
      <c r="J81" s="1" t="s">
        <v>136</v>
      </c>
      <c r="K81" s="1" t="s">
        <v>2</v>
      </c>
      <c r="L81" s="1" t="s">
        <v>137</v>
      </c>
      <c r="M81" s="1" t="s">
        <v>2</v>
      </c>
      <c r="N81" s="1" t="s">
        <v>5</v>
      </c>
      <c r="R81" s="1" t="s">
        <v>138</v>
      </c>
      <c r="S81" s="1" t="s">
        <v>2</v>
      </c>
      <c r="T81" s="1" t="s">
        <v>139</v>
      </c>
      <c r="U81" s="1" t="s">
        <v>2</v>
      </c>
      <c r="V81" s="1" t="s">
        <v>5</v>
      </c>
      <c r="X81" s="1" t="s">
        <v>9</v>
      </c>
      <c r="Y81" s="1" t="s">
        <v>9</v>
      </c>
    </row>
    <row r="82" spans="1:25" x14ac:dyDescent="0.25">
      <c r="A82" s="2">
        <v>42943</v>
      </c>
      <c r="B82" s="1">
        <v>10020</v>
      </c>
      <c r="C82" s="1">
        <f>B82-10020</f>
        <v>0</v>
      </c>
      <c r="D82" s="1">
        <v>162</v>
      </c>
      <c r="E82" s="1">
        <f>162-D82</f>
        <v>0</v>
      </c>
      <c r="F82" s="1">
        <v>100</v>
      </c>
      <c r="G82" s="1">
        <f>100-F82</f>
        <v>0</v>
      </c>
      <c r="H82" s="1">
        <f>G82+E82</f>
        <v>0</v>
      </c>
      <c r="J82" s="1">
        <v>105</v>
      </c>
      <c r="K82" s="1">
        <f>J82-105</f>
        <v>0</v>
      </c>
      <c r="L82" s="1">
        <v>85</v>
      </c>
      <c r="M82" s="1">
        <f>L82-85</f>
        <v>0</v>
      </c>
      <c r="N82" s="1">
        <f>M82+K82</f>
        <v>0</v>
      </c>
      <c r="P82" s="1">
        <v>24922</v>
      </c>
      <c r="Q82" s="1">
        <f>P82-24922</f>
        <v>0</v>
      </c>
      <c r="R82" s="1">
        <v>419</v>
      </c>
      <c r="S82" s="1">
        <f>R82-419</f>
        <v>0</v>
      </c>
      <c r="T82" s="1">
        <v>348</v>
      </c>
      <c r="U82" s="1">
        <f>T82-348</f>
        <v>0</v>
      </c>
      <c r="V82" s="1">
        <f>U82+S82</f>
        <v>0</v>
      </c>
      <c r="X82" s="1">
        <f>V82*120+N82*600+H82*225</f>
        <v>0</v>
      </c>
      <c r="Y82" s="1">
        <f>W82*120+O82*600+I82*225</f>
        <v>0</v>
      </c>
    </row>
    <row r="83" spans="1:25" x14ac:dyDescent="0.25">
      <c r="A83" s="2">
        <v>42978</v>
      </c>
      <c r="B83" s="1">
        <v>9918</v>
      </c>
      <c r="C83" s="1">
        <f>B83-10020</f>
        <v>-102</v>
      </c>
      <c r="D83" s="1">
        <v>0</v>
      </c>
      <c r="E83" s="1">
        <f>162-D83</f>
        <v>162</v>
      </c>
      <c r="F83" s="1">
        <v>78</v>
      </c>
      <c r="G83" s="1">
        <f>100-F83</f>
        <v>22</v>
      </c>
      <c r="H83" s="1">
        <f>G83+E83</f>
        <v>184</v>
      </c>
      <c r="J83" s="1">
        <v>0</v>
      </c>
      <c r="K83" s="1">
        <f>J83-105</f>
        <v>-105</v>
      </c>
      <c r="L83" s="1">
        <v>31</v>
      </c>
      <c r="M83" s="1">
        <f>L83-85</f>
        <v>-54</v>
      </c>
      <c r="N83" s="1">
        <f>M83+K83</f>
        <v>-159</v>
      </c>
      <c r="P83" s="1">
        <v>24318</v>
      </c>
      <c r="Q83" s="1">
        <f>P83-24922</f>
        <v>-604</v>
      </c>
      <c r="R83" s="1">
        <v>0</v>
      </c>
      <c r="S83" s="1">
        <f>R83-419</f>
        <v>-419</v>
      </c>
      <c r="T83" s="1">
        <v>566</v>
      </c>
      <c r="U83" s="1">
        <f>T83-348</f>
        <v>218</v>
      </c>
      <c r="V83" s="1">
        <f>U83+S83</f>
        <v>-201</v>
      </c>
      <c r="X83" s="3">
        <f>V83*120+N83*225+H83*675</f>
        <v>64305</v>
      </c>
      <c r="Y83" s="3">
        <f>V83*160+N83*225+H83*675</f>
        <v>56265</v>
      </c>
    </row>
    <row r="85" spans="1:25" x14ac:dyDescent="0.25">
      <c r="A85" s="1" t="s">
        <v>0</v>
      </c>
      <c r="B85" s="1" t="s">
        <v>1</v>
      </c>
      <c r="C85" s="1" t="s">
        <v>2</v>
      </c>
      <c r="D85" s="1" t="s">
        <v>140</v>
      </c>
      <c r="E85" s="1" t="s">
        <v>2</v>
      </c>
      <c r="F85" s="1" t="s">
        <v>141</v>
      </c>
      <c r="G85" s="1" t="s">
        <v>2</v>
      </c>
      <c r="H85" s="1" t="s">
        <v>5</v>
      </c>
      <c r="J85" s="1" t="s">
        <v>134</v>
      </c>
      <c r="K85" s="1" t="s">
        <v>2</v>
      </c>
      <c r="L85" s="1" t="s">
        <v>142</v>
      </c>
      <c r="M85" s="1" t="s">
        <v>2</v>
      </c>
      <c r="N85" s="1" t="s">
        <v>5</v>
      </c>
      <c r="R85" s="1" t="s">
        <v>143</v>
      </c>
      <c r="S85" s="1" t="s">
        <v>2</v>
      </c>
      <c r="T85" s="1" t="s">
        <v>144</v>
      </c>
      <c r="U85" s="1" t="s">
        <v>2</v>
      </c>
      <c r="V85" s="1" t="s">
        <v>5</v>
      </c>
      <c r="X85" s="1" t="s">
        <v>9</v>
      </c>
      <c r="Y85" s="1" t="s">
        <v>9</v>
      </c>
    </row>
    <row r="86" spans="1:25" x14ac:dyDescent="0.25">
      <c r="A86" s="2">
        <v>42978</v>
      </c>
      <c r="B86" s="1">
        <v>9918</v>
      </c>
      <c r="C86" s="1">
        <f>B86-9918</f>
        <v>0</v>
      </c>
      <c r="D86" s="1">
        <v>135</v>
      </c>
      <c r="E86" s="1">
        <f>135-D86</f>
        <v>0</v>
      </c>
      <c r="F86" s="1">
        <v>98</v>
      </c>
      <c r="G86" s="1">
        <f>98-F86</f>
        <v>0</v>
      </c>
      <c r="H86" s="1">
        <f>G86+E86</f>
        <v>0</v>
      </c>
      <c r="J86" s="1">
        <v>84</v>
      </c>
      <c r="K86" s="1">
        <f>J86-84</f>
        <v>0</v>
      </c>
      <c r="L86" s="1">
        <v>81</v>
      </c>
      <c r="M86" s="1">
        <f>L86-81</f>
        <v>0</v>
      </c>
      <c r="N86" s="1">
        <f>M86+K86</f>
        <v>0</v>
      </c>
      <c r="P86" s="1">
        <v>24318</v>
      </c>
      <c r="Q86" s="1">
        <f>P86-24318</f>
        <v>0</v>
      </c>
      <c r="R86" s="1">
        <v>386</v>
      </c>
      <c r="S86" s="1">
        <f>R86-386</f>
        <v>0</v>
      </c>
      <c r="T86" s="1">
        <v>338</v>
      </c>
      <c r="U86" s="1">
        <f>T86-338</f>
        <v>0</v>
      </c>
      <c r="V86" s="1">
        <f>U86+S86</f>
        <v>0</v>
      </c>
      <c r="X86" s="1">
        <f>V86*120+N86*600+H86*225</f>
        <v>0</v>
      </c>
      <c r="Y86" s="1">
        <f>W86*120+O86*600+I86*225</f>
        <v>0</v>
      </c>
    </row>
    <row r="87" spans="1:25" x14ac:dyDescent="0.25">
      <c r="A87" s="2">
        <v>43006</v>
      </c>
      <c r="B87" s="1">
        <v>9750</v>
      </c>
      <c r="C87" s="1">
        <f>B87-9918</f>
        <v>-168</v>
      </c>
      <c r="D87" s="1">
        <v>0</v>
      </c>
      <c r="E87" s="1">
        <f>135-D87</f>
        <v>135</v>
      </c>
      <c r="F87" s="1">
        <v>150</v>
      </c>
      <c r="G87" s="1">
        <f>98-F87</f>
        <v>-52</v>
      </c>
      <c r="H87" s="1">
        <f>G87+E87</f>
        <v>83</v>
      </c>
      <c r="J87" s="1">
        <v>0</v>
      </c>
      <c r="K87" s="1">
        <f>J87-84</f>
        <v>-84</v>
      </c>
      <c r="L87" s="1">
        <v>100</v>
      </c>
      <c r="M87" s="1">
        <f>L87-81</f>
        <v>19</v>
      </c>
      <c r="N87" s="1">
        <f>M87+K87</f>
        <v>-65</v>
      </c>
      <c r="P87" s="1">
        <v>24850</v>
      </c>
      <c r="Q87" s="1">
        <f>P87-24922</f>
        <v>-72</v>
      </c>
      <c r="R87" s="1">
        <v>0</v>
      </c>
      <c r="S87" s="1">
        <f>R87-386</f>
        <v>-386</v>
      </c>
      <c r="T87" s="1">
        <v>450</v>
      </c>
      <c r="U87" s="1">
        <f>T87-338</f>
        <v>112</v>
      </c>
      <c r="V87" s="1">
        <f>U87+S87</f>
        <v>-274</v>
      </c>
      <c r="X87" s="3">
        <f>V87*120+N87*225+H87*675</f>
        <v>8520</v>
      </c>
      <c r="Y87" s="3">
        <f>V87*160+N87*225+H87*675</f>
        <v>-2440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A1:D16"/>
    </sheetView>
  </sheetViews>
  <sheetFormatPr defaultRowHeight="15" x14ac:dyDescent="0.25"/>
  <sheetData>
    <row r="1" spans="1:4" x14ac:dyDescent="0.25">
      <c r="A1" s="1"/>
      <c r="D1" s="1"/>
    </row>
    <row r="2" spans="1:4" x14ac:dyDescent="0.25">
      <c r="A2" s="1"/>
      <c r="D2" s="1"/>
    </row>
    <row r="3" spans="1:4" x14ac:dyDescent="0.25">
      <c r="A3" s="1"/>
      <c r="D3" s="1"/>
    </row>
    <row r="4" spans="1:4" x14ac:dyDescent="0.25">
      <c r="A4" s="1"/>
      <c r="D4" s="1"/>
    </row>
    <row r="5" spans="1:4" x14ac:dyDescent="0.25">
      <c r="A5" s="1"/>
      <c r="D5" s="1"/>
    </row>
    <row r="6" spans="1:4" x14ac:dyDescent="0.25">
      <c r="A6" s="1"/>
      <c r="D6" s="1"/>
    </row>
    <row r="7" spans="1:4" x14ac:dyDescent="0.25">
      <c r="A7" s="1"/>
      <c r="D7" s="1"/>
    </row>
    <row r="8" spans="1:4" x14ac:dyDescent="0.25">
      <c r="A8" s="1"/>
      <c r="D8" s="1"/>
    </row>
    <row r="9" spans="1:4" x14ac:dyDescent="0.25">
      <c r="A9" s="1"/>
      <c r="D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Mundhe, Atul</dc:creator>
  <cp:lastModifiedBy>Mundhe, Atul</cp:lastModifiedBy>
  <dcterms:created xsi:type="dcterms:W3CDTF">2017-09-26T13:25:25Z</dcterms:created>
  <dcterms:modified xsi:type="dcterms:W3CDTF">2017-09-28T10:27:44Z</dcterms:modified>
</cp:coreProperties>
</file>