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mundh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1" l="1"/>
  <c r="U51" i="1" l="1"/>
  <c r="V51" i="1" s="1"/>
  <c r="S51" i="1"/>
  <c r="Q51" i="1"/>
  <c r="G51" i="1"/>
  <c r="H51" i="1" s="1"/>
  <c r="E51" i="1"/>
  <c r="M51" i="1"/>
  <c r="N51" i="1" s="1"/>
  <c r="K51" i="1"/>
  <c r="X50" i="1"/>
  <c r="C51" i="1"/>
  <c r="U50" i="1"/>
  <c r="V50" i="1" s="1"/>
  <c r="S50" i="1"/>
  <c r="Q50" i="1"/>
  <c r="M50" i="1"/>
  <c r="N50" i="1" s="1"/>
  <c r="K50" i="1"/>
  <c r="G50" i="1"/>
  <c r="H50" i="1" s="1"/>
  <c r="E50" i="1"/>
  <c r="C50" i="1"/>
  <c r="U47" i="1" l="1"/>
  <c r="S47" i="1"/>
  <c r="Q47" i="1"/>
  <c r="G47" i="1"/>
  <c r="E47" i="1"/>
  <c r="M47" i="1"/>
  <c r="K47" i="1"/>
  <c r="C47" i="1"/>
  <c r="X46" i="1"/>
  <c r="U46" i="1"/>
  <c r="V46" i="1"/>
  <c r="S46" i="1"/>
  <c r="Q46" i="1"/>
  <c r="M46" i="1"/>
  <c r="N46" i="1"/>
  <c r="K46" i="1"/>
  <c r="G46" i="1"/>
  <c r="H46" i="1"/>
  <c r="E46" i="1"/>
  <c r="C46" i="1"/>
  <c r="V47" i="1" l="1"/>
  <c r="N47" i="1"/>
  <c r="H47" i="1"/>
  <c r="Q35" i="1"/>
  <c r="X47" i="1" l="1"/>
  <c r="U43" i="1"/>
  <c r="V43" i="1" s="1"/>
  <c r="S43" i="1"/>
  <c r="Q43" i="1"/>
  <c r="M43" i="1"/>
  <c r="N43" i="1" s="1"/>
  <c r="K43" i="1"/>
  <c r="G43" i="1"/>
  <c r="H43" i="1" s="1"/>
  <c r="E43" i="1"/>
  <c r="C43" i="1"/>
  <c r="X42" i="1"/>
  <c r="U42" i="1"/>
  <c r="V42" i="1" s="1"/>
  <c r="S42" i="1"/>
  <c r="Q42" i="1"/>
  <c r="M42" i="1"/>
  <c r="K42" i="1"/>
  <c r="G42" i="1"/>
  <c r="H42" i="1" s="1"/>
  <c r="E42" i="1"/>
  <c r="C42" i="1"/>
  <c r="X43" i="1" l="1"/>
  <c r="N42" i="1"/>
  <c r="U39" i="1" l="1"/>
  <c r="V39" i="1" s="1"/>
  <c r="S39" i="1"/>
  <c r="Q39" i="1"/>
  <c r="M39" i="1"/>
  <c r="N39" i="1" s="1"/>
  <c r="K39" i="1"/>
  <c r="H39" i="1"/>
  <c r="G39" i="1"/>
  <c r="E39" i="1"/>
  <c r="C39" i="1"/>
  <c r="U38" i="1"/>
  <c r="V38" i="1" s="1"/>
  <c r="S38" i="1"/>
  <c r="Q38" i="1"/>
  <c r="M38" i="1"/>
  <c r="N38" i="1" s="1"/>
  <c r="K38" i="1"/>
  <c r="G38" i="1"/>
  <c r="H38" i="1" s="1"/>
  <c r="E38" i="1"/>
  <c r="C38" i="1"/>
  <c r="U35" i="1"/>
  <c r="V35" i="1" s="1"/>
  <c r="S35" i="1"/>
  <c r="M35" i="1"/>
  <c r="N35" i="1" s="1"/>
  <c r="K35" i="1"/>
  <c r="G35" i="1"/>
  <c r="E35" i="1"/>
  <c r="H35" i="1" s="1"/>
  <c r="C35" i="1"/>
  <c r="V34" i="1"/>
  <c r="X34" i="1" s="1"/>
  <c r="U34" i="1"/>
  <c r="S34" i="1"/>
  <c r="Q34" i="1"/>
  <c r="N34" i="1"/>
  <c r="M34" i="1"/>
  <c r="K34" i="1"/>
  <c r="G34" i="1"/>
  <c r="H34" i="1" s="1"/>
  <c r="E34" i="1"/>
  <c r="C34" i="1"/>
  <c r="U31" i="1"/>
  <c r="V31" i="1" s="1"/>
  <c r="S31" i="1"/>
  <c r="Q31" i="1"/>
  <c r="M31" i="1"/>
  <c r="N31" i="1" s="1"/>
  <c r="K31" i="1"/>
  <c r="H31" i="1"/>
  <c r="G31" i="1"/>
  <c r="E31" i="1"/>
  <c r="C31" i="1"/>
  <c r="U30" i="1"/>
  <c r="S30" i="1"/>
  <c r="V30" i="1" s="1"/>
  <c r="Q30" i="1"/>
  <c r="M30" i="1"/>
  <c r="K30" i="1"/>
  <c r="N30" i="1" s="1"/>
  <c r="G30" i="1"/>
  <c r="H30" i="1" s="1"/>
  <c r="E30" i="1"/>
  <c r="C30" i="1"/>
  <c r="U27" i="1"/>
  <c r="V27" i="1" s="1"/>
  <c r="S27" i="1"/>
  <c r="Q27" i="1"/>
  <c r="M27" i="1"/>
  <c r="N27" i="1" s="1"/>
  <c r="K27" i="1"/>
  <c r="G27" i="1"/>
  <c r="E27" i="1"/>
  <c r="H27" i="1" s="1"/>
  <c r="C27" i="1"/>
  <c r="V26" i="1"/>
  <c r="X26" i="1" s="1"/>
  <c r="U26" i="1"/>
  <c r="S26" i="1"/>
  <c r="Q26" i="1"/>
  <c r="N26" i="1"/>
  <c r="M26" i="1"/>
  <c r="K26" i="1"/>
  <c r="G26" i="1"/>
  <c r="H26" i="1" s="1"/>
  <c r="E26" i="1"/>
  <c r="C26" i="1"/>
  <c r="U23" i="1"/>
  <c r="V23" i="1" s="1"/>
  <c r="S23" i="1"/>
  <c r="Q23" i="1"/>
  <c r="M23" i="1"/>
  <c r="N23" i="1" s="1"/>
  <c r="K23" i="1"/>
  <c r="H23" i="1"/>
  <c r="G23" i="1"/>
  <c r="E23" i="1"/>
  <c r="C23" i="1"/>
  <c r="U22" i="1"/>
  <c r="S22" i="1"/>
  <c r="V22" i="1" s="1"/>
  <c r="Q22" i="1"/>
  <c r="M22" i="1"/>
  <c r="K22" i="1"/>
  <c r="N22" i="1" s="1"/>
  <c r="G22" i="1"/>
  <c r="H22" i="1" s="1"/>
  <c r="E22" i="1"/>
  <c r="C22" i="1"/>
  <c r="U19" i="1"/>
  <c r="V19" i="1" s="1"/>
  <c r="S19" i="1"/>
  <c r="Q19" i="1"/>
  <c r="M19" i="1"/>
  <c r="N19" i="1" s="1"/>
  <c r="K19" i="1"/>
  <c r="G19" i="1"/>
  <c r="E19" i="1"/>
  <c r="H19" i="1" s="1"/>
  <c r="C19" i="1"/>
  <c r="V18" i="1"/>
  <c r="U18" i="1"/>
  <c r="S18" i="1"/>
  <c r="Q18" i="1"/>
  <c r="N18" i="1"/>
  <c r="M18" i="1"/>
  <c r="K18" i="1"/>
  <c r="G18" i="1"/>
  <c r="H18" i="1" s="1"/>
  <c r="E18" i="1"/>
  <c r="C18" i="1"/>
  <c r="U15" i="1"/>
  <c r="V15" i="1" s="1"/>
  <c r="S15" i="1"/>
  <c r="Q15" i="1"/>
  <c r="M15" i="1"/>
  <c r="N15" i="1" s="1"/>
  <c r="K15" i="1"/>
  <c r="H15" i="1"/>
  <c r="G15" i="1"/>
  <c r="E15" i="1"/>
  <c r="C15" i="1"/>
  <c r="U14" i="1"/>
  <c r="S14" i="1"/>
  <c r="V14" i="1" s="1"/>
  <c r="Q14" i="1"/>
  <c r="M14" i="1"/>
  <c r="K14" i="1"/>
  <c r="N14" i="1" s="1"/>
  <c r="H14" i="1"/>
  <c r="G14" i="1"/>
  <c r="E14" i="1"/>
  <c r="C14" i="1"/>
  <c r="U11" i="1"/>
  <c r="V11" i="1" s="1"/>
  <c r="S11" i="1"/>
  <c r="Q11" i="1"/>
  <c r="M11" i="1"/>
  <c r="N11" i="1" s="1"/>
  <c r="K11" i="1"/>
  <c r="G11" i="1"/>
  <c r="E11" i="1"/>
  <c r="H11" i="1" s="1"/>
  <c r="C11" i="1"/>
  <c r="V10" i="1"/>
  <c r="U10" i="1"/>
  <c r="S10" i="1"/>
  <c r="Q10" i="1"/>
  <c r="N10" i="1"/>
  <c r="M10" i="1"/>
  <c r="K10" i="1"/>
  <c r="G10" i="1"/>
  <c r="H10" i="1" s="1"/>
  <c r="E10" i="1"/>
  <c r="C10" i="1"/>
  <c r="V7" i="1"/>
  <c r="U7" i="1"/>
  <c r="S7" i="1"/>
  <c r="Q7" i="1"/>
  <c r="N7" i="1"/>
  <c r="M7" i="1"/>
  <c r="K7" i="1"/>
  <c r="H7" i="1"/>
  <c r="X7" i="1" s="1"/>
  <c r="G7" i="1"/>
  <c r="E7" i="1"/>
  <c r="C7" i="1"/>
  <c r="U6" i="1"/>
  <c r="S6" i="1"/>
  <c r="V6" i="1" s="1"/>
  <c r="Q6" i="1"/>
  <c r="M6" i="1"/>
  <c r="K6" i="1"/>
  <c r="N6" i="1" s="1"/>
  <c r="H6" i="1"/>
  <c r="G6" i="1"/>
  <c r="E6" i="1"/>
  <c r="C6" i="1"/>
  <c r="U3" i="1"/>
  <c r="V3" i="1" s="1"/>
  <c r="S3" i="1"/>
  <c r="Q3" i="1"/>
  <c r="M3" i="1"/>
  <c r="N3" i="1" s="1"/>
  <c r="K3" i="1"/>
  <c r="G3" i="1"/>
  <c r="E3" i="1"/>
  <c r="H3" i="1" s="1"/>
  <c r="C3" i="1"/>
  <c r="V2" i="1"/>
  <c r="X2" i="1" s="1"/>
  <c r="U2" i="1"/>
  <c r="S2" i="1"/>
  <c r="Q2" i="1"/>
  <c r="N2" i="1"/>
  <c r="M2" i="1"/>
  <c r="K2" i="1"/>
  <c r="G2" i="1"/>
  <c r="H2" i="1" s="1"/>
  <c r="E2" i="1"/>
  <c r="C2" i="1"/>
  <c r="X3" i="1" l="1"/>
  <c r="X15" i="1"/>
  <c r="X10" i="1"/>
  <c r="X11" i="1"/>
  <c r="X14" i="1"/>
  <c r="X18" i="1"/>
  <c r="X19" i="1"/>
  <c r="X31" i="1"/>
  <c r="X23" i="1"/>
  <c r="X6" i="1"/>
  <c r="X30" i="1"/>
  <c r="X35" i="1"/>
  <c r="X38" i="1"/>
  <c r="X22" i="1"/>
  <c r="X27" i="1"/>
  <c r="X39" i="1"/>
</calcChain>
</file>

<file path=xl/sharedStrings.xml><?xml version="1.0" encoding="utf-8"?>
<sst xmlns="http://schemas.openxmlformats.org/spreadsheetml/2006/main" count="254" uniqueCount="67">
  <si>
    <t>Date</t>
  </si>
  <si>
    <t>NF</t>
  </si>
  <si>
    <t>Diff</t>
  </si>
  <si>
    <t>81 C</t>
  </si>
  <si>
    <t>81 P</t>
  </si>
  <si>
    <t>Net</t>
  </si>
  <si>
    <t>82 C</t>
  </si>
  <si>
    <t>80 P</t>
  </si>
  <si>
    <t>18 C</t>
  </si>
  <si>
    <t>18 P</t>
  </si>
  <si>
    <t>Total</t>
  </si>
  <si>
    <t>86 C</t>
  </si>
  <si>
    <t>86 P</t>
  </si>
  <si>
    <t>87 C</t>
  </si>
  <si>
    <t>85 P</t>
  </si>
  <si>
    <t>195 C</t>
  </si>
  <si>
    <t>195 P</t>
  </si>
  <si>
    <t>89 C</t>
  </si>
  <si>
    <t>89 P</t>
  </si>
  <si>
    <t>905 C</t>
  </si>
  <si>
    <t>885 P</t>
  </si>
  <si>
    <t>209 C</t>
  </si>
  <si>
    <t>209 P</t>
  </si>
  <si>
    <t>92 C</t>
  </si>
  <si>
    <t>92 P</t>
  </si>
  <si>
    <t>93 C</t>
  </si>
  <si>
    <t>91 P</t>
  </si>
  <si>
    <t>216 C</t>
  </si>
  <si>
    <t>216 P</t>
  </si>
  <si>
    <t>93 P</t>
  </si>
  <si>
    <t>945 C</t>
  </si>
  <si>
    <t>925 P</t>
  </si>
  <si>
    <t>223 C</t>
  </si>
  <si>
    <t>223 P</t>
  </si>
  <si>
    <t>95 C</t>
  </si>
  <si>
    <t>95 P</t>
  </si>
  <si>
    <t>96 C</t>
  </si>
  <si>
    <t>94 P</t>
  </si>
  <si>
    <t>232 C</t>
  </si>
  <si>
    <t>232 P</t>
  </si>
  <si>
    <t>100 C</t>
  </si>
  <si>
    <t>100 P</t>
  </si>
  <si>
    <t>101 C</t>
  </si>
  <si>
    <t>99 P</t>
  </si>
  <si>
    <t>249 C</t>
  </si>
  <si>
    <t>249 P</t>
  </si>
  <si>
    <t>99 C</t>
  </si>
  <si>
    <t>98 P</t>
  </si>
  <si>
    <t>243 C</t>
  </si>
  <si>
    <t>243 P</t>
  </si>
  <si>
    <t>98 C</t>
  </si>
  <si>
    <t>97 P</t>
  </si>
  <si>
    <t>BNF</t>
  </si>
  <si>
    <t>242 C</t>
  </si>
  <si>
    <t>242 P</t>
  </si>
  <si>
    <t>103 C</t>
  </si>
  <si>
    <t>103 P</t>
  </si>
  <si>
    <t>104 C</t>
  </si>
  <si>
    <t>102 P</t>
  </si>
  <si>
    <t>25 C</t>
  </si>
  <si>
    <t xml:space="preserve">25 P </t>
  </si>
  <si>
    <t>255 C</t>
  </si>
  <si>
    <t>255 P</t>
  </si>
  <si>
    <t>105 C</t>
  </si>
  <si>
    <t>105 P</t>
  </si>
  <si>
    <t>106 C</t>
  </si>
  <si>
    <t>104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</si>
</sst>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tabSelected="1" topLeftCell="A40" workbookViewId="0">
      <selection activeCell="X52" sqref="X52"/>
    </sheetView>
  </sheetViews>
  <sheetFormatPr defaultRowHeight="15" x14ac:dyDescent="0.25"/>
  <cols>
    <col min="1" max="1" width="7.42578125" style="2" bestFit="1" customWidth="1"/>
    <col min="2" max="2" width="6" style="2" bestFit="1" customWidth="1"/>
    <col min="3" max="3" width="4.7109375" style="2" bestFit="1" customWidth="1"/>
    <col min="4" max="4" width="5.5703125" style="2" bestFit="1" customWidth="1"/>
    <col min="5" max="5" width="5.7109375" style="2" bestFit="1" customWidth="1"/>
    <col min="6" max="6" width="5.5703125" style="2" bestFit="1" customWidth="1"/>
    <col min="7" max="8" width="4.7109375" style="2" bestFit="1" customWidth="1"/>
    <col min="9" max="9" width="9.140625" style="2"/>
    <col min="10" max="10" width="6.5703125" style="2" bestFit="1" customWidth="1"/>
    <col min="11" max="11" width="4.7109375" style="2" bestFit="1" customWidth="1"/>
    <col min="12" max="12" width="5.5703125" style="2" bestFit="1" customWidth="1"/>
    <col min="13" max="13" width="4.28515625" style="2" bestFit="1" customWidth="1"/>
    <col min="14" max="14" width="4.7109375" style="2" bestFit="1" customWidth="1"/>
    <col min="15" max="15" width="9.140625" style="2"/>
    <col min="16" max="16" width="6" style="2" bestFit="1" customWidth="1"/>
    <col min="17" max="17" width="5" style="2" bestFit="1" customWidth="1"/>
    <col min="18" max="18" width="5.5703125" style="2" bestFit="1" customWidth="1"/>
    <col min="19" max="19" width="5" style="2" bestFit="1" customWidth="1"/>
    <col min="20" max="20" width="5.5703125" style="2" bestFit="1" customWidth="1"/>
    <col min="21" max="22" width="4.7109375" style="2" bestFit="1" customWidth="1"/>
    <col min="23" max="23" width="9.140625" style="2"/>
    <col min="24" max="24" width="7.7109375" style="2" bestFit="1" customWidth="1"/>
    <col min="25" max="16384" width="9.140625" style="2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/>
      <c r="J1" s="1" t="s">
        <v>6</v>
      </c>
      <c r="K1" s="1" t="s">
        <v>2</v>
      </c>
      <c r="L1" s="1" t="s">
        <v>7</v>
      </c>
      <c r="M1" s="1" t="s">
        <v>2</v>
      </c>
      <c r="N1" s="1" t="s">
        <v>5</v>
      </c>
      <c r="O1" s="1"/>
      <c r="P1" s="1"/>
      <c r="Q1" s="1"/>
      <c r="R1" s="1" t="s">
        <v>8</v>
      </c>
      <c r="S1" s="1" t="s">
        <v>2</v>
      </c>
      <c r="T1" s="1" t="s">
        <v>9</v>
      </c>
      <c r="U1" s="1" t="s">
        <v>2</v>
      </c>
      <c r="V1" s="1" t="s">
        <v>5</v>
      </c>
      <c r="W1" s="1"/>
      <c r="X1" s="1" t="s">
        <v>10</v>
      </c>
      <c r="Y1" s="1"/>
    </row>
    <row r="2" spans="1:28" x14ac:dyDescent="0.25">
      <c r="A2" s="3">
        <v>43098</v>
      </c>
      <c r="B2" s="1">
        <v>8103</v>
      </c>
      <c r="C2" s="1">
        <f>B2-8103</f>
        <v>0</v>
      </c>
      <c r="D2" s="1">
        <v>208</v>
      </c>
      <c r="E2" s="1">
        <f>D2-208</f>
        <v>0</v>
      </c>
      <c r="F2" s="1">
        <v>174</v>
      </c>
      <c r="G2" s="1">
        <f>F2-174</f>
        <v>0</v>
      </c>
      <c r="H2" s="1">
        <f>G2+E2</f>
        <v>0</v>
      </c>
      <c r="I2" s="1"/>
      <c r="J2" s="1">
        <v>78</v>
      </c>
      <c r="K2" s="1">
        <f>78-J2</f>
        <v>0</v>
      </c>
      <c r="L2" s="1">
        <v>80</v>
      </c>
      <c r="M2" s="1">
        <f>80-L2</f>
        <v>0</v>
      </c>
      <c r="N2" s="1">
        <f>M2+K2</f>
        <v>0</v>
      </c>
      <c r="O2" s="1"/>
      <c r="P2" s="1">
        <v>18033</v>
      </c>
      <c r="Q2" s="1">
        <f>P2-18033</f>
        <v>0</v>
      </c>
      <c r="R2" s="1">
        <v>375</v>
      </c>
      <c r="S2" s="1">
        <f>R2-375</f>
        <v>0</v>
      </c>
      <c r="T2" s="1">
        <v>305</v>
      </c>
      <c r="U2" s="1">
        <f>T2-305</f>
        <v>0</v>
      </c>
      <c r="V2" s="1">
        <f>U2+S2</f>
        <v>0</v>
      </c>
      <c r="W2" s="1"/>
      <c r="X2" s="4">
        <f>V2*160+N2*675+H2*675</f>
        <v>0</v>
      </c>
      <c r="Y2" s="4"/>
      <c r="Z2" s="2">
        <v>79800</v>
      </c>
      <c r="AA2" s="2">
        <v>1440</v>
      </c>
      <c r="AB2" s="2">
        <v>500</v>
      </c>
    </row>
    <row r="3" spans="1:28" x14ac:dyDescent="0.25">
      <c r="A3" s="3">
        <v>42760</v>
      </c>
      <c r="B3" s="1">
        <v>8603</v>
      </c>
      <c r="C3" s="1">
        <f>B3-8103</f>
        <v>500</v>
      </c>
      <c r="D3" s="1">
        <v>527</v>
      </c>
      <c r="E3" s="1">
        <f>D3-208</f>
        <v>319</v>
      </c>
      <c r="F3" s="1">
        <v>21</v>
      </c>
      <c r="G3" s="1">
        <f>F3-174</f>
        <v>-153</v>
      </c>
      <c r="H3" s="1">
        <f>G3+E3</f>
        <v>166</v>
      </c>
      <c r="I3" s="1"/>
      <c r="J3" s="1">
        <v>396</v>
      </c>
      <c r="K3" s="1">
        <f>78-J3</f>
        <v>-318</v>
      </c>
      <c r="L3" s="1">
        <v>0</v>
      </c>
      <c r="M3" s="1">
        <f>80-L3</f>
        <v>80</v>
      </c>
      <c r="N3" s="1">
        <f>M3+K3</f>
        <v>-238</v>
      </c>
      <c r="O3" s="1"/>
      <c r="P3" s="1">
        <v>19473</v>
      </c>
      <c r="Q3" s="1">
        <f>P3-18033</f>
        <v>1440</v>
      </c>
      <c r="R3" s="1">
        <v>1448</v>
      </c>
      <c r="S3" s="1">
        <f>R3-375</f>
        <v>1073</v>
      </c>
      <c r="T3" s="1">
        <v>0</v>
      </c>
      <c r="U3" s="1">
        <f>T3-305</f>
        <v>-305</v>
      </c>
      <c r="V3" s="1">
        <f>U3+S3</f>
        <v>768</v>
      </c>
      <c r="W3" s="1"/>
      <c r="X3" s="4">
        <f>V3*160+N3*600+H3*600</f>
        <v>79680</v>
      </c>
      <c r="Y3" s="4"/>
      <c r="Z3" s="2">
        <v>76320</v>
      </c>
      <c r="AA3" s="2">
        <v>1403</v>
      </c>
      <c r="AB3" s="2">
        <v>336</v>
      </c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>
        <v>10680</v>
      </c>
      <c r="AA4" s="2">
        <v>744</v>
      </c>
      <c r="AB4" s="2">
        <v>235</v>
      </c>
    </row>
    <row r="5" spans="1:28" x14ac:dyDescent="0.25">
      <c r="A5" s="1" t="s">
        <v>0</v>
      </c>
      <c r="B5" s="1" t="s">
        <v>1</v>
      </c>
      <c r="C5" s="1" t="s">
        <v>2</v>
      </c>
      <c r="D5" s="1" t="s">
        <v>11</v>
      </c>
      <c r="E5" s="1" t="s">
        <v>2</v>
      </c>
      <c r="F5" s="1" t="s">
        <v>12</v>
      </c>
      <c r="G5" s="1" t="s">
        <v>2</v>
      </c>
      <c r="H5" s="1" t="s">
        <v>5</v>
      </c>
      <c r="I5" s="1"/>
      <c r="J5" s="1" t="s">
        <v>13</v>
      </c>
      <c r="K5" s="1" t="s">
        <v>2</v>
      </c>
      <c r="L5" s="1" t="s">
        <v>14</v>
      </c>
      <c r="M5" s="1" t="s">
        <v>2</v>
      </c>
      <c r="N5" s="1" t="s">
        <v>5</v>
      </c>
      <c r="O5" s="1"/>
      <c r="P5" s="1"/>
      <c r="Q5" s="1"/>
      <c r="R5" s="1" t="s">
        <v>15</v>
      </c>
      <c r="S5" s="1" t="s">
        <v>2</v>
      </c>
      <c r="T5" s="1" t="s">
        <v>16</v>
      </c>
      <c r="U5" s="1" t="s">
        <v>2</v>
      </c>
      <c r="V5" s="1" t="s">
        <v>5</v>
      </c>
      <c r="W5" s="1"/>
      <c r="X5" s="1" t="s">
        <v>10</v>
      </c>
      <c r="Y5" s="1"/>
      <c r="Z5" s="2">
        <v>23080</v>
      </c>
      <c r="AA5" s="2">
        <v>706</v>
      </c>
      <c r="AB5" s="2">
        <v>168</v>
      </c>
    </row>
    <row r="6" spans="1:28" x14ac:dyDescent="0.25">
      <c r="A6" s="3">
        <v>42760</v>
      </c>
      <c r="B6" s="1">
        <v>8603</v>
      </c>
      <c r="C6" s="1">
        <f>B6-8603</f>
        <v>0</v>
      </c>
      <c r="D6" s="1">
        <v>246</v>
      </c>
      <c r="E6" s="1">
        <f>D6-246</f>
        <v>0</v>
      </c>
      <c r="F6" s="1">
        <v>146</v>
      </c>
      <c r="G6" s="1">
        <f>F6-146</f>
        <v>0</v>
      </c>
      <c r="H6" s="1">
        <f>G6+E6</f>
        <v>0</v>
      </c>
      <c r="I6" s="1"/>
      <c r="J6" s="1">
        <v>91</v>
      </c>
      <c r="K6" s="1">
        <f>91-J6</f>
        <v>0</v>
      </c>
      <c r="L6" s="1">
        <v>94</v>
      </c>
      <c r="M6" s="1">
        <f>94-L6</f>
        <v>0</v>
      </c>
      <c r="N6" s="1">
        <f>M6+K6</f>
        <v>0</v>
      </c>
      <c r="O6" s="1"/>
      <c r="P6" s="1">
        <v>19473</v>
      </c>
      <c r="Q6" s="1">
        <f>P6-19473</f>
        <v>0</v>
      </c>
      <c r="R6" s="1">
        <v>403</v>
      </c>
      <c r="S6" s="1">
        <f>R6-403</f>
        <v>0</v>
      </c>
      <c r="T6" s="1">
        <v>380</v>
      </c>
      <c r="U6" s="1">
        <f>T6-380</f>
        <v>0</v>
      </c>
      <c r="V6" s="1">
        <f>U6+S6</f>
        <v>0</v>
      </c>
      <c r="W6" s="1"/>
      <c r="X6" s="4">
        <f>V6*160+N6*600+H6*600</f>
        <v>0</v>
      </c>
      <c r="Y6" s="4"/>
      <c r="Z6" s="2">
        <v>62160</v>
      </c>
      <c r="AA6" s="2">
        <v>864</v>
      </c>
      <c r="AB6" s="2">
        <v>167</v>
      </c>
    </row>
    <row r="7" spans="1:28" x14ac:dyDescent="0.25">
      <c r="A7" s="3">
        <v>42789</v>
      </c>
      <c r="B7" s="1">
        <v>8939</v>
      </c>
      <c r="C7" s="1">
        <f>B7-8603</f>
        <v>336</v>
      </c>
      <c r="D7" s="1">
        <v>384</v>
      </c>
      <c r="E7" s="1">
        <f>D7-246</f>
        <v>138</v>
      </c>
      <c r="F7" s="1">
        <v>37</v>
      </c>
      <c r="G7" s="1">
        <f>F7-146</f>
        <v>-109</v>
      </c>
      <c r="H7" s="1">
        <f>G7+E7</f>
        <v>29</v>
      </c>
      <c r="I7" s="1"/>
      <c r="J7" s="1">
        <v>238</v>
      </c>
      <c r="K7" s="1">
        <f>91-J7</f>
        <v>-147</v>
      </c>
      <c r="L7" s="1">
        <v>0</v>
      </c>
      <c r="M7" s="1">
        <f>94-L7</f>
        <v>94</v>
      </c>
      <c r="N7" s="1">
        <f>M7+K7</f>
        <v>-53</v>
      </c>
      <c r="O7" s="1"/>
      <c r="P7" s="1">
        <v>20876</v>
      </c>
      <c r="Q7" s="1">
        <f>P7-19473</f>
        <v>1403</v>
      </c>
      <c r="R7" s="1">
        <v>1350</v>
      </c>
      <c r="S7" s="1">
        <f>R7-403</f>
        <v>947</v>
      </c>
      <c r="T7" s="1">
        <v>0</v>
      </c>
      <c r="U7" s="1">
        <f>T7-380</f>
        <v>-380</v>
      </c>
      <c r="V7" s="1">
        <f>U7+S7</f>
        <v>567</v>
      </c>
      <c r="W7" s="1"/>
      <c r="X7" s="4">
        <f>V7*160+N7*600+H7*600</f>
        <v>76320</v>
      </c>
      <c r="Y7" s="4"/>
      <c r="Z7" s="2">
        <v>-85040</v>
      </c>
      <c r="AA7" s="2">
        <v>37</v>
      </c>
      <c r="AB7" s="2">
        <v>-5</v>
      </c>
    </row>
    <row r="8" spans="1:2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>
        <v>142000</v>
      </c>
      <c r="AA8" s="2">
        <v>1732</v>
      </c>
      <c r="AB8" s="2">
        <v>516</v>
      </c>
    </row>
    <row r="9" spans="1:28" x14ac:dyDescent="0.25">
      <c r="A9" s="1" t="s">
        <v>0</v>
      </c>
      <c r="B9" s="1" t="s">
        <v>1</v>
      </c>
      <c r="C9" s="1" t="s">
        <v>2</v>
      </c>
      <c r="D9" s="1" t="s">
        <v>17</v>
      </c>
      <c r="E9" s="1" t="s">
        <v>2</v>
      </c>
      <c r="F9" s="1" t="s">
        <v>18</v>
      </c>
      <c r="G9" s="1" t="s">
        <v>2</v>
      </c>
      <c r="H9" s="1" t="s">
        <v>5</v>
      </c>
      <c r="I9" s="1"/>
      <c r="J9" s="1" t="s">
        <v>19</v>
      </c>
      <c r="K9" s="1" t="s">
        <v>2</v>
      </c>
      <c r="L9" s="1" t="s">
        <v>20</v>
      </c>
      <c r="M9" s="1" t="s">
        <v>2</v>
      </c>
      <c r="N9" s="1" t="s">
        <v>5</v>
      </c>
      <c r="O9" s="1"/>
      <c r="P9" s="1"/>
      <c r="Q9" s="1"/>
      <c r="R9" s="1" t="s">
        <v>21</v>
      </c>
      <c r="S9" s="1" t="s">
        <v>2</v>
      </c>
      <c r="T9" s="1" t="s">
        <v>22</v>
      </c>
      <c r="U9" s="1" t="s">
        <v>2</v>
      </c>
      <c r="V9" s="1" t="s">
        <v>5</v>
      </c>
      <c r="W9" s="1"/>
      <c r="X9" s="1" t="s">
        <v>10</v>
      </c>
      <c r="Y9" s="1"/>
      <c r="Z9" s="2">
        <v>-35160</v>
      </c>
      <c r="AA9" s="2">
        <v>-604</v>
      </c>
      <c r="AB9" s="2">
        <v>-102</v>
      </c>
    </row>
    <row r="10" spans="1:28" x14ac:dyDescent="0.25">
      <c r="A10" s="3">
        <v>42789</v>
      </c>
      <c r="B10" s="1">
        <v>8939</v>
      </c>
      <c r="C10" s="1">
        <f>B10-8939</f>
        <v>0</v>
      </c>
      <c r="D10" s="1">
        <v>231</v>
      </c>
      <c r="E10" s="1">
        <f>D10-231</f>
        <v>0</v>
      </c>
      <c r="F10" s="1">
        <v>139</v>
      </c>
      <c r="G10" s="1">
        <f>F10-139</f>
        <v>0</v>
      </c>
      <c r="H10" s="1">
        <f>G10+E10</f>
        <v>0</v>
      </c>
      <c r="I10" s="1"/>
      <c r="J10" s="1">
        <v>88</v>
      </c>
      <c r="K10" s="1">
        <f>88-J10</f>
        <v>0</v>
      </c>
      <c r="L10" s="1">
        <v>93</v>
      </c>
      <c r="M10" s="1">
        <f>93-L10</f>
        <v>0</v>
      </c>
      <c r="N10" s="1">
        <f>M10+K10</f>
        <v>0</v>
      </c>
      <c r="O10" s="1"/>
      <c r="P10" s="1">
        <v>20876</v>
      </c>
      <c r="Q10" s="1">
        <f>P10-20876</f>
        <v>0</v>
      </c>
      <c r="R10" s="1">
        <v>372</v>
      </c>
      <c r="S10" s="1">
        <f>R10-372</f>
        <v>0</v>
      </c>
      <c r="T10" s="1">
        <v>412</v>
      </c>
      <c r="U10" s="1">
        <f>T10-412</f>
        <v>0</v>
      </c>
      <c r="V10" s="1">
        <f>U10+S10</f>
        <v>0</v>
      </c>
      <c r="W10" s="1"/>
      <c r="X10" s="4">
        <f>V10*160+N10*600+H10*600</f>
        <v>0</v>
      </c>
      <c r="Y10" s="4"/>
      <c r="Z10" s="2">
        <v>-19840</v>
      </c>
      <c r="AA10" s="2">
        <v>532</v>
      </c>
      <c r="AB10" s="2">
        <v>-149</v>
      </c>
    </row>
    <row r="11" spans="1:28" x14ac:dyDescent="0.25">
      <c r="A11" s="3">
        <v>42824</v>
      </c>
      <c r="B11" s="1">
        <v>9174</v>
      </c>
      <c r="C11" s="1">
        <f>B11-8939</f>
        <v>235</v>
      </c>
      <c r="D11" s="1">
        <v>317</v>
      </c>
      <c r="E11" s="1">
        <f>D11-231</f>
        <v>86</v>
      </c>
      <c r="F11" s="1">
        <v>33</v>
      </c>
      <c r="G11" s="1">
        <f>F11-139</f>
        <v>-106</v>
      </c>
      <c r="H11" s="1">
        <f>G11+E11</f>
        <v>-20</v>
      </c>
      <c r="I11" s="1"/>
      <c r="J11" s="1">
        <v>120</v>
      </c>
      <c r="K11" s="1">
        <f>88-J11</f>
        <v>-32</v>
      </c>
      <c r="L11" s="1">
        <v>0</v>
      </c>
      <c r="M11" s="1">
        <f>93-L11</f>
        <v>93</v>
      </c>
      <c r="N11" s="1">
        <f>M11+K11</f>
        <v>61</v>
      </c>
      <c r="O11" s="1"/>
      <c r="P11" s="1">
        <v>21620</v>
      </c>
      <c r="Q11" s="1">
        <f>P11-20876</f>
        <v>744</v>
      </c>
      <c r="R11" s="1">
        <v>697</v>
      </c>
      <c r="S11" s="1">
        <f>R11-372</f>
        <v>325</v>
      </c>
      <c r="T11" s="1">
        <v>0</v>
      </c>
      <c r="U11" s="1">
        <f>T11-412</f>
        <v>-412</v>
      </c>
      <c r="V11" s="1">
        <f>U11+S11</f>
        <v>-87</v>
      </c>
      <c r="W11" s="1"/>
      <c r="X11" s="4">
        <f>V11*160+N11*600+H11*600</f>
        <v>10680</v>
      </c>
      <c r="Y11" s="4"/>
      <c r="Z11" s="2">
        <v>28400</v>
      </c>
      <c r="AA11" s="2">
        <v>816</v>
      </c>
      <c r="AB11" s="2">
        <v>397</v>
      </c>
    </row>
    <row r="12" spans="1:2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>
        <v>-21400</v>
      </c>
      <c r="AA12" s="2">
        <v>540</v>
      </c>
      <c r="AB12" s="2">
        <v>-26</v>
      </c>
    </row>
    <row r="13" spans="1:28" x14ac:dyDescent="0.25">
      <c r="A13" s="1" t="s">
        <v>0</v>
      </c>
      <c r="B13" s="1" t="s">
        <v>1</v>
      </c>
      <c r="C13" s="1" t="s">
        <v>2</v>
      </c>
      <c r="D13" s="1" t="s">
        <v>23</v>
      </c>
      <c r="E13" s="1" t="s">
        <v>2</v>
      </c>
      <c r="F13" s="1" t="s">
        <v>24</v>
      </c>
      <c r="G13" s="1" t="s">
        <v>2</v>
      </c>
      <c r="H13" s="1" t="s">
        <v>5</v>
      </c>
      <c r="I13" s="1"/>
      <c r="J13" s="1" t="s">
        <v>25</v>
      </c>
      <c r="K13" s="1" t="s">
        <v>2</v>
      </c>
      <c r="L13" s="1" t="s">
        <v>26</v>
      </c>
      <c r="M13" s="1" t="s">
        <v>2</v>
      </c>
      <c r="N13" s="1" t="s">
        <v>5</v>
      </c>
      <c r="O13" s="1"/>
      <c r="P13" s="1"/>
      <c r="Q13" s="1"/>
      <c r="R13" s="1" t="s">
        <v>27</v>
      </c>
      <c r="S13" s="1" t="s">
        <v>2</v>
      </c>
      <c r="T13" s="1" t="s">
        <v>28</v>
      </c>
      <c r="U13" s="1" t="s">
        <v>2</v>
      </c>
      <c r="V13" s="1" t="s">
        <v>5</v>
      </c>
      <c r="W13" s="1"/>
      <c r="X13" s="1" t="s">
        <v>10</v>
      </c>
      <c r="Y13" s="1"/>
      <c r="Z13" s="2">
        <v>-108800</v>
      </c>
      <c r="AA13" s="2">
        <v>30</v>
      </c>
      <c r="AB13" s="2">
        <v>184</v>
      </c>
    </row>
    <row r="14" spans="1:28" x14ac:dyDescent="0.25">
      <c r="A14" s="3">
        <v>42824</v>
      </c>
      <c r="B14" s="1">
        <v>9174</v>
      </c>
      <c r="C14" s="1">
        <f>B14-9174</f>
        <v>0</v>
      </c>
      <c r="D14" s="1">
        <v>172</v>
      </c>
      <c r="E14" s="1">
        <f>D14-172</f>
        <v>0</v>
      </c>
      <c r="F14" s="1">
        <v>159</v>
      </c>
      <c r="G14" s="1">
        <f>F14-159</f>
        <v>0</v>
      </c>
      <c r="H14" s="1">
        <f>G14+E14</f>
        <v>0</v>
      </c>
      <c r="I14" s="1"/>
      <c r="J14" s="1">
        <v>61</v>
      </c>
      <c r="K14" s="1">
        <f>61-J14</f>
        <v>0</v>
      </c>
      <c r="L14" s="1">
        <v>79</v>
      </c>
      <c r="M14" s="1">
        <f>79-L14</f>
        <v>0</v>
      </c>
      <c r="N14" s="1">
        <f>M14+K14</f>
        <v>0</v>
      </c>
      <c r="O14" s="1"/>
      <c r="P14" s="1">
        <v>21620</v>
      </c>
      <c r="Q14" s="1">
        <f>P14-21620</f>
        <v>0</v>
      </c>
      <c r="R14" s="1">
        <v>313</v>
      </c>
      <c r="S14" s="1">
        <f>R14-313</f>
        <v>0</v>
      </c>
      <c r="T14" s="1">
        <v>372</v>
      </c>
      <c r="U14" s="1">
        <f>T14-372</f>
        <v>0</v>
      </c>
      <c r="V14" s="1">
        <f>U14+S14</f>
        <v>0</v>
      </c>
      <c r="W14" s="1"/>
      <c r="X14" s="4">
        <f>V14*160+N14*600+H14*600</f>
        <v>0</v>
      </c>
      <c r="Y14" s="4"/>
    </row>
    <row r="15" spans="1:28" x14ac:dyDescent="0.25">
      <c r="A15" s="3">
        <v>42852</v>
      </c>
      <c r="B15" s="1">
        <v>9342</v>
      </c>
      <c r="C15" s="1">
        <f>B15-9174</f>
        <v>168</v>
      </c>
      <c r="D15" s="1">
        <v>204</v>
      </c>
      <c r="E15" s="1">
        <f>D15-172</f>
        <v>32</v>
      </c>
      <c r="F15" s="1">
        <v>53</v>
      </c>
      <c r="G15" s="1">
        <f>F15-159</f>
        <v>-106</v>
      </c>
      <c r="H15" s="1">
        <f>G15+E15</f>
        <v>-74</v>
      </c>
      <c r="I15" s="1"/>
      <c r="J15" s="1">
        <v>39</v>
      </c>
      <c r="K15" s="1">
        <f>61-J15</f>
        <v>22</v>
      </c>
      <c r="L15" s="1">
        <v>0</v>
      </c>
      <c r="M15" s="1">
        <f>79-L15</f>
        <v>79</v>
      </c>
      <c r="N15" s="1">
        <f>M15+K15</f>
        <v>101</v>
      </c>
      <c r="O15" s="1"/>
      <c r="P15" s="1">
        <v>22326</v>
      </c>
      <c r="Q15" s="1">
        <f>P15-21620</f>
        <v>706</v>
      </c>
      <c r="R15" s="1">
        <v>728</v>
      </c>
      <c r="S15" s="1">
        <f>R15-313</f>
        <v>415</v>
      </c>
      <c r="T15" s="1">
        <v>0</v>
      </c>
      <c r="U15" s="1">
        <f>T15-372</f>
        <v>-372</v>
      </c>
      <c r="V15" s="1">
        <f>U15+S15</f>
        <v>43</v>
      </c>
      <c r="W15" s="1"/>
      <c r="X15" s="4">
        <f>V15*160+N15*600+H15*600</f>
        <v>23080</v>
      </c>
      <c r="Y15" s="4"/>
    </row>
    <row r="16" spans="1:2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 t="s">
        <v>0</v>
      </c>
      <c r="B17" s="1" t="s">
        <v>1</v>
      </c>
      <c r="C17" s="1" t="s">
        <v>2</v>
      </c>
      <c r="D17" s="1" t="s">
        <v>25</v>
      </c>
      <c r="E17" s="1" t="s">
        <v>2</v>
      </c>
      <c r="F17" s="1" t="s">
        <v>29</v>
      </c>
      <c r="G17" s="1" t="s">
        <v>2</v>
      </c>
      <c r="H17" s="1" t="s">
        <v>5</v>
      </c>
      <c r="I17" s="1"/>
      <c r="J17" s="1" t="s">
        <v>30</v>
      </c>
      <c r="K17" s="1" t="s">
        <v>2</v>
      </c>
      <c r="L17" s="1" t="s">
        <v>31</v>
      </c>
      <c r="M17" s="1" t="s">
        <v>2</v>
      </c>
      <c r="N17" s="1" t="s">
        <v>5</v>
      </c>
      <c r="O17" s="1"/>
      <c r="P17" s="1"/>
      <c r="Q17" s="1"/>
      <c r="R17" s="1" t="s">
        <v>32</v>
      </c>
      <c r="S17" s="1" t="s">
        <v>2</v>
      </c>
      <c r="T17" s="1" t="s">
        <v>33</v>
      </c>
      <c r="U17" s="1" t="s">
        <v>2</v>
      </c>
      <c r="V17" s="1" t="s">
        <v>5</v>
      </c>
      <c r="W17" s="1"/>
      <c r="X17" s="1" t="s">
        <v>10</v>
      </c>
      <c r="Y17" s="1"/>
    </row>
    <row r="18" spans="1:25" x14ac:dyDescent="0.25">
      <c r="A18" s="3">
        <v>42852</v>
      </c>
      <c r="B18" s="1">
        <v>9342</v>
      </c>
      <c r="C18" s="1">
        <f>B18-9342</f>
        <v>0</v>
      </c>
      <c r="D18" s="1">
        <v>186</v>
      </c>
      <c r="E18" s="1">
        <f>D18-186</f>
        <v>0</v>
      </c>
      <c r="F18" s="1">
        <v>132</v>
      </c>
      <c r="G18" s="1">
        <f>F18-132</f>
        <v>0</v>
      </c>
      <c r="H18" s="1">
        <f>G18+E18</f>
        <v>0</v>
      </c>
      <c r="I18" s="1"/>
      <c r="J18" s="1">
        <v>57</v>
      </c>
      <c r="K18" s="1">
        <f>57-J18</f>
        <v>0</v>
      </c>
      <c r="L18" s="1">
        <v>66</v>
      </c>
      <c r="M18" s="1">
        <f>66-L18</f>
        <v>0</v>
      </c>
      <c r="N18" s="1">
        <f>M18+K18</f>
        <v>0</v>
      </c>
      <c r="O18" s="1"/>
      <c r="P18" s="1">
        <v>22326</v>
      </c>
      <c r="Q18" s="1">
        <f>P18-22326</f>
        <v>0</v>
      </c>
      <c r="R18" s="1">
        <v>319</v>
      </c>
      <c r="S18" s="1">
        <f>R18-319</f>
        <v>0</v>
      </c>
      <c r="T18" s="1">
        <v>323</v>
      </c>
      <c r="U18" s="1">
        <f>T18-323</f>
        <v>0</v>
      </c>
      <c r="V18" s="1">
        <f>U18+S18</f>
        <v>0</v>
      </c>
      <c r="W18" s="1"/>
      <c r="X18" s="4">
        <f>V18*160+N18*600+H18*600</f>
        <v>0</v>
      </c>
      <c r="Y18" s="4"/>
    </row>
    <row r="19" spans="1:25" x14ac:dyDescent="0.25">
      <c r="A19" s="3">
        <v>42880</v>
      </c>
      <c r="B19" s="1">
        <v>9509</v>
      </c>
      <c r="C19" s="1">
        <f>B19-9342</f>
        <v>167</v>
      </c>
      <c r="D19" s="1">
        <v>241</v>
      </c>
      <c r="E19" s="1">
        <f>D19-186</f>
        <v>55</v>
      </c>
      <c r="F19" s="1">
        <v>50</v>
      </c>
      <c r="G19" s="1">
        <f>F19-132</f>
        <v>-82</v>
      </c>
      <c r="H19" s="1">
        <f>G19+E19</f>
        <v>-27</v>
      </c>
      <c r="I19" s="1"/>
      <c r="J19" s="1">
        <v>54</v>
      </c>
      <c r="K19" s="1">
        <f>57-J19</f>
        <v>3</v>
      </c>
      <c r="L19" s="1">
        <v>0</v>
      </c>
      <c r="M19" s="1">
        <f>66-L19</f>
        <v>66</v>
      </c>
      <c r="N19" s="1">
        <f>M19+K19</f>
        <v>69</v>
      </c>
      <c r="O19" s="1"/>
      <c r="P19" s="1">
        <v>23190</v>
      </c>
      <c r="Q19" s="1">
        <f>P19-22326</f>
        <v>864</v>
      </c>
      <c r="R19" s="1">
        <v>873</v>
      </c>
      <c r="S19" s="1">
        <f>R19-319</f>
        <v>554</v>
      </c>
      <c r="T19" s="1">
        <v>0</v>
      </c>
      <c r="U19" s="1">
        <f>T19-323</f>
        <v>-323</v>
      </c>
      <c r="V19" s="1">
        <f>U19+S19</f>
        <v>231</v>
      </c>
      <c r="W19" s="1"/>
      <c r="X19" s="4">
        <f>V19*160+N19*600+H19*600</f>
        <v>62160</v>
      </c>
      <c r="Y19" s="4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 t="s">
        <v>0</v>
      </c>
      <c r="B21" s="1" t="s">
        <v>1</v>
      </c>
      <c r="C21" s="1" t="s">
        <v>2</v>
      </c>
      <c r="D21" s="1" t="s">
        <v>34</v>
      </c>
      <c r="E21" s="1" t="s">
        <v>2</v>
      </c>
      <c r="F21" s="1" t="s">
        <v>35</v>
      </c>
      <c r="G21" s="1" t="s">
        <v>2</v>
      </c>
      <c r="H21" s="1" t="s">
        <v>5</v>
      </c>
      <c r="I21" s="1"/>
      <c r="J21" s="1" t="s">
        <v>36</v>
      </c>
      <c r="K21" s="1" t="s">
        <v>2</v>
      </c>
      <c r="L21" s="1" t="s">
        <v>37</v>
      </c>
      <c r="M21" s="1" t="s">
        <v>2</v>
      </c>
      <c r="N21" s="1" t="s">
        <v>5</v>
      </c>
      <c r="O21" s="1"/>
      <c r="P21" s="1"/>
      <c r="Q21" s="1"/>
      <c r="R21" s="1" t="s">
        <v>38</v>
      </c>
      <c r="S21" s="1" t="s">
        <v>2</v>
      </c>
      <c r="T21" s="1" t="s">
        <v>39</v>
      </c>
      <c r="U21" s="1" t="s">
        <v>2</v>
      </c>
      <c r="V21" s="1" t="s">
        <v>5</v>
      </c>
      <c r="W21" s="1"/>
      <c r="X21" s="1" t="s">
        <v>10</v>
      </c>
      <c r="Y21" s="1"/>
    </row>
    <row r="22" spans="1:25" x14ac:dyDescent="0.25">
      <c r="A22" s="3">
        <v>42880</v>
      </c>
      <c r="B22" s="1">
        <v>9509</v>
      </c>
      <c r="C22" s="1">
        <f>B22-9509</f>
        <v>0</v>
      </c>
      <c r="D22" s="1">
        <v>159</v>
      </c>
      <c r="E22" s="1">
        <f>D22-159</f>
        <v>0</v>
      </c>
      <c r="F22" s="1">
        <v>147</v>
      </c>
      <c r="G22" s="1">
        <f>F22-147</f>
        <v>0</v>
      </c>
      <c r="H22" s="1">
        <f>G22+E22</f>
        <v>0</v>
      </c>
      <c r="I22" s="1"/>
      <c r="J22" s="1">
        <v>56</v>
      </c>
      <c r="K22" s="1">
        <f>56-J22</f>
        <v>0</v>
      </c>
      <c r="L22" s="1">
        <v>75</v>
      </c>
      <c r="M22" s="1">
        <f>75-L22</f>
        <v>0</v>
      </c>
      <c r="N22" s="1">
        <f>M22+K22</f>
        <v>0</v>
      </c>
      <c r="O22" s="1"/>
      <c r="P22" s="1">
        <v>23190</v>
      </c>
      <c r="Q22" s="1">
        <f>P22-23190</f>
        <v>0</v>
      </c>
      <c r="R22" s="1">
        <v>271</v>
      </c>
      <c r="S22" s="1">
        <f>R22-271</f>
        <v>0</v>
      </c>
      <c r="T22" s="1">
        <v>433</v>
      </c>
      <c r="U22" s="1">
        <f>T22-433</f>
        <v>0</v>
      </c>
      <c r="V22" s="1">
        <f>U22+S22</f>
        <v>0</v>
      </c>
      <c r="W22" s="1"/>
      <c r="X22" s="4">
        <f>V22*160+N22*600+H22*600</f>
        <v>0</v>
      </c>
      <c r="Y22" s="4"/>
    </row>
    <row r="23" spans="1:25" x14ac:dyDescent="0.25">
      <c r="A23" s="3">
        <v>42915</v>
      </c>
      <c r="B23" s="1">
        <v>9504</v>
      </c>
      <c r="C23" s="1">
        <f>B23-9509</f>
        <v>-5</v>
      </c>
      <c r="D23" s="1">
        <v>117</v>
      </c>
      <c r="E23" s="1">
        <f>D23-159</f>
        <v>-42</v>
      </c>
      <c r="F23" s="1">
        <v>100</v>
      </c>
      <c r="G23" s="1">
        <f>F23-147</f>
        <v>-47</v>
      </c>
      <c r="H23" s="1">
        <f>G23+E23</f>
        <v>-89</v>
      </c>
      <c r="I23" s="1"/>
      <c r="J23" s="1">
        <v>0</v>
      </c>
      <c r="K23" s="1">
        <f>56-J23</f>
        <v>56</v>
      </c>
      <c r="L23" s="1">
        <v>0</v>
      </c>
      <c r="M23" s="1">
        <f>75-L23</f>
        <v>75</v>
      </c>
      <c r="N23" s="1">
        <f>M23+K23</f>
        <v>131</v>
      </c>
      <c r="O23" s="1"/>
      <c r="P23" s="1">
        <v>23227</v>
      </c>
      <c r="Q23" s="1">
        <f>P23-23190</f>
        <v>37</v>
      </c>
      <c r="R23" s="1">
        <v>15</v>
      </c>
      <c r="S23" s="1">
        <f>R23-271</f>
        <v>-256</v>
      </c>
      <c r="T23" s="1">
        <v>0</v>
      </c>
      <c r="U23" s="1">
        <f>T23-433</f>
        <v>-433</v>
      </c>
      <c r="V23" s="1">
        <f>U23+S23</f>
        <v>-689</v>
      </c>
      <c r="W23" s="1"/>
      <c r="X23" s="4">
        <f>V23*160+N23*600+H23*600</f>
        <v>-85040</v>
      </c>
      <c r="Y23" s="4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 t="s">
        <v>0</v>
      </c>
      <c r="B25" s="1" t="s">
        <v>1</v>
      </c>
      <c r="C25" s="1" t="s">
        <v>2</v>
      </c>
      <c r="D25" s="1" t="s">
        <v>34</v>
      </c>
      <c r="E25" s="1" t="s">
        <v>2</v>
      </c>
      <c r="F25" s="1" t="s">
        <v>35</v>
      </c>
      <c r="G25" s="1" t="s">
        <v>2</v>
      </c>
      <c r="H25" s="1" t="s">
        <v>5</v>
      </c>
      <c r="I25" s="1"/>
      <c r="J25" s="1" t="s">
        <v>36</v>
      </c>
      <c r="K25" s="1" t="s">
        <v>2</v>
      </c>
      <c r="L25" s="1" t="s">
        <v>37</v>
      </c>
      <c r="M25" s="1" t="s">
        <v>2</v>
      </c>
      <c r="N25" s="1" t="s">
        <v>5</v>
      </c>
      <c r="O25" s="1"/>
      <c r="P25" s="1"/>
      <c r="Q25" s="1"/>
      <c r="R25" s="1" t="s">
        <v>38</v>
      </c>
      <c r="S25" s="1" t="s">
        <v>2</v>
      </c>
      <c r="T25" s="1" t="s">
        <v>39</v>
      </c>
      <c r="U25" s="1" t="s">
        <v>2</v>
      </c>
      <c r="V25" s="1" t="s">
        <v>5</v>
      </c>
      <c r="W25" s="1"/>
      <c r="X25" s="1" t="s">
        <v>10</v>
      </c>
      <c r="Y25" s="1"/>
    </row>
    <row r="26" spans="1:25" x14ac:dyDescent="0.25">
      <c r="A26" s="3">
        <v>42915</v>
      </c>
      <c r="B26" s="1">
        <v>9504</v>
      </c>
      <c r="C26" s="1">
        <f>B26-9504</f>
        <v>0</v>
      </c>
      <c r="D26" s="1">
        <v>190</v>
      </c>
      <c r="E26" s="1">
        <f>D26-190</f>
        <v>0</v>
      </c>
      <c r="F26" s="1">
        <v>139</v>
      </c>
      <c r="G26" s="1">
        <f>F26-139</f>
        <v>0</v>
      </c>
      <c r="H26" s="1">
        <f>G26+E26</f>
        <v>0</v>
      </c>
      <c r="I26" s="1"/>
      <c r="J26" s="1">
        <v>69</v>
      </c>
      <c r="K26" s="1">
        <f>69-J26</f>
        <v>0</v>
      </c>
      <c r="L26" s="1">
        <v>66</v>
      </c>
      <c r="M26" s="1">
        <f>66-L26</f>
        <v>0</v>
      </c>
      <c r="N26" s="1">
        <f>M26+K26</f>
        <v>0</v>
      </c>
      <c r="O26" s="1"/>
      <c r="P26" s="1">
        <v>23227</v>
      </c>
      <c r="Q26" s="1">
        <f>P26-23190</f>
        <v>37</v>
      </c>
      <c r="R26" s="1">
        <v>369</v>
      </c>
      <c r="S26" s="1">
        <f>R26-369</f>
        <v>0</v>
      </c>
      <c r="T26" s="1">
        <v>346</v>
      </c>
      <c r="U26" s="1">
        <f>T26-346</f>
        <v>0</v>
      </c>
      <c r="V26" s="1">
        <f>U26+S26</f>
        <v>0</v>
      </c>
      <c r="W26" s="1"/>
      <c r="X26" s="4">
        <f>V26*160+N26*600+H26*600</f>
        <v>0</v>
      </c>
      <c r="Y26" s="4"/>
    </row>
    <row r="27" spans="1:25" x14ac:dyDescent="0.25">
      <c r="A27" s="3">
        <v>42943</v>
      </c>
      <c r="B27" s="1">
        <v>10020</v>
      </c>
      <c r="C27" s="1">
        <f>B27-9504</f>
        <v>516</v>
      </c>
      <c r="D27" s="1">
        <v>569</v>
      </c>
      <c r="E27" s="1">
        <f>D27-190</f>
        <v>379</v>
      </c>
      <c r="F27" s="1">
        <v>17</v>
      </c>
      <c r="G27" s="1">
        <f>F27-139</f>
        <v>-122</v>
      </c>
      <c r="H27" s="1">
        <f>G27+E27</f>
        <v>257</v>
      </c>
      <c r="I27" s="1"/>
      <c r="J27" s="1">
        <v>418</v>
      </c>
      <c r="K27" s="1">
        <f>69-J27</f>
        <v>-349</v>
      </c>
      <c r="L27" s="1">
        <v>0</v>
      </c>
      <c r="M27" s="1">
        <f>66-L27</f>
        <v>66</v>
      </c>
      <c r="N27" s="1">
        <f>M27+K27</f>
        <v>-283</v>
      </c>
      <c r="O27" s="1"/>
      <c r="P27" s="1">
        <v>24922</v>
      </c>
      <c r="Q27" s="1">
        <f>P27-23190</f>
        <v>1732</v>
      </c>
      <c r="R27" s="1">
        <v>1700</v>
      </c>
      <c r="S27" s="1">
        <f>R27-369</f>
        <v>1331</v>
      </c>
      <c r="T27" s="1">
        <v>0</v>
      </c>
      <c r="U27" s="1">
        <f>T27-346</f>
        <v>-346</v>
      </c>
      <c r="V27" s="1">
        <f>U27+S27</f>
        <v>985</v>
      </c>
      <c r="W27" s="1"/>
      <c r="X27" s="4">
        <f>V27*160+N27*600+H27*600</f>
        <v>142000</v>
      </c>
      <c r="Y27" s="4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 t="s">
        <v>0</v>
      </c>
      <c r="B29" s="1" t="s">
        <v>1</v>
      </c>
      <c r="C29" s="1" t="s">
        <v>2</v>
      </c>
      <c r="D29" s="1" t="s">
        <v>40</v>
      </c>
      <c r="E29" s="1" t="s">
        <v>2</v>
      </c>
      <c r="F29" s="1" t="s">
        <v>41</v>
      </c>
      <c r="G29" s="1" t="s">
        <v>2</v>
      </c>
      <c r="H29" s="1" t="s">
        <v>5</v>
      </c>
      <c r="I29" s="1"/>
      <c r="J29" s="1" t="s">
        <v>42</v>
      </c>
      <c r="K29" s="1" t="s">
        <v>2</v>
      </c>
      <c r="L29" s="1" t="s">
        <v>43</v>
      </c>
      <c r="M29" s="1" t="s">
        <v>2</v>
      </c>
      <c r="N29" s="1" t="s">
        <v>5</v>
      </c>
      <c r="O29" s="1"/>
      <c r="P29" s="1"/>
      <c r="Q29" s="1"/>
      <c r="R29" s="1" t="s">
        <v>44</v>
      </c>
      <c r="S29" s="1" t="s">
        <v>2</v>
      </c>
      <c r="T29" s="1" t="s">
        <v>45</v>
      </c>
      <c r="U29" s="1" t="s">
        <v>2</v>
      </c>
      <c r="V29" s="1" t="s">
        <v>5</v>
      </c>
      <c r="W29" s="1"/>
      <c r="X29" s="1" t="s">
        <v>10</v>
      </c>
      <c r="Y29" s="1"/>
    </row>
    <row r="30" spans="1:25" x14ac:dyDescent="0.25">
      <c r="A30" s="3">
        <v>42943</v>
      </c>
      <c r="B30" s="1">
        <v>10020</v>
      </c>
      <c r="C30" s="1">
        <f>B30-10020</f>
        <v>0</v>
      </c>
      <c r="D30" s="1">
        <v>239</v>
      </c>
      <c r="E30" s="1">
        <f>D30-239</f>
        <v>0</v>
      </c>
      <c r="F30" s="1">
        <v>144</v>
      </c>
      <c r="G30" s="1">
        <f>F30-144</f>
        <v>0</v>
      </c>
      <c r="H30" s="1">
        <f>G30+E30</f>
        <v>0</v>
      </c>
      <c r="I30" s="1"/>
      <c r="J30" s="1">
        <v>104</v>
      </c>
      <c r="K30" s="1">
        <f>104-J30</f>
        <v>0</v>
      </c>
      <c r="L30" s="1">
        <v>70</v>
      </c>
      <c r="M30" s="1">
        <f>70-L30</f>
        <v>0</v>
      </c>
      <c r="N30" s="1">
        <f>M30+K30</f>
        <v>0</v>
      </c>
      <c r="O30" s="1"/>
      <c r="P30" s="1">
        <v>24922</v>
      </c>
      <c r="Q30" s="1">
        <f>P30-24922</f>
        <v>0</v>
      </c>
      <c r="R30" s="1">
        <v>419</v>
      </c>
      <c r="S30" s="1">
        <f>R30-419</f>
        <v>0</v>
      </c>
      <c r="T30" s="1">
        <v>348</v>
      </c>
      <c r="U30" s="1">
        <f>T30-348</f>
        <v>0</v>
      </c>
      <c r="V30" s="1">
        <f>U30+S30</f>
        <v>0</v>
      </c>
      <c r="W30" s="1"/>
      <c r="X30" s="4">
        <f>V30*160+N30*600+H30*600</f>
        <v>0</v>
      </c>
      <c r="Y30" s="4"/>
    </row>
    <row r="31" spans="1:25" x14ac:dyDescent="0.25">
      <c r="A31" s="3">
        <v>42978</v>
      </c>
      <c r="B31" s="1">
        <v>9918</v>
      </c>
      <c r="C31" s="1">
        <f>B31-10020</f>
        <v>-102</v>
      </c>
      <c r="D31" s="1">
        <v>83</v>
      </c>
      <c r="E31" s="1">
        <f>D31-239</f>
        <v>-156</v>
      </c>
      <c r="F31" s="1">
        <v>141</v>
      </c>
      <c r="G31" s="1">
        <f>F31-144</f>
        <v>-3</v>
      </c>
      <c r="H31" s="1">
        <f>G31+E31</f>
        <v>-159</v>
      </c>
      <c r="I31" s="1"/>
      <c r="J31" s="1">
        <v>0</v>
      </c>
      <c r="K31" s="1">
        <f>104-J31</f>
        <v>104</v>
      </c>
      <c r="L31" s="1">
        <v>20</v>
      </c>
      <c r="M31" s="1">
        <f>70-L31</f>
        <v>50</v>
      </c>
      <c r="N31" s="1">
        <f>M31+K31</f>
        <v>154</v>
      </c>
      <c r="O31" s="1"/>
      <c r="P31" s="1">
        <v>24318</v>
      </c>
      <c r="Q31" s="1">
        <f>P31-24922</f>
        <v>-604</v>
      </c>
      <c r="R31" s="1">
        <v>0</v>
      </c>
      <c r="S31" s="1">
        <f>R31-419</f>
        <v>-419</v>
      </c>
      <c r="T31" s="1">
        <v>566</v>
      </c>
      <c r="U31" s="1">
        <f>T31-348</f>
        <v>218</v>
      </c>
      <c r="V31" s="1">
        <f>U31+S31</f>
        <v>-201</v>
      </c>
      <c r="W31" s="1"/>
      <c r="X31" s="4">
        <f>V31*160+N31*600+H31*600</f>
        <v>-35160</v>
      </c>
      <c r="Y31" s="4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 t="s">
        <v>0</v>
      </c>
      <c r="B33" s="1" t="s">
        <v>1</v>
      </c>
      <c r="C33" s="1" t="s">
        <v>2</v>
      </c>
      <c r="D33" s="1" t="s">
        <v>46</v>
      </c>
      <c r="E33" s="1" t="s">
        <v>2</v>
      </c>
      <c r="F33" s="1" t="s">
        <v>43</v>
      </c>
      <c r="G33" s="1" t="s">
        <v>2</v>
      </c>
      <c r="H33" s="1" t="s">
        <v>5</v>
      </c>
      <c r="I33" s="1"/>
      <c r="J33" s="1" t="s">
        <v>40</v>
      </c>
      <c r="K33" s="1" t="s">
        <v>2</v>
      </c>
      <c r="L33" s="1" t="s">
        <v>47</v>
      </c>
      <c r="M33" s="1" t="s">
        <v>2</v>
      </c>
      <c r="N33" s="1" t="s">
        <v>5</v>
      </c>
      <c r="O33" s="1"/>
      <c r="P33" s="1"/>
      <c r="Q33" s="1"/>
      <c r="R33" s="1" t="s">
        <v>48</v>
      </c>
      <c r="S33" s="1" t="s">
        <v>2</v>
      </c>
      <c r="T33" s="1" t="s">
        <v>49</v>
      </c>
      <c r="U33" s="1" t="s">
        <v>2</v>
      </c>
      <c r="V33" s="1" t="s">
        <v>5</v>
      </c>
      <c r="W33" s="1"/>
      <c r="X33" s="1" t="s">
        <v>10</v>
      </c>
      <c r="Y33" s="1"/>
    </row>
    <row r="34" spans="1:25" x14ac:dyDescent="0.25">
      <c r="A34" s="3">
        <v>42978</v>
      </c>
      <c r="B34" s="1">
        <v>9918</v>
      </c>
      <c r="C34" s="1">
        <f>B34-9918</f>
        <v>0</v>
      </c>
      <c r="D34" s="1">
        <v>203</v>
      </c>
      <c r="E34" s="1">
        <f>D34-203</f>
        <v>0</v>
      </c>
      <c r="F34" s="1">
        <v>139</v>
      </c>
      <c r="G34" s="1">
        <f>F34-139</f>
        <v>0</v>
      </c>
      <c r="H34" s="1">
        <f>G34+E34</f>
        <v>0</v>
      </c>
      <c r="I34" s="1"/>
      <c r="J34" s="1">
        <v>83</v>
      </c>
      <c r="K34" s="1">
        <f>83-J34</f>
        <v>0</v>
      </c>
      <c r="L34" s="1">
        <v>68</v>
      </c>
      <c r="M34" s="1">
        <f>68-L34</f>
        <v>0</v>
      </c>
      <c r="N34" s="1">
        <f>M34+K34</f>
        <v>0</v>
      </c>
      <c r="O34" s="1"/>
      <c r="P34" s="1">
        <v>24318</v>
      </c>
      <c r="Q34" s="1">
        <f>P34-24318</f>
        <v>0</v>
      </c>
      <c r="R34" s="1">
        <v>386</v>
      </c>
      <c r="S34" s="1">
        <f>R34-386</f>
        <v>0</v>
      </c>
      <c r="T34" s="1">
        <v>338</v>
      </c>
      <c r="U34" s="1">
        <f>T34-338</f>
        <v>0</v>
      </c>
      <c r="V34" s="1">
        <f>U34+S34</f>
        <v>0</v>
      </c>
      <c r="W34" s="1"/>
      <c r="X34" s="4">
        <f>V34*160+N34*600+H34*600</f>
        <v>0</v>
      </c>
      <c r="Y34" s="4"/>
    </row>
    <row r="35" spans="1:25" x14ac:dyDescent="0.25">
      <c r="A35" s="3">
        <v>43006</v>
      </c>
      <c r="B35" s="1">
        <v>9769</v>
      </c>
      <c r="C35" s="1">
        <f>B35-9918</f>
        <v>-149</v>
      </c>
      <c r="D35" s="1">
        <v>76</v>
      </c>
      <c r="E35" s="1">
        <f>D35-203</f>
        <v>-127</v>
      </c>
      <c r="F35" s="1">
        <v>185</v>
      </c>
      <c r="G35" s="1">
        <f>F35-139</f>
        <v>46</v>
      </c>
      <c r="H35" s="1">
        <f>G35+E35</f>
        <v>-81</v>
      </c>
      <c r="I35" s="1"/>
      <c r="J35" s="1">
        <v>0</v>
      </c>
      <c r="K35" s="1">
        <f>83-J35</f>
        <v>83</v>
      </c>
      <c r="L35" s="1">
        <v>30</v>
      </c>
      <c r="M35" s="1">
        <f>68-L35</f>
        <v>38</v>
      </c>
      <c r="N35" s="1">
        <f>M35+K35</f>
        <v>121</v>
      </c>
      <c r="O35" s="1"/>
      <c r="P35" s="1">
        <v>24850</v>
      </c>
      <c r="Q35" s="1">
        <f>P35-24318</f>
        <v>532</v>
      </c>
      <c r="R35" s="1">
        <v>0</v>
      </c>
      <c r="S35" s="1">
        <f>R35-386</f>
        <v>-386</v>
      </c>
      <c r="T35" s="1">
        <v>450</v>
      </c>
      <c r="U35" s="1">
        <f>T35-338</f>
        <v>112</v>
      </c>
      <c r="V35" s="1">
        <f>U35+S35</f>
        <v>-274</v>
      </c>
      <c r="W35" s="1"/>
      <c r="X35" s="4">
        <f>V35*160+N35*600+H35*600</f>
        <v>-19840</v>
      </c>
      <c r="Y35" s="4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 t="s">
        <v>0</v>
      </c>
      <c r="B37" s="1" t="s">
        <v>1</v>
      </c>
      <c r="C37" s="1" t="s">
        <v>2</v>
      </c>
      <c r="D37" s="1" t="s">
        <v>50</v>
      </c>
      <c r="E37" s="1" t="s">
        <v>2</v>
      </c>
      <c r="F37" s="1" t="s">
        <v>47</v>
      </c>
      <c r="G37" s="1" t="s">
        <v>2</v>
      </c>
      <c r="H37" s="1" t="s">
        <v>5</v>
      </c>
      <c r="I37" s="1"/>
      <c r="J37" s="1" t="s">
        <v>46</v>
      </c>
      <c r="K37" s="1" t="s">
        <v>2</v>
      </c>
      <c r="L37" s="1" t="s">
        <v>51</v>
      </c>
      <c r="M37" s="1" t="s">
        <v>2</v>
      </c>
      <c r="N37" s="1" t="s">
        <v>5</v>
      </c>
      <c r="O37" s="1"/>
      <c r="P37" s="1" t="s">
        <v>52</v>
      </c>
      <c r="Q37" s="1" t="s">
        <v>2</v>
      </c>
      <c r="R37" s="1" t="s">
        <v>53</v>
      </c>
      <c r="S37" s="1" t="s">
        <v>2</v>
      </c>
      <c r="T37" s="1" t="s">
        <v>54</v>
      </c>
      <c r="U37" s="1" t="s">
        <v>2</v>
      </c>
      <c r="V37" s="1" t="s">
        <v>5</v>
      </c>
      <c r="W37" s="1"/>
      <c r="X37" s="1" t="s">
        <v>10</v>
      </c>
      <c r="Y37" s="1"/>
    </row>
    <row r="38" spans="1:25" x14ac:dyDescent="0.25">
      <c r="A38" s="3">
        <v>43007</v>
      </c>
      <c r="B38" s="1">
        <v>9817</v>
      </c>
      <c r="C38" s="1">
        <f>B38-9817</f>
        <v>0</v>
      </c>
      <c r="D38" s="1">
        <v>202</v>
      </c>
      <c r="E38" s="1">
        <f>D38-202</f>
        <v>0</v>
      </c>
      <c r="F38" s="1">
        <v>185</v>
      </c>
      <c r="G38" s="1">
        <f>F38-185</f>
        <v>0</v>
      </c>
      <c r="H38" s="1">
        <f>(G38+E38)*675</f>
        <v>0</v>
      </c>
      <c r="I38" s="1"/>
      <c r="J38" s="1">
        <v>76</v>
      </c>
      <c r="K38" s="1">
        <f>76-J38</f>
        <v>0</v>
      </c>
      <c r="L38" s="1">
        <v>96</v>
      </c>
      <c r="M38" s="1">
        <f>96-L38</f>
        <v>0</v>
      </c>
      <c r="N38" s="1">
        <f>(M38+K38)*225</f>
        <v>0</v>
      </c>
      <c r="O38" s="1"/>
      <c r="P38" s="1">
        <v>24220</v>
      </c>
      <c r="Q38" s="1">
        <f>P38-24220</f>
        <v>0</v>
      </c>
      <c r="R38" s="1">
        <v>367</v>
      </c>
      <c r="S38" s="1">
        <f>R38-367</f>
        <v>0</v>
      </c>
      <c r="T38" s="1">
        <v>338</v>
      </c>
      <c r="U38" s="1">
        <f>T38-338</f>
        <v>0</v>
      </c>
      <c r="V38" s="1">
        <f>(U38+S38)*160</f>
        <v>0</v>
      </c>
      <c r="W38" s="1"/>
      <c r="X38" s="4">
        <f>V38*160+N38*600+H38*600</f>
        <v>0</v>
      </c>
      <c r="Y38" s="4"/>
    </row>
    <row r="39" spans="1:25" x14ac:dyDescent="0.25">
      <c r="A39" s="5">
        <v>43032</v>
      </c>
      <c r="B39" s="2">
        <v>10214</v>
      </c>
      <c r="C39" s="1">
        <f>B39-9817</f>
        <v>397</v>
      </c>
      <c r="D39" s="2">
        <v>539</v>
      </c>
      <c r="E39" s="1">
        <f>D39-144</f>
        <v>395</v>
      </c>
      <c r="F39" s="2">
        <v>28</v>
      </c>
      <c r="G39" s="1">
        <f>F39-185</f>
        <v>-157</v>
      </c>
      <c r="H39" s="1">
        <f>G39+E39</f>
        <v>238</v>
      </c>
      <c r="J39" s="2">
        <v>384</v>
      </c>
      <c r="K39" s="1">
        <f>76-J39</f>
        <v>-308</v>
      </c>
      <c r="L39" s="2">
        <v>0</v>
      </c>
      <c r="M39" s="1">
        <f>96-L39</f>
        <v>96</v>
      </c>
      <c r="N39" s="1">
        <f>M39+K39</f>
        <v>-212</v>
      </c>
      <c r="P39" s="2">
        <v>25036</v>
      </c>
      <c r="Q39" s="1">
        <f>P39-24220</f>
        <v>816</v>
      </c>
      <c r="R39" s="2">
        <v>780</v>
      </c>
      <c r="S39" s="1">
        <f>R39-367</f>
        <v>413</v>
      </c>
      <c r="T39" s="2">
        <v>5</v>
      </c>
      <c r="U39" s="1">
        <f>T39-338</f>
        <v>-333</v>
      </c>
      <c r="V39" s="1">
        <f>U39+S39</f>
        <v>80</v>
      </c>
      <c r="W39" s="1"/>
      <c r="X39" s="4">
        <f>V39*160+N39*600+H39*600</f>
        <v>28400</v>
      </c>
      <c r="Y39" s="4"/>
    </row>
    <row r="40" spans="1:25" x14ac:dyDescent="0.25">
      <c r="A40" s="5"/>
      <c r="C40" s="1"/>
      <c r="E40" s="1"/>
      <c r="G40" s="1"/>
      <c r="H40" s="1"/>
      <c r="K40" s="1"/>
      <c r="M40" s="1"/>
      <c r="N40" s="1"/>
      <c r="Q40" s="1"/>
      <c r="S40" s="1"/>
      <c r="U40" s="1"/>
      <c r="V40" s="1"/>
    </row>
    <row r="41" spans="1:25" x14ac:dyDescent="0.25">
      <c r="A41" s="1" t="s">
        <v>0</v>
      </c>
      <c r="B41" s="1" t="s">
        <v>1</v>
      </c>
      <c r="C41" s="1" t="s">
        <v>2</v>
      </c>
      <c r="D41" s="1" t="s">
        <v>55</v>
      </c>
      <c r="E41" s="1" t="s">
        <v>2</v>
      </c>
      <c r="F41" s="1" t="s">
        <v>56</v>
      </c>
      <c r="G41" s="1" t="s">
        <v>2</v>
      </c>
      <c r="H41" s="1" t="s">
        <v>5</v>
      </c>
      <c r="J41" s="1" t="s">
        <v>57</v>
      </c>
      <c r="K41" s="1" t="s">
        <v>2</v>
      </c>
      <c r="L41" s="1" t="s">
        <v>58</v>
      </c>
      <c r="M41" s="1" t="s">
        <v>2</v>
      </c>
      <c r="N41" s="1" t="s">
        <v>5</v>
      </c>
      <c r="P41" s="1" t="s">
        <v>52</v>
      </c>
      <c r="Q41" s="1" t="s">
        <v>2</v>
      </c>
      <c r="R41" s="1" t="s">
        <v>59</v>
      </c>
      <c r="S41" s="1" t="s">
        <v>2</v>
      </c>
      <c r="T41" s="1" t="s">
        <v>60</v>
      </c>
      <c r="U41" s="1" t="s">
        <v>2</v>
      </c>
      <c r="V41" s="1" t="s">
        <v>5</v>
      </c>
      <c r="X41" s="1" t="s">
        <v>10</v>
      </c>
    </row>
    <row r="42" spans="1:25" x14ac:dyDescent="0.25">
      <c r="A42" s="3">
        <v>43034</v>
      </c>
      <c r="B42" s="1">
        <v>10300</v>
      </c>
      <c r="C42" s="1">
        <f t="shared" ref="C42:C43" si="0">B42-10300</f>
        <v>0</v>
      </c>
      <c r="D42" s="1">
        <v>241</v>
      </c>
      <c r="E42" s="1">
        <f t="shared" ref="E42:E43" si="1">D42-241</f>
        <v>0</v>
      </c>
      <c r="F42" s="1">
        <v>160</v>
      </c>
      <c r="G42" s="1">
        <f t="shared" ref="G42" si="2">F42-160</f>
        <v>0</v>
      </c>
      <c r="H42" s="1">
        <f t="shared" ref="H42" si="3">G42+E42</f>
        <v>0</v>
      </c>
      <c r="J42" s="1">
        <v>114</v>
      </c>
      <c r="K42" s="1">
        <f t="shared" ref="K42:K43" si="4">114-J42</f>
        <v>0</v>
      </c>
      <c r="L42" s="1">
        <v>87</v>
      </c>
      <c r="M42" s="1">
        <f t="shared" ref="M42" si="5">87-L42</f>
        <v>0</v>
      </c>
      <c r="N42" s="1">
        <f t="shared" ref="N42" si="6">M42+K42</f>
        <v>0</v>
      </c>
      <c r="P42" s="1">
        <v>25000</v>
      </c>
      <c r="Q42" s="1">
        <f t="shared" ref="Q42:Q43" si="7">P42-25000</f>
        <v>0</v>
      </c>
      <c r="R42" s="1">
        <v>494</v>
      </c>
      <c r="S42" s="1">
        <f t="shared" ref="S42:S43" si="8">R42-494</f>
        <v>0</v>
      </c>
      <c r="T42" s="1">
        <v>381</v>
      </c>
      <c r="U42" s="1">
        <f t="shared" ref="U42" si="9">T42-381</f>
        <v>0</v>
      </c>
      <c r="V42" s="1">
        <f t="shared" ref="V42" si="10">U42+S42</f>
        <v>0</v>
      </c>
      <c r="X42" s="4">
        <f>V42*160+N42*600+H42*600</f>
        <v>0</v>
      </c>
    </row>
    <row r="43" spans="1:25" x14ac:dyDescent="0.25">
      <c r="A43" s="5">
        <v>43069</v>
      </c>
      <c r="B43" s="2">
        <v>10274</v>
      </c>
      <c r="C43" s="1">
        <f t="shared" si="0"/>
        <v>-26</v>
      </c>
      <c r="D43" s="2">
        <v>138</v>
      </c>
      <c r="E43" s="1">
        <f t="shared" si="1"/>
        <v>-103</v>
      </c>
      <c r="F43" s="2">
        <v>121</v>
      </c>
      <c r="G43" s="1">
        <f t="shared" ref="G43" si="11">F43-160</f>
        <v>-39</v>
      </c>
      <c r="H43" s="1">
        <f t="shared" ref="H43" si="12">G43+E43</f>
        <v>-142</v>
      </c>
      <c r="J43" s="2">
        <v>0</v>
      </c>
      <c r="K43" s="1">
        <f t="shared" si="4"/>
        <v>114</v>
      </c>
      <c r="L43" s="2">
        <v>0</v>
      </c>
      <c r="M43" s="1">
        <f t="shared" ref="M43" si="13">87-L43</f>
        <v>87</v>
      </c>
      <c r="N43" s="1">
        <f t="shared" ref="N43" si="14">M43+K43</f>
        <v>201</v>
      </c>
      <c r="P43" s="2">
        <v>25540</v>
      </c>
      <c r="Q43" s="1">
        <f t="shared" si="7"/>
        <v>540</v>
      </c>
      <c r="R43" s="2">
        <v>520</v>
      </c>
      <c r="S43" s="1">
        <f t="shared" si="8"/>
        <v>26</v>
      </c>
      <c r="T43" s="2">
        <v>0</v>
      </c>
      <c r="U43" s="1">
        <f t="shared" ref="U43" si="15">T43-381</f>
        <v>-381</v>
      </c>
      <c r="V43" s="1">
        <f t="shared" ref="V43" si="16">U43+S43</f>
        <v>-355</v>
      </c>
      <c r="X43" s="4">
        <f>V43*160+N43*600+H43*600</f>
        <v>-21400</v>
      </c>
    </row>
    <row r="45" spans="1:25" x14ac:dyDescent="0.25">
      <c r="A45" s="1" t="s">
        <v>0</v>
      </c>
      <c r="B45" s="1" t="s">
        <v>1</v>
      </c>
      <c r="C45" s="1" t="s">
        <v>2</v>
      </c>
      <c r="D45" s="1" t="s">
        <v>55</v>
      </c>
      <c r="E45" s="1" t="s">
        <v>2</v>
      </c>
      <c r="F45" s="1" t="s">
        <v>56</v>
      </c>
      <c r="G45" s="1" t="s">
        <v>2</v>
      </c>
      <c r="H45" s="1" t="s">
        <v>5</v>
      </c>
      <c r="J45" s="1" t="s">
        <v>57</v>
      </c>
      <c r="K45" s="1" t="s">
        <v>2</v>
      </c>
      <c r="L45" s="1" t="s">
        <v>58</v>
      </c>
      <c r="M45" s="1" t="s">
        <v>2</v>
      </c>
      <c r="N45" s="1" t="s">
        <v>5</v>
      </c>
      <c r="P45" s="1" t="s">
        <v>52</v>
      </c>
      <c r="Q45" s="1" t="s">
        <v>2</v>
      </c>
      <c r="R45" s="1" t="s">
        <v>61</v>
      </c>
      <c r="S45" s="1" t="s">
        <v>2</v>
      </c>
      <c r="T45" s="1" t="s">
        <v>62</v>
      </c>
      <c r="U45" s="1" t="s">
        <v>2</v>
      </c>
      <c r="V45" s="1" t="s">
        <v>5</v>
      </c>
    </row>
    <row r="46" spans="1:25" x14ac:dyDescent="0.25">
      <c r="A46" s="5">
        <v>43069</v>
      </c>
      <c r="B46" s="2">
        <v>10270</v>
      </c>
      <c r="C46" s="1">
        <f>B46-10300</f>
        <v>-30</v>
      </c>
      <c r="D46" s="1">
        <v>204</v>
      </c>
      <c r="E46" s="1">
        <f>D46-204</f>
        <v>0</v>
      </c>
      <c r="F46" s="1">
        <v>179</v>
      </c>
      <c r="G46" s="1">
        <f>F46-179</f>
        <v>0</v>
      </c>
      <c r="H46" s="1">
        <f t="shared" ref="H46" si="17">G46+E46</f>
        <v>0</v>
      </c>
      <c r="J46" s="1">
        <v>82</v>
      </c>
      <c r="K46" s="1">
        <f>82-J46</f>
        <v>0</v>
      </c>
      <c r="L46" s="1">
        <v>95</v>
      </c>
      <c r="M46" s="1">
        <f>95-L46</f>
        <v>0</v>
      </c>
      <c r="N46" s="1">
        <f t="shared" ref="N46" si="18">M46+K46</f>
        <v>0</v>
      </c>
      <c r="P46" s="1">
        <v>25470</v>
      </c>
      <c r="Q46" s="1">
        <f>P46-25470</f>
        <v>0</v>
      </c>
      <c r="R46" s="1">
        <v>404</v>
      </c>
      <c r="S46" s="1">
        <f>R46-404</f>
        <v>0</v>
      </c>
      <c r="T46" s="1">
        <v>430</v>
      </c>
      <c r="U46" s="1">
        <f>T46-430</f>
        <v>0</v>
      </c>
      <c r="V46" s="1">
        <f t="shared" ref="V46" si="19">U46+S46</f>
        <v>0</v>
      </c>
      <c r="X46" s="6">
        <f>V46*160+N46*600+H46*600</f>
        <v>0</v>
      </c>
    </row>
    <row r="47" spans="1:25" x14ac:dyDescent="0.25">
      <c r="A47" s="5">
        <v>43097</v>
      </c>
      <c r="B47" s="2">
        <v>10484</v>
      </c>
      <c r="C47" s="1">
        <f>B47-10300</f>
        <v>184</v>
      </c>
      <c r="D47" s="2">
        <v>279</v>
      </c>
      <c r="E47" s="1">
        <f>D47-204</f>
        <v>75</v>
      </c>
      <c r="F47" s="2">
        <v>56</v>
      </c>
      <c r="G47" s="1">
        <f>F47-179</f>
        <v>-123</v>
      </c>
      <c r="H47" s="1">
        <f t="shared" ref="H47" si="20">G47+E47</f>
        <v>-48</v>
      </c>
      <c r="J47" s="2">
        <v>90</v>
      </c>
      <c r="K47" s="1">
        <f>82-J47</f>
        <v>-8</v>
      </c>
      <c r="L47" s="2">
        <v>2</v>
      </c>
      <c r="M47" s="1">
        <f>95-L47</f>
        <v>93</v>
      </c>
      <c r="N47" s="1">
        <f t="shared" ref="N47" si="21">M47+K47</f>
        <v>85</v>
      </c>
      <c r="P47" s="2">
        <v>25500</v>
      </c>
      <c r="Q47" s="1">
        <f>P47-25470</f>
        <v>30</v>
      </c>
      <c r="R47" s="2">
        <v>16</v>
      </c>
      <c r="S47" s="1">
        <f>R47-404</f>
        <v>-388</v>
      </c>
      <c r="T47" s="2">
        <v>8</v>
      </c>
      <c r="U47" s="1">
        <f>T47-430</f>
        <v>-422</v>
      </c>
      <c r="V47" s="1">
        <f t="shared" ref="V47" si="22">U47+S47</f>
        <v>-810</v>
      </c>
      <c r="X47" s="4">
        <f>V47*160+N47*600+H47*600</f>
        <v>-107400</v>
      </c>
    </row>
    <row r="49" spans="1:24" x14ac:dyDescent="0.25">
      <c r="A49" s="1" t="s">
        <v>0</v>
      </c>
      <c r="B49" s="1" t="s">
        <v>1</v>
      </c>
      <c r="C49" s="1" t="s">
        <v>2</v>
      </c>
      <c r="D49" s="1" t="s">
        <v>63</v>
      </c>
      <c r="E49" s="1" t="s">
        <v>2</v>
      </c>
      <c r="F49" s="1" t="s">
        <v>64</v>
      </c>
      <c r="G49" s="1" t="s">
        <v>2</v>
      </c>
      <c r="H49" s="1" t="s">
        <v>5</v>
      </c>
      <c r="J49" s="1" t="s">
        <v>65</v>
      </c>
      <c r="K49" s="1" t="s">
        <v>2</v>
      </c>
      <c r="L49" s="1" t="s">
        <v>66</v>
      </c>
      <c r="M49" s="1" t="s">
        <v>2</v>
      </c>
      <c r="N49" s="1" t="s">
        <v>5</v>
      </c>
      <c r="O49" s="1"/>
      <c r="P49" s="1" t="s">
        <v>52</v>
      </c>
      <c r="Q49" s="1" t="s">
        <v>2</v>
      </c>
      <c r="R49" s="1" t="s">
        <v>61</v>
      </c>
      <c r="S49" s="1" t="s">
        <v>2</v>
      </c>
      <c r="T49" s="1" t="s">
        <v>62</v>
      </c>
      <c r="U49" s="1" t="s">
        <v>2</v>
      </c>
      <c r="V49" s="1" t="s">
        <v>5</v>
      </c>
      <c r="W49" s="1"/>
      <c r="X49" s="1" t="s">
        <v>10</v>
      </c>
    </row>
    <row r="50" spans="1:24" x14ac:dyDescent="0.25">
      <c r="A50" s="3">
        <v>43097</v>
      </c>
      <c r="B50" s="1">
        <v>10480</v>
      </c>
      <c r="C50" s="1">
        <f t="shared" ref="C50:C51" si="23">B50-10480</f>
        <v>0</v>
      </c>
      <c r="D50" s="1">
        <v>236</v>
      </c>
      <c r="E50" s="1">
        <f t="shared" ref="E50:E51" si="24">D50-236</f>
        <v>0</v>
      </c>
      <c r="F50" s="1">
        <v>197</v>
      </c>
      <c r="G50" s="1">
        <f t="shared" ref="G50" si="25">F50-197</f>
        <v>0</v>
      </c>
      <c r="H50" s="1">
        <f t="shared" ref="H50" si="26">G50+E50</f>
        <v>0</v>
      </c>
      <c r="J50" s="1">
        <v>84</v>
      </c>
      <c r="K50" s="1">
        <f t="shared" ref="K50:K51" si="27">84-J50</f>
        <v>0</v>
      </c>
      <c r="L50" s="1">
        <v>86</v>
      </c>
      <c r="M50" s="1">
        <f t="shared" ref="M50" si="28">86-L50</f>
        <v>0</v>
      </c>
      <c r="N50" s="1">
        <f t="shared" ref="N50" si="29">M50+K50</f>
        <v>0</v>
      </c>
      <c r="O50" s="1"/>
      <c r="P50" s="1">
        <v>25480</v>
      </c>
      <c r="Q50" s="1">
        <f t="shared" ref="Q50:Q51" si="30">P50-25480</f>
        <v>0</v>
      </c>
      <c r="R50" s="1">
        <v>361</v>
      </c>
      <c r="S50" s="1">
        <f t="shared" ref="S50:S51" si="31">R50-361</f>
        <v>0</v>
      </c>
      <c r="T50" s="1">
        <v>316</v>
      </c>
      <c r="U50" s="1">
        <f t="shared" ref="U50" si="32">T50-316</f>
        <v>0</v>
      </c>
      <c r="V50" s="1">
        <f t="shared" ref="V50" si="33">U50+S50</f>
        <v>0</v>
      </c>
      <c r="W50" s="1"/>
      <c r="X50" s="6">
        <f>V50*160+N50*600+H50*600</f>
        <v>0</v>
      </c>
    </row>
    <row r="51" spans="1:24" x14ac:dyDescent="0.25">
      <c r="A51" s="5">
        <v>43118</v>
      </c>
      <c r="B51" s="2">
        <v>10856</v>
      </c>
      <c r="C51" s="1">
        <f t="shared" si="23"/>
        <v>376</v>
      </c>
      <c r="D51" s="2">
        <v>415</v>
      </c>
      <c r="E51" s="1">
        <f t="shared" si="24"/>
        <v>179</v>
      </c>
      <c r="F51" s="2">
        <v>69</v>
      </c>
      <c r="G51" s="1">
        <f t="shared" ref="G51" si="34">F51-197</f>
        <v>-128</v>
      </c>
      <c r="H51" s="1">
        <f t="shared" ref="H51" si="35">G51+E51</f>
        <v>51</v>
      </c>
      <c r="J51" s="2">
        <v>242</v>
      </c>
      <c r="K51" s="1">
        <f t="shared" si="27"/>
        <v>-158</v>
      </c>
      <c r="L51" s="2">
        <v>5</v>
      </c>
      <c r="M51" s="1">
        <f t="shared" ref="M51" si="36">86-L51</f>
        <v>81</v>
      </c>
      <c r="N51" s="1">
        <f t="shared" ref="N51" si="37">M51+K51</f>
        <v>-77</v>
      </c>
      <c r="P51" s="2">
        <v>26709</v>
      </c>
      <c r="Q51" s="1">
        <f t="shared" si="30"/>
        <v>1229</v>
      </c>
      <c r="R51" s="2">
        <v>1130</v>
      </c>
      <c r="S51" s="1">
        <f t="shared" si="31"/>
        <v>769</v>
      </c>
      <c r="T51" s="2">
        <v>12</v>
      </c>
      <c r="U51" s="1">
        <f t="shared" ref="U51" si="38">T51-316</f>
        <v>-304</v>
      </c>
      <c r="V51" s="1">
        <f t="shared" ref="V51" si="39">U51+S51</f>
        <v>465</v>
      </c>
      <c r="W51" s="1"/>
      <c r="X51" s="6">
        <f>V51*120+N51*525+H51*525</f>
        <v>42150</v>
      </c>
    </row>
    <row r="1048576" spans="5:5" x14ac:dyDescent="0.25">
      <c r="E104857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Mundhe, Atul</dc:creator>
  <cp:lastModifiedBy>Mundhe, Atul</cp:lastModifiedBy>
  <dcterms:created xsi:type="dcterms:W3CDTF">2017-12-21T14:44:07Z</dcterms:created>
  <dcterms:modified xsi:type="dcterms:W3CDTF">2018-01-18T10:02:40Z</dcterms:modified>
</cp:coreProperties>
</file>