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tegar\Documents\Personal\"/>
    </mc:Choice>
  </mc:AlternateContent>
  <bookViews>
    <workbookView xWindow="0" yWindow="0" windowWidth="19200" windowHeight="8160" tabRatio="615" activeTab="7"/>
  </bookViews>
  <sheets>
    <sheet name="Axis LT Growth" sheetId="1" r:id="rId1"/>
    <sheet name="ICICI PRU" sheetId="11" r:id="rId2"/>
    <sheet name="Franklin" sheetId="2" r:id="rId3"/>
    <sheet name="BSL Tax Plan" sheetId="5" r:id="rId4"/>
    <sheet name="ABSL Banking" sheetId="12" r:id="rId5"/>
    <sheet name="ABSL Pure Value" sheetId="14" r:id="rId6"/>
    <sheet name="L&amp;T Infra" sheetId="13" r:id="rId7"/>
    <sheet name="SBI Life ULIP" sheetId="3" r:id="rId8"/>
    <sheet name="CPSE ETF" sheetId="8" r:id="rId9"/>
    <sheet name="SBI PPF" sheetId="10" r:id="rId10"/>
    <sheet name="Sheet1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E6" i="14" l="1"/>
  <c r="E30" i="1" l="1"/>
  <c r="C7" i="14" l="1"/>
  <c r="M1" i="14" s="1"/>
  <c r="E5" i="14"/>
  <c r="E7" i="14" s="1"/>
  <c r="C1" i="14" s="1"/>
  <c r="I1" i="14" s="1"/>
  <c r="U1" i="14"/>
  <c r="V1" i="14" s="1"/>
  <c r="V2" i="14" s="1"/>
  <c r="K29" i="1"/>
  <c r="P1" i="14" l="1"/>
  <c r="P2" i="14" s="1"/>
  <c r="V3" i="14" s="1"/>
  <c r="E29" i="1"/>
  <c r="E7" i="10" l="1"/>
  <c r="E6" i="10"/>
  <c r="E5" i="10"/>
  <c r="E8" i="10" s="1"/>
  <c r="E28" i="1" l="1"/>
  <c r="K28" i="1"/>
  <c r="C6" i="13" l="1"/>
  <c r="M1" i="13" s="1"/>
  <c r="E5" i="13"/>
  <c r="E6" i="13" s="1"/>
  <c r="C1" i="13" s="1"/>
  <c r="I1" i="13" s="1"/>
  <c r="T2" i="13"/>
  <c r="U1" i="13" s="1"/>
  <c r="U4" i="13" s="1"/>
  <c r="P1" i="13" l="1"/>
  <c r="P2" i="13" s="1"/>
  <c r="U5" i="13" s="1"/>
  <c r="C6" i="12"/>
  <c r="M1" i="12" s="1"/>
  <c r="E5" i="12"/>
  <c r="E6" i="12" s="1"/>
  <c r="C1" i="12" s="1"/>
  <c r="I1" i="12" s="1"/>
  <c r="T2" i="12"/>
  <c r="U1" i="12" s="1"/>
  <c r="U4" i="12" s="1"/>
  <c r="P1" i="12" l="1"/>
  <c r="P2" i="12" s="1"/>
  <c r="U5" i="12" s="1"/>
  <c r="K27" i="1"/>
  <c r="E27" i="1" l="1"/>
  <c r="J32" i="1" l="1"/>
  <c r="K26" i="1"/>
  <c r="C6" i="11"/>
  <c r="M1" i="11" s="1"/>
  <c r="E5" i="11"/>
  <c r="E6" i="11" s="1"/>
  <c r="C1" i="11" s="1"/>
  <c r="I1" i="11" s="1"/>
  <c r="U1" i="11"/>
  <c r="V1" i="11" s="1"/>
  <c r="V2" i="11" s="1"/>
  <c r="P1" i="11" l="1"/>
  <c r="P2" i="11" s="1"/>
  <c r="V3" i="11" s="1"/>
  <c r="K25" i="1"/>
  <c r="E26" i="1" l="1"/>
  <c r="E25" i="1" l="1"/>
  <c r="U1" i="2" l="1"/>
  <c r="V1" i="2" s="1"/>
  <c r="V2" i="2" s="1"/>
  <c r="T2" i="5"/>
  <c r="U1" i="5" s="1"/>
  <c r="U4" i="5" s="1"/>
  <c r="K24" i="1" l="1"/>
  <c r="E24" i="1" l="1"/>
  <c r="E23" i="1" l="1"/>
  <c r="K23" i="1"/>
  <c r="M1" i="8" l="1"/>
  <c r="E7" i="8"/>
  <c r="E6" i="8" l="1"/>
  <c r="K22" i="1" l="1"/>
  <c r="D31" i="1" l="1"/>
  <c r="E22" i="1" l="1"/>
  <c r="K21" i="1" l="1"/>
  <c r="E21" i="1" l="1"/>
  <c r="C31" i="1" l="1"/>
  <c r="E2" i="10" l="1"/>
  <c r="C8" i="10"/>
  <c r="I1" i="10" s="1"/>
  <c r="W5" i="3" l="1"/>
  <c r="V6" i="3" s="1"/>
  <c r="W6" i="3" s="1"/>
  <c r="V7" i="3" s="1"/>
  <c r="W7" i="3" l="1"/>
  <c r="K20" i="1"/>
  <c r="V8" i="3" l="1"/>
  <c r="W8" i="3" s="1"/>
  <c r="V9" i="3" s="1"/>
  <c r="W9" i="3" s="1"/>
  <c r="E20" i="1"/>
  <c r="V10" i="3" l="1"/>
  <c r="W10" i="3" s="1"/>
  <c r="K19" i="1"/>
  <c r="V11" i="3" l="1"/>
  <c r="W11" i="3" s="1"/>
  <c r="E19" i="1"/>
  <c r="E5" i="8"/>
  <c r="V12" i="3" l="1"/>
  <c r="W12" i="3" s="1"/>
  <c r="X11" i="3"/>
  <c r="C15" i="6"/>
  <c r="C8" i="8"/>
  <c r="P1" i="8" s="1"/>
  <c r="I1" i="8" s="1"/>
  <c r="E8" i="8"/>
  <c r="C1" i="8" s="1"/>
  <c r="V13" i="3" l="1"/>
  <c r="W13" i="3" s="1"/>
  <c r="P2" i="8"/>
  <c r="K18" i="1"/>
  <c r="M1" i="10" l="1"/>
  <c r="C16" i="6" s="1"/>
  <c r="C17" i="6" s="1"/>
  <c r="C18" i="6" s="1"/>
  <c r="V14" i="3"/>
  <c r="W14" i="3" s="1"/>
  <c r="E18" i="1"/>
  <c r="V15" i="3" l="1"/>
  <c r="W15" i="3" s="1"/>
  <c r="E17" i="1"/>
  <c r="E16" i="1"/>
  <c r="E15" i="1"/>
  <c r="K17" i="1"/>
  <c r="K16" i="1"/>
  <c r="K15" i="1"/>
  <c r="K14" i="1"/>
  <c r="E14" i="1" l="1"/>
  <c r="K13" i="1" l="1"/>
  <c r="E13" i="1" l="1"/>
  <c r="M13" i="1"/>
  <c r="K12" i="1"/>
  <c r="O15" i="1" l="1"/>
  <c r="E12" i="1" l="1"/>
  <c r="K11" i="1" l="1"/>
  <c r="E11" i="1" l="1"/>
  <c r="K10" i="1" l="1"/>
  <c r="J31" i="1" l="1"/>
  <c r="E10" i="1"/>
  <c r="N25" i="1"/>
  <c r="R14" i="1" l="1"/>
  <c r="R15" i="1" s="1"/>
  <c r="K9" i="1" l="1"/>
  <c r="E9" i="1" l="1"/>
  <c r="K8" i="1" l="1"/>
  <c r="T7" i="1" l="1"/>
  <c r="C9" i="6" l="1"/>
  <c r="E5" i="2"/>
  <c r="E5" i="5"/>
  <c r="C6" i="5" l="1"/>
  <c r="M1" i="5" s="1"/>
  <c r="E6" i="5"/>
  <c r="C1" i="5" s="1"/>
  <c r="I1" i="5" l="1"/>
  <c r="P1" i="5" s="1"/>
  <c r="P2" i="5" s="1"/>
  <c r="U5" i="5" s="1"/>
  <c r="E8" i="1" l="1"/>
  <c r="Q11" i="1" l="1"/>
  <c r="G12" i="3" l="1"/>
  <c r="H12" i="3" s="1"/>
  <c r="K7" i="1" l="1"/>
  <c r="R12" i="3" l="1"/>
  <c r="R9" i="3"/>
  <c r="R10" i="3" s="1"/>
  <c r="J16" i="3"/>
  <c r="K18" i="3" s="1"/>
  <c r="K23" i="3" s="1"/>
  <c r="E12" i="3"/>
  <c r="E11" i="3"/>
  <c r="H11" i="3" s="1"/>
  <c r="H13" i="3" s="1"/>
  <c r="J18" i="3" l="1"/>
  <c r="J20" i="3" s="1"/>
  <c r="B6" i="3"/>
  <c r="C10" i="6" s="1"/>
  <c r="C11" i="6" s="1"/>
  <c r="C12" i="6" s="1"/>
  <c r="K20" i="3"/>
  <c r="E13" i="3"/>
  <c r="H14" i="3" s="1"/>
  <c r="J23" i="3" l="1"/>
  <c r="B7" i="3"/>
  <c r="B8" i="3" s="1"/>
  <c r="E7" i="1"/>
  <c r="C6" i="2" l="1"/>
  <c r="M1" i="2" s="1"/>
  <c r="E6" i="2" l="1"/>
  <c r="C1" i="2" l="1"/>
  <c r="I31" i="1"/>
  <c r="K6" i="1"/>
  <c r="E6" i="1"/>
  <c r="K5" i="1"/>
  <c r="E5" i="1"/>
  <c r="E31" i="1" l="1"/>
  <c r="N1" i="1"/>
  <c r="C3" i="6" s="1"/>
  <c r="I1" i="2"/>
  <c r="K31" i="1"/>
  <c r="P28" i="1" l="1"/>
  <c r="Q28" i="1" s="1"/>
  <c r="C21" i="6"/>
  <c r="C1" i="1"/>
  <c r="J1" i="1" s="1"/>
  <c r="C4" i="6" s="1"/>
  <c r="P1" i="2"/>
  <c r="P2" i="2" s="1"/>
  <c r="V3" i="2" s="1"/>
  <c r="C22" i="6" l="1"/>
  <c r="C23" i="6" s="1"/>
  <c r="C24" i="6" s="1"/>
  <c r="N4" i="1"/>
  <c r="Q4" i="1" s="1"/>
  <c r="Q1" i="1"/>
  <c r="Q2" i="1" s="1"/>
  <c r="C5" i="6" l="1"/>
  <c r="C6" i="6" s="1"/>
</calcChain>
</file>

<file path=xl/sharedStrings.xml><?xml version="1.0" encoding="utf-8"?>
<sst xmlns="http://schemas.openxmlformats.org/spreadsheetml/2006/main" count="218" uniqueCount="80">
  <si>
    <t>S. No.</t>
  </si>
  <si>
    <t>Date</t>
  </si>
  <si>
    <t>Portfolio No.</t>
  </si>
  <si>
    <t>NAV</t>
  </si>
  <si>
    <t>Units</t>
  </si>
  <si>
    <t>Investment</t>
  </si>
  <si>
    <t>Total</t>
  </si>
  <si>
    <t>Total Units</t>
  </si>
  <si>
    <t>Current Value</t>
  </si>
  <si>
    <t>Current NAV</t>
  </si>
  <si>
    <t>Profit</t>
  </si>
  <si>
    <t>Amount Invested</t>
  </si>
  <si>
    <t>Average rate</t>
  </si>
  <si>
    <t>Customer ID</t>
  </si>
  <si>
    <t>UNI No.</t>
  </si>
  <si>
    <t>111L068V01</t>
  </si>
  <si>
    <t>Premium Paid</t>
  </si>
  <si>
    <t>Fund Name</t>
  </si>
  <si>
    <t>Nos of Units</t>
  </si>
  <si>
    <t>NAV Per unit(Rs)</t>
  </si>
  <si>
    <t>SBI Life Index Fund</t>
  </si>
  <si>
    <t>SBI Life Daily Protect Fund</t>
  </si>
  <si>
    <t>Fund value(Rs.)</t>
  </si>
  <si>
    <t>SFIN(Segregated Fund Identification Number)</t>
  </si>
  <si>
    <t>Fund Identification No.</t>
  </si>
  <si>
    <t xml:space="preserve">Daily Protect Fund </t>
  </si>
  <si>
    <t>ULIF020060910DLYPRO1FND111</t>
  </si>
  <si>
    <t>Index Fund</t>
  </si>
  <si>
    <t>ULIF015070110INDEXULFND111</t>
  </si>
  <si>
    <t>Investment Value</t>
  </si>
  <si>
    <t>Profit (Absolute)</t>
  </si>
  <si>
    <t>Profit %</t>
  </si>
  <si>
    <t>Risk Premium</t>
  </si>
  <si>
    <t>Highest NAV</t>
  </si>
  <si>
    <t>5% Higher</t>
  </si>
  <si>
    <t>Value</t>
  </si>
  <si>
    <t>Current Value (Rs)</t>
  </si>
  <si>
    <t>Total Amount Invested</t>
  </si>
  <si>
    <t>Total Profit</t>
  </si>
  <si>
    <t>Absoulte Profit %</t>
  </si>
  <si>
    <t>Mutual Funds</t>
  </si>
  <si>
    <t>ULIP</t>
  </si>
  <si>
    <t>Total Investment</t>
  </si>
  <si>
    <t>Ploicy NO.</t>
  </si>
  <si>
    <t>AF</t>
  </si>
  <si>
    <t>GCD</t>
  </si>
  <si>
    <t>PR</t>
  </si>
  <si>
    <t>Guaranteed Charged Deduction</t>
  </si>
  <si>
    <t>Administration Fee</t>
  </si>
  <si>
    <t>Per Month</t>
  </si>
  <si>
    <t>atul.tegar@gmail.com</t>
  </si>
  <si>
    <t>*_Enigma.5</t>
  </si>
  <si>
    <t>atultegar5</t>
  </si>
  <si>
    <t>atultegar</t>
  </si>
  <si>
    <t>chaosatu</t>
  </si>
  <si>
    <t>Enigma123</t>
  </si>
  <si>
    <t>Deposit</t>
  </si>
  <si>
    <t>Interest</t>
  </si>
  <si>
    <t>Balance</t>
  </si>
  <si>
    <t>A/C No.</t>
  </si>
  <si>
    <t>Branch</t>
  </si>
  <si>
    <t>Sasane Nagar</t>
  </si>
  <si>
    <t>Pune</t>
  </si>
  <si>
    <t>PPF</t>
  </si>
  <si>
    <t>per day</t>
  </si>
  <si>
    <t>sell</t>
  </si>
  <si>
    <t>Column1</t>
  </si>
  <si>
    <t>current date</t>
  </si>
  <si>
    <t>Difference</t>
  </si>
  <si>
    <t>Annualised Return</t>
  </si>
  <si>
    <t>current</t>
  </si>
  <si>
    <t>difference</t>
  </si>
  <si>
    <t>NAV_Date</t>
  </si>
  <si>
    <t>ICICI Prudential Money Market Fund Option - Growth</t>
  </si>
  <si>
    <t>*_Enigma.123</t>
  </si>
  <si>
    <t>Enigma1234567</t>
  </si>
  <si>
    <t>3525003/28</t>
  </si>
  <si>
    <t>SchemeCode</t>
  </si>
  <si>
    <t>SChemeCode</t>
  </si>
  <si>
    <t>schemeCode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</si>
</sst>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₹&quot;\ * #,##0.00_ ;_ &quot;₹&quot;\ * \-#,##0.00_ ;_ &quot;₹&quot;\ * &quot;-&quot;??_ ;_ @_ "/>
    <numFmt numFmtId="164" formatCode="&quot;₹&quot;\ #,##0.00"/>
    <numFmt numFmtId="165" formatCode="0.000"/>
    <numFmt numFmtId="166" formatCode="&quot;₹&quot;\ #,##0.0000"/>
    <numFmt numFmtId="167" formatCode="0.000%"/>
    <numFmt numFmtId="168" formatCode="0.0000%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3" applyNumberFormat="0" applyFill="0" applyAlignment="0" applyProtection="0"/>
    <xf numFmtId="0" fontId="7" fillId="0" borderId="14" applyNumberFormat="0" applyFill="0" applyAlignment="0" applyProtection="0"/>
    <xf numFmtId="0" fontId="8" fillId="0" borderId="15" applyNumberFormat="0" applyFill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16" applyNumberFormat="0" applyAlignment="0" applyProtection="0"/>
    <xf numFmtId="0" fontId="13" fillId="12" borderId="17" applyNumberFormat="0" applyAlignment="0" applyProtection="0"/>
    <xf numFmtId="0" fontId="14" fillId="12" borderId="16" applyNumberFormat="0" applyAlignment="0" applyProtection="0"/>
    <xf numFmtId="0" fontId="15" fillId="0" borderId="18" applyNumberFormat="0" applyFill="0" applyAlignment="0" applyProtection="0"/>
    <xf numFmtId="0" fontId="16" fillId="13" borderId="19" applyNumberFormat="0" applyAlignment="0" applyProtection="0"/>
    <xf numFmtId="0" fontId="17" fillId="0" borderId="0" applyNumberFormat="0" applyFill="0" applyBorder="0" applyAlignment="0" applyProtection="0"/>
    <xf numFmtId="0" fontId="2" fillId="14" borderId="2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21" applyNumberFormat="0" applyFill="0" applyAlignment="0" applyProtection="0"/>
    <xf numFmtId="0" fontId="19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9" fillId="38" borderId="0" applyNumberFormat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14" fontId="0" fillId="0" borderId="8" xfId="0" applyNumberFormat="1" applyBorder="1"/>
    <xf numFmtId="164" fontId="0" fillId="0" borderId="8" xfId="0" applyNumberFormat="1" applyBorder="1"/>
    <xf numFmtId="0" fontId="0" fillId="0" borderId="8" xfId="0" applyBorder="1"/>
    <xf numFmtId="165" fontId="0" fillId="0" borderId="3" xfId="0" applyNumberFormat="1" applyBorder="1"/>
    <xf numFmtId="165" fontId="0" fillId="0" borderId="9" xfId="0" applyNumberFormat="1" applyBorder="1"/>
    <xf numFmtId="165" fontId="0" fillId="0" borderId="0" xfId="0" applyNumberFormat="1"/>
    <xf numFmtId="16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10" fontId="0" fillId="0" borderId="0" xfId="0" applyNumberFormat="1"/>
    <xf numFmtId="10" fontId="0" fillId="0" borderId="0" xfId="1" applyNumberFormat="1" applyFont="1"/>
    <xf numFmtId="0" fontId="0" fillId="5" borderId="1" xfId="0" applyFill="1" applyBorder="1"/>
    <xf numFmtId="44" fontId="0" fillId="0" borderId="1" xfId="0" applyNumberFormat="1" applyBorder="1"/>
    <xf numFmtId="10" fontId="0" fillId="0" borderId="1" xfId="1" applyNumberFormat="1" applyFont="1" applyBorder="1"/>
    <xf numFmtId="0" fontId="0" fillId="6" borderId="1" xfId="0" applyFill="1" applyBorder="1"/>
    <xf numFmtId="0" fontId="0" fillId="7" borderId="1" xfId="0" applyFill="1" applyBorder="1"/>
    <xf numFmtId="166" fontId="0" fillId="0" borderId="0" xfId="0" applyNumberFormat="1"/>
    <xf numFmtId="44" fontId="0" fillId="0" borderId="0" xfId="0" applyNumberFormat="1"/>
    <xf numFmtId="9" fontId="0" fillId="0" borderId="0" xfId="1" applyFont="1"/>
    <xf numFmtId="0" fontId="0" fillId="0" borderId="0" xfId="0" applyFill="1" applyBorder="1"/>
    <xf numFmtId="164" fontId="0" fillId="0" borderId="0" xfId="0" applyNumberFormat="1" applyFill="1" applyBorder="1"/>
    <xf numFmtId="9" fontId="0" fillId="0" borderId="0" xfId="0" applyNumberFormat="1"/>
    <xf numFmtId="0" fontId="3" fillId="0" borderId="0" xfId="2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10" xfId="0" applyBorder="1"/>
    <xf numFmtId="167" fontId="0" fillId="0" borderId="0" xfId="1" applyNumberFormat="1" applyFont="1"/>
    <xf numFmtId="0" fontId="0" fillId="0" borderId="0" xfId="0" applyNumberFormat="1"/>
    <xf numFmtId="168" fontId="0" fillId="0" borderId="0" xfId="1" applyNumberFormat="1" applyFont="1"/>
    <xf numFmtId="0" fontId="0" fillId="0" borderId="7" xfId="0" applyFill="1" applyBorder="1"/>
    <xf numFmtId="14" fontId="0" fillId="0" borderId="8" xfId="0" applyNumberFormat="1" applyFill="1" applyBorder="1"/>
    <xf numFmtId="164" fontId="0" fillId="0" borderId="8" xfId="0" applyNumberFormat="1" applyFill="1" applyBorder="1"/>
    <xf numFmtId="0" fontId="0" fillId="0" borderId="8" xfId="0" applyFill="1" applyBorder="1"/>
    <xf numFmtId="165" fontId="0" fillId="0" borderId="9" xfId="0" applyNumberFormat="1" applyFill="1" applyBorder="1"/>
    <xf numFmtId="0" fontId="0" fillId="2" borderId="8" xfId="0" applyFill="1" applyBorder="1"/>
    <xf numFmtId="0" fontId="1" fillId="2" borderId="5" xfId="0" applyFont="1" applyFill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 applyAlignment="1">
      <alignment horizontal="center" vertical="center"/>
    </xf>
    <xf numFmtId="22" fontId="0" fillId="0" borderId="0" xfId="0" applyNumberFormat="1"/>
    <xf numFmtId="1" fontId="0" fillId="0" borderId="0" xfId="0" applyNumberFormat="1"/>
    <xf numFmtId="0" fontId="1" fillId="0" borderId="24" xfId="0" applyFont="1" applyBorder="1" applyAlignment="1">
      <alignment horizontal="center" vertical="center" wrapText="1"/>
    </xf>
    <xf numFmtId="14" fontId="0" fillId="0" borderId="23" xfId="0" applyNumberForma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25" xfId="0" applyFont="1" applyBorder="1" applyAlignment="1">
      <alignment horizontal="center" vertical="center" wrapText="1"/>
    </xf>
    <xf numFmtId="14" fontId="0" fillId="0" borderId="26" xfId="0" applyNumberFormat="1" applyBorder="1" applyAlignment="1">
      <alignment wrapText="1"/>
    </xf>
    <xf numFmtId="0" fontId="0" fillId="0" borderId="2" xfId="0" applyFill="1" applyBorder="1"/>
    <xf numFmtId="14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  <xf numFmtId="165" fontId="0" fillId="0" borderId="3" xfId="0" applyNumberFormat="1" applyFill="1" applyBorder="1"/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142"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/>
        <top style="thin">
          <color rgb="FF000000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'BSL Tax Plan'!$B$10</c:f>
              <c:strCache>
                <c:ptCount val="1"/>
                <c:pt idx="0">
                  <c:v>NAV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'BSL Tax Plan'!$A$11:$A$390</c:f>
              <c:numCache>
                <c:formatCode>m/d/yyyy</c:formatCode>
                <c:ptCount val="380"/>
                <c:pt idx="0">
                  <c:v>42370</c:v>
                </c:pt>
                <c:pt idx="1">
                  <c:v>42373</c:v>
                </c:pt>
                <c:pt idx="2">
                  <c:v>42374</c:v>
                </c:pt>
                <c:pt idx="3">
                  <c:v>42375</c:v>
                </c:pt>
                <c:pt idx="4">
                  <c:v>42376</c:v>
                </c:pt>
                <c:pt idx="5">
                  <c:v>42377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42387</c:v>
                </c:pt>
                <c:pt idx="12">
                  <c:v>42388</c:v>
                </c:pt>
                <c:pt idx="13">
                  <c:v>42389</c:v>
                </c:pt>
                <c:pt idx="14">
                  <c:v>42390</c:v>
                </c:pt>
                <c:pt idx="15">
                  <c:v>42391</c:v>
                </c:pt>
                <c:pt idx="16">
                  <c:v>42394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42408</c:v>
                </c:pt>
                <c:pt idx="26">
                  <c:v>42409</c:v>
                </c:pt>
                <c:pt idx="27">
                  <c:v>42410</c:v>
                </c:pt>
                <c:pt idx="28">
                  <c:v>42411</c:v>
                </c:pt>
                <c:pt idx="29">
                  <c:v>42412</c:v>
                </c:pt>
                <c:pt idx="30">
                  <c:v>42415</c:v>
                </c:pt>
                <c:pt idx="31">
                  <c:v>42416</c:v>
                </c:pt>
                <c:pt idx="32">
                  <c:v>42417</c:v>
                </c:pt>
                <c:pt idx="33">
                  <c:v>42418</c:v>
                </c:pt>
                <c:pt idx="34">
                  <c:v>42419</c:v>
                </c:pt>
                <c:pt idx="35">
                  <c:v>42422</c:v>
                </c:pt>
                <c:pt idx="36">
                  <c:v>42423</c:v>
                </c:pt>
                <c:pt idx="37">
                  <c:v>42424</c:v>
                </c:pt>
                <c:pt idx="38">
                  <c:v>42425</c:v>
                </c:pt>
                <c:pt idx="39">
                  <c:v>42426</c:v>
                </c:pt>
                <c:pt idx="40">
                  <c:v>42429</c:v>
                </c:pt>
                <c:pt idx="41">
                  <c:v>42430</c:v>
                </c:pt>
                <c:pt idx="42">
                  <c:v>42431</c:v>
                </c:pt>
                <c:pt idx="43">
                  <c:v>42432</c:v>
                </c:pt>
                <c:pt idx="44">
                  <c:v>42433</c:v>
                </c:pt>
                <c:pt idx="45">
                  <c:v>42437</c:v>
                </c:pt>
                <c:pt idx="46">
                  <c:v>42438</c:v>
                </c:pt>
                <c:pt idx="47">
                  <c:v>42439</c:v>
                </c:pt>
                <c:pt idx="48">
                  <c:v>42440</c:v>
                </c:pt>
                <c:pt idx="49">
                  <c:v>42443</c:v>
                </c:pt>
                <c:pt idx="50">
                  <c:v>42444</c:v>
                </c:pt>
                <c:pt idx="51">
                  <c:v>42445</c:v>
                </c:pt>
                <c:pt idx="52">
                  <c:v>42446</c:v>
                </c:pt>
                <c:pt idx="53">
                  <c:v>42447</c:v>
                </c:pt>
                <c:pt idx="54">
                  <c:v>42450</c:v>
                </c:pt>
                <c:pt idx="55">
                  <c:v>42451</c:v>
                </c:pt>
                <c:pt idx="56">
                  <c:v>42452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42478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42492</c:v>
                </c:pt>
                <c:pt idx="80">
                  <c:v>42493</c:v>
                </c:pt>
                <c:pt idx="81">
                  <c:v>42494</c:v>
                </c:pt>
                <c:pt idx="82">
                  <c:v>42495</c:v>
                </c:pt>
                <c:pt idx="83">
                  <c:v>42496</c:v>
                </c:pt>
                <c:pt idx="84">
                  <c:v>42499</c:v>
                </c:pt>
                <c:pt idx="85">
                  <c:v>42500</c:v>
                </c:pt>
                <c:pt idx="86">
                  <c:v>42501</c:v>
                </c:pt>
                <c:pt idx="87">
                  <c:v>42502</c:v>
                </c:pt>
                <c:pt idx="88">
                  <c:v>42503</c:v>
                </c:pt>
                <c:pt idx="89">
                  <c:v>42506</c:v>
                </c:pt>
                <c:pt idx="90">
                  <c:v>42507</c:v>
                </c:pt>
                <c:pt idx="91">
                  <c:v>42508</c:v>
                </c:pt>
                <c:pt idx="92">
                  <c:v>42509</c:v>
                </c:pt>
                <c:pt idx="93">
                  <c:v>42510</c:v>
                </c:pt>
                <c:pt idx="94">
                  <c:v>42513</c:v>
                </c:pt>
                <c:pt idx="95">
                  <c:v>42514</c:v>
                </c:pt>
                <c:pt idx="96">
                  <c:v>42515</c:v>
                </c:pt>
                <c:pt idx="97">
                  <c:v>42516</c:v>
                </c:pt>
                <c:pt idx="98">
                  <c:v>42517</c:v>
                </c:pt>
                <c:pt idx="99">
                  <c:v>42520</c:v>
                </c:pt>
                <c:pt idx="100">
                  <c:v>42521</c:v>
                </c:pt>
                <c:pt idx="101">
                  <c:v>42522</c:v>
                </c:pt>
                <c:pt idx="102">
                  <c:v>42523</c:v>
                </c:pt>
                <c:pt idx="103">
                  <c:v>42524</c:v>
                </c:pt>
                <c:pt idx="104">
                  <c:v>42527</c:v>
                </c:pt>
                <c:pt idx="105">
                  <c:v>42528</c:v>
                </c:pt>
                <c:pt idx="106">
                  <c:v>42529</c:v>
                </c:pt>
                <c:pt idx="107">
                  <c:v>42530</c:v>
                </c:pt>
                <c:pt idx="108">
                  <c:v>42531</c:v>
                </c:pt>
                <c:pt idx="109">
                  <c:v>42534</c:v>
                </c:pt>
                <c:pt idx="110">
                  <c:v>42535</c:v>
                </c:pt>
                <c:pt idx="111">
                  <c:v>42536</c:v>
                </c:pt>
                <c:pt idx="112">
                  <c:v>42537</c:v>
                </c:pt>
                <c:pt idx="113">
                  <c:v>42538</c:v>
                </c:pt>
                <c:pt idx="114">
                  <c:v>42541</c:v>
                </c:pt>
                <c:pt idx="115">
                  <c:v>42542</c:v>
                </c:pt>
                <c:pt idx="116">
                  <c:v>42543</c:v>
                </c:pt>
                <c:pt idx="117">
                  <c:v>42544</c:v>
                </c:pt>
                <c:pt idx="118">
                  <c:v>42545</c:v>
                </c:pt>
                <c:pt idx="119">
                  <c:v>42548</c:v>
                </c:pt>
                <c:pt idx="120">
                  <c:v>42549</c:v>
                </c:pt>
                <c:pt idx="121">
                  <c:v>42550</c:v>
                </c:pt>
                <c:pt idx="122">
                  <c:v>42551</c:v>
                </c:pt>
                <c:pt idx="123">
                  <c:v>42552</c:v>
                </c:pt>
                <c:pt idx="124">
                  <c:v>42555</c:v>
                </c:pt>
                <c:pt idx="125">
                  <c:v>42556</c:v>
                </c:pt>
                <c:pt idx="126">
                  <c:v>42558</c:v>
                </c:pt>
                <c:pt idx="127">
                  <c:v>42559</c:v>
                </c:pt>
                <c:pt idx="128">
                  <c:v>42562</c:v>
                </c:pt>
                <c:pt idx="129">
                  <c:v>42563</c:v>
                </c:pt>
                <c:pt idx="130">
                  <c:v>42564</c:v>
                </c:pt>
                <c:pt idx="131">
                  <c:v>42565</c:v>
                </c:pt>
                <c:pt idx="132">
                  <c:v>42566</c:v>
                </c:pt>
                <c:pt idx="133">
                  <c:v>42569</c:v>
                </c:pt>
                <c:pt idx="134">
                  <c:v>42570</c:v>
                </c:pt>
                <c:pt idx="135">
                  <c:v>42571</c:v>
                </c:pt>
                <c:pt idx="136">
                  <c:v>42572</c:v>
                </c:pt>
                <c:pt idx="137">
                  <c:v>42573</c:v>
                </c:pt>
                <c:pt idx="138">
                  <c:v>42576</c:v>
                </c:pt>
                <c:pt idx="139">
                  <c:v>42577</c:v>
                </c:pt>
                <c:pt idx="140">
                  <c:v>42578</c:v>
                </c:pt>
                <c:pt idx="141">
                  <c:v>42579</c:v>
                </c:pt>
                <c:pt idx="142">
                  <c:v>42580</c:v>
                </c:pt>
                <c:pt idx="143">
                  <c:v>42583</c:v>
                </c:pt>
                <c:pt idx="144">
                  <c:v>42585</c:v>
                </c:pt>
                <c:pt idx="145">
                  <c:v>42586</c:v>
                </c:pt>
                <c:pt idx="146">
                  <c:v>42587</c:v>
                </c:pt>
                <c:pt idx="147">
                  <c:v>42590</c:v>
                </c:pt>
                <c:pt idx="148">
                  <c:v>42591</c:v>
                </c:pt>
                <c:pt idx="149">
                  <c:v>42592</c:v>
                </c:pt>
                <c:pt idx="150">
                  <c:v>42593</c:v>
                </c:pt>
                <c:pt idx="151">
                  <c:v>42594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42619</c:v>
                </c:pt>
                <c:pt idx="167">
                  <c:v>42620</c:v>
                </c:pt>
                <c:pt idx="168">
                  <c:v>42621</c:v>
                </c:pt>
                <c:pt idx="169">
                  <c:v>42622</c:v>
                </c:pt>
                <c:pt idx="170">
                  <c:v>42625</c:v>
                </c:pt>
                <c:pt idx="171">
                  <c:v>42627</c:v>
                </c:pt>
                <c:pt idx="172">
                  <c:v>42628</c:v>
                </c:pt>
                <c:pt idx="173">
                  <c:v>42629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42646</c:v>
                </c:pt>
                <c:pt idx="185">
                  <c:v>42647</c:v>
                </c:pt>
                <c:pt idx="186">
                  <c:v>42648</c:v>
                </c:pt>
                <c:pt idx="187">
                  <c:v>42649</c:v>
                </c:pt>
                <c:pt idx="188">
                  <c:v>42650</c:v>
                </c:pt>
                <c:pt idx="189">
                  <c:v>42653</c:v>
                </c:pt>
                <c:pt idx="190">
                  <c:v>42656</c:v>
                </c:pt>
                <c:pt idx="191">
                  <c:v>42657</c:v>
                </c:pt>
                <c:pt idx="192">
                  <c:v>42660</c:v>
                </c:pt>
                <c:pt idx="193">
                  <c:v>42661</c:v>
                </c:pt>
                <c:pt idx="194">
                  <c:v>42662</c:v>
                </c:pt>
                <c:pt idx="195">
                  <c:v>42663</c:v>
                </c:pt>
                <c:pt idx="196">
                  <c:v>42664</c:v>
                </c:pt>
                <c:pt idx="197">
                  <c:v>42667</c:v>
                </c:pt>
                <c:pt idx="198">
                  <c:v>42668</c:v>
                </c:pt>
                <c:pt idx="199">
                  <c:v>42669</c:v>
                </c:pt>
                <c:pt idx="200">
                  <c:v>42670</c:v>
                </c:pt>
                <c:pt idx="201">
                  <c:v>42671</c:v>
                </c:pt>
                <c:pt idx="202">
                  <c:v>42675</c:v>
                </c:pt>
                <c:pt idx="203">
                  <c:v>42676</c:v>
                </c:pt>
                <c:pt idx="204">
                  <c:v>42677</c:v>
                </c:pt>
                <c:pt idx="205">
                  <c:v>42678</c:v>
                </c:pt>
                <c:pt idx="206">
                  <c:v>42681</c:v>
                </c:pt>
                <c:pt idx="207">
                  <c:v>42682</c:v>
                </c:pt>
                <c:pt idx="208">
                  <c:v>42683</c:v>
                </c:pt>
                <c:pt idx="209">
                  <c:v>42684</c:v>
                </c:pt>
                <c:pt idx="210">
                  <c:v>42685</c:v>
                </c:pt>
                <c:pt idx="211">
                  <c:v>42689</c:v>
                </c:pt>
                <c:pt idx="212">
                  <c:v>42690</c:v>
                </c:pt>
                <c:pt idx="213">
                  <c:v>42691</c:v>
                </c:pt>
                <c:pt idx="214">
                  <c:v>42692</c:v>
                </c:pt>
                <c:pt idx="215">
                  <c:v>42695</c:v>
                </c:pt>
                <c:pt idx="216">
                  <c:v>42696</c:v>
                </c:pt>
                <c:pt idx="217">
                  <c:v>42697</c:v>
                </c:pt>
                <c:pt idx="218">
                  <c:v>42698</c:v>
                </c:pt>
                <c:pt idx="219">
                  <c:v>42699</c:v>
                </c:pt>
                <c:pt idx="220">
                  <c:v>42702</c:v>
                </c:pt>
                <c:pt idx="221">
                  <c:v>42703</c:v>
                </c:pt>
                <c:pt idx="222">
                  <c:v>42704</c:v>
                </c:pt>
                <c:pt idx="223">
                  <c:v>42705</c:v>
                </c:pt>
                <c:pt idx="224">
                  <c:v>42706</c:v>
                </c:pt>
                <c:pt idx="225">
                  <c:v>42709</c:v>
                </c:pt>
                <c:pt idx="226">
                  <c:v>42710</c:v>
                </c:pt>
                <c:pt idx="227">
                  <c:v>42711</c:v>
                </c:pt>
                <c:pt idx="228">
                  <c:v>42712</c:v>
                </c:pt>
                <c:pt idx="229">
                  <c:v>42713</c:v>
                </c:pt>
                <c:pt idx="230">
                  <c:v>42716</c:v>
                </c:pt>
                <c:pt idx="231">
                  <c:v>42717</c:v>
                </c:pt>
                <c:pt idx="232">
                  <c:v>42718</c:v>
                </c:pt>
                <c:pt idx="233">
                  <c:v>42719</c:v>
                </c:pt>
                <c:pt idx="234">
                  <c:v>42720</c:v>
                </c:pt>
                <c:pt idx="235">
                  <c:v>42723</c:v>
                </c:pt>
                <c:pt idx="236">
                  <c:v>42724</c:v>
                </c:pt>
                <c:pt idx="237">
                  <c:v>42725</c:v>
                </c:pt>
                <c:pt idx="238">
                  <c:v>42726</c:v>
                </c:pt>
                <c:pt idx="239">
                  <c:v>42727</c:v>
                </c:pt>
                <c:pt idx="240">
                  <c:v>42730</c:v>
                </c:pt>
                <c:pt idx="241">
                  <c:v>42731</c:v>
                </c:pt>
                <c:pt idx="242">
                  <c:v>42732</c:v>
                </c:pt>
                <c:pt idx="243">
                  <c:v>42733</c:v>
                </c:pt>
                <c:pt idx="244">
                  <c:v>42734</c:v>
                </c:pt>
                <c:pt idx="245">
                  <c:v>42737</c:v>
                </c:pt>
                <c:pt idx="246">
                  <c:v>42738</c:v>
                </c:pt>
                <c:pt idx="247">
                  <c:v>42739</c:v>
                </c:pt>
                <c:pt idx="248">
                  <c:v>42740</c:v>
                </c:pt>
                <c:pt idx="249">
                  <c:v>42741</c:v>
                </c:pt>
                <c:pt idx="250">
                  <c:v>42744</c:v>
                </c:pt>
                <c:pt idx="251">
                  <c:v>42745</c:v>
                </c:pt>
                <c:pt idx="252">
                  <c:v>42746</c:v>
                </c:pt>
                <c:pt idx="253">
                  <c:v>42747</c:v>
                </c:pt>
                <c:pt idx="254">
                  <c:v>42748</c:v>
                </c:pt>
                <c:pt idx="255">
                  <c:v>42751</c:v>
                </c:pt>
                <c:pt idx="256">
                  <c:v>42752</c:v>
                </c:pt>
                <c:pt idx="257">
                  <c:v>42753</c:v>
                </c:pt>
                <c:pt idx="258">
                  <c:v>42754</c:v>
                </c:pt>
                <c:pt idx="259">
                  <c:v>42755</c:v>
                </c:pt>
                <c:pt idx="260">
                  <c:v>42758</c:v>
                </c:pt>
                <c:pt idx="261">
                  <c:v>42759</c:v>
                </c:pt>
                <c:pt idx="262">
                  <c:v>42760</c:v>
                </c:pt>
                <c:pt idx="263">
                  <c:v>42762</c:v>
                </c:pt>
                <c:pt idx="264">
                  <c:v>42765</c:v>
                </c:pt>
                <c:pt idx="265">
                  <c:v>42766</c:v>
                </c:pt>
                <c:pt idx="266">
                  <c:v>42767</c:v>
                </c:pt>
                <c:pt idx="267">
                  <c:v>42768</c:v>
                </c:pt>
                <c:pt idx="268">
                  <c:v>42769</c:v>
                </c:pt>
                <c:pt idx="269">
                  <c:v>42772</c:v>
                </c:pt>
                <c:pt idx="270">
                  <c:v>42773</c:v>
                </c:pt>
                <c:pt idx="271">
                  <c:v>42774</c:v>
                </c:pt>
                <c:pt idx="272">
                  <c:v>42775</c:v>
                </c:pt>
                <c:pt idx="273">
                  <c:v>42776</c:v>
                </c:pt>
                <c:pt idx="274">
                  <c:v>42779</c:v>
                </c:pt>
                <c:pt idx="275">
                  <c:v>42780</c:v>
                </c:pt>
                <c:pt idx="276">
                  <c:v>42781</c:v>
                </c:pt>
                <c:pt idx="277">
                  <c:v>42782</c:v>
                </c:pt>
                <c:pt idx="278">
                  <c:v>42783</c:v>
                </c:pt>
                <c:pt idx="279">
                  <c:v>42786</c:v>
                </c:pt>
                <c:pt idx="280">
                  <c:v>42787</c:v>
                </c:pt>
                <c:pt idx="281">
                  <c:v>42788</c:v>
                </c:pt>
                <c:pt idx="282">
                  <c:v>42789</c:v>
                </c:pt>
                <c:pt idx="283">
                  <c:v>42793</c:v>
                </c:pt>
                <c:pt idx="284">
                  <c:v>42794</c:v>
                </c:pt>
                <c:pt idx="285">
                  <c:v>42795</c:v>
                </c:pt>
                <c:pt idx="286">
                  <c:v>42796</c:v>
                </c:pt>
                <c:pt idx="287">
                  <c:v>42797</c:v>
                </c:pt>
                <c:pt idx="288">
                  <c:v>42800</c:v>
                </c:pt>
                <c:pt idx="289">
                  <c:v>42801</c:v>
                </c:pt>
                <c:pt idx="290">
                  <c:v>42802</c:v>
                </c:pt>
                <c:pt idx="291">
                  <c:v>42803</c:v>
                </c:pt>
                <c:pt idx="292">
                  <c:v>42804</c:v>
                </c:pt>
                <c:pt idx="293">
                  <c:v>42808</c:v>
                </c:pt>
                <c:pt idx="294">
                  <c:v>42809</c:v>
                </c:pt>
                <c:pt idx="295">
                  <c:v>42810</c:v>
                </c:pt>
                <c:pt idx="296">
                  <c:v>42811</c:v>
                </c:pt>
                <c:pt idx="297">
                  <c:v>42814</c:v>
                </c:pt>
                <c:pt idx="298">
                  <c:v>42815</c:v>
                </c:pt>
                <c:pt idx="299">
                  <c:v>42816</c:v>
                </c:pt>
                <c:pt idx="300">
                  <c:v>42817</c:v>
                </c:pt>
                <c:pt idx="301">
                  <c:v>42818</c:v>
                </c:pt>
                <c:pt idx="302">
                  <c:v>42821</c:v>
                </c:pt>
                <c:pt idx="303">
                  <c:v>42822</c:v>
                </c:pt>
                <c:pt idx="304">
                  <c:v>42823</c:v>
                </c:pt>
                <c:pt idx="305">
                  <c:v>42824</c:v>
                </c:pt>
                <c:pt idx="306">
                  <c:v>42825</c:v>
                </c:pt>
                <c:pt idx="307">
                  <c:v>42828</c:v>
                </c:pt>
                <c:pt idx="308">
                  <c:v>42830</c:v>
                </c:pt>
                <c:pt idx="309">
                  <c:v>42831</c:v>
                </c:pt>
                <c:pt idx="310">
                  <c:v>42832</c:v>
                </c:pt>
                <c:pt idx="311">
                  <c:v>42835</c:v>
                </c:pt>
                <c:pt idx="312">
                  <c:v>42836</c:v>
                </c:pt>
                <c:pt idx="313">
                  <c:v>42837</c:v>
                </c:pt>
                <c:pt idx="314">
                  <c:v>42838</c:v>
                </c:pt>
                <c:pt idx="315">
                  <c:v>42842</c:v>
                </c:pt>
                <c:pt idx="316">
                  <c:v>42843</c:v>
                </c:pt>
                <c:pt idx="317">
                  <c:v>42844</c:v>
                </c:pt>
                <c:pt idx="318">
                  <c:v>42845</c:v>
                </c:pt>
                <c:pt idx="319">
                  <c:v>42846</c:v>
                </c:pt>
                <c:pt idx="320">
                  <c:v>42849</c:v>
                </c:pt>
                <c:pt idx="321">
                  <c:v>42850</c:v>
                </c:pt>
                <c:pt idx="322">
                  <c:v>42851</c:v>
                </c:pt>
                <c:pt idx="323">
                  <c:v>42852</c:v>
                </c:pt>
                <c:pt idx="324">
                  <c:v>42853</c:v>
                </c:pt>
                <c:pt idx="325">
                  <c:v>42857</c:v>
                </c:pt>
                <c:pt idx="326">
                  <c:v>42858</c:v>
                </c:pt>
                <c:pt idx="327">
                  <c:v>42859</c:v>
                </c:pt>
                <c:pt idx="328">
                  <c:v>42860</c:v>
                </c:pt>
                <c:pt idx="329">
                  <c:v>42863</c:v>
                </c:pt>
                <c:pt idx="330">
                  <c:v>42864</c:v>
                </c:pt>
                <c:pt idx="331">
                  <c:v>42865</c:v>
                </c:pt>
                <c:pt idx="332">
                  <c:v>42866</c:v>
                </c:pt>
                <c:pt idx="333">
                  <c:v>42867</c:v>
                </c:pt>
                <c:pt idx="334">
                  <c:v>42870</c:v>
                </c:pt>
                <c:pt idx="335">
                  <c:v>42871</c:v>
                </c:pt>
                <c:pt idx="336">
                  <c:v>42872</c:v>
                </c:pt>
                <c:pt idx="337">
                  <c:v>42873</c:v>
                </c:pt>
                <c:pt idx="338">
                  <c:v>42874</c:v>
                </c:pt>
                <c:pt idx="339">
                  <c:v>42877</c:v>
                </c:pt>
                <c:pt idx="340">
                  <c:v>42878</c:v>
                </c:pt>
                <c:pt idx="341">
                  <c:v>42879</c:v>
                </c:pt>
                <c:pt idx="342">
                  <c:v>42880</c:v>
                </c:pt>
                <c:pt idx="343">
                  <c:v>42881</c:v>
                </c:pt>
                <c:pt idx="344">
                  <c:v>42884</c:v>
                </c:pt>
                <c:pt idx="345">
                  <c:v>42885</c:v>
                </c:pt>
                <c:pt idx="346">
                  <c:v>42886</c:v>
                </c:pt>
                <c:pt idx="347">
                  <c:v>42887</c:v>
                </c:pt>
                <c:pt idx="348">
                  <c:v>42888</c:v>
                </c:pt>
                <c:pt idx="349">
                  <c:v>42891</c:v>
                </c:pt>
                <c:pt idx="350">
                  <c:v>42892</c:v>
                </c:pt>
                <c:pt idx="351">
                  <c:v>42893</c:v>
                </c:pt>
                <c:pt idx="352">
                  <c:v>42894</c:v>
                </c:pt>
                <c:pt idx="353">
                  <c:v>42895</c:v>
                </c:pt>
                <c:pt idx="354">
                  <c:v>42898</c:v>
                </c:pt>
                <c:pt idx="355">
                  <c:v>42899</c:v>
                </c:pt>
                <c:pt idx="356">
                  <c:v>42900</c:v>
                </c:pt>
                <c:pt idx="357">
                  <c:v>42901</c:v>
                </c:pt>
                <c:pt idx="358">
                  <c:v>42902</c:v>
                </c:pt>
                <c:pt idx="359">
                  <c:v>42905</c:v>
                </c:pt>
                <c:pt idx="360">
                  <c:v>42906</c:v>
                </c:pt>
                <c:pt idx="361">
                  <c:v>42907</c:v>
                </c:pt>
                <c:pt idx="362">
                  <c:v>42908</c:v>
                </c:pt>
                <c:pt idx="363">
                  <c:v>42909</c:v>
                </c:pt>
                <c:pt idx="364">
                  <c:v>42914</c:v>
                </c:pt>
                <c:pt idx="365">
                  <c:v>42915</c:v>
                </c:pt>
                <c:pt idx="366">
                  <c:v>42916</c:v>
                </c:pt>
                <c:pt idx="367">
                  <c:v>42919</c:v>
                </c:pt>
                <c:pt idx="368">
                  <c:v>42920</c:v>
                </c:pt>
                <c:pt idx="369">
                  <c:v>42921</c:v>
                </c:pt>
                <c:pt idx="370">
                  <c:v>42922</c:v>
                </c:pt>
                <c:pt idx="371">
                  <c:v>42923</c:v>
                </c:pt>
                <c:pt idx="372">
                  <c:v>42926</c:v>
                </c:pt>
                <c:pt idx="373">
                  <c:v>42927</c:v>
                </c:pt>
                <c:pt idx="374">
                  <c:v>42928</c:v>
                </c:pt>
                <c:pt idx="375">
                  <c:v>42929</c:v>
                </c:pt>
                <c:pt idx="376">
                  <c:v>42930</c:v>
                </c:pt>
                <c:pt idx="377">
                  <c:v>42933</c:v>
                </c:pt>
                <c:pt idx="378">
                  <c:v>42934</c:v>
                </c:pt>
                <c:pt idx="379">
                  <c:v>42935</c:v>
                </c:pt>
              </c:numCache>
            </c:numRef>
          </c:cat>
          <c:val>
            <c:numRef>
              <c:f>'BSL Tax Plan'!$B$11:$B$390</c:f>
              <c:numCache>
                <c:formatCode>General</c:formatCode>
                <c:ptCount val="380"/>
                <c:pt idx="0">
                  <c:v>28.43</c:v>
                </c:pt>
                <c:pt idx="1">
                  <c:v>27.99</c:v>
                </c:pt>
                <c:pt idx="2">
                  <c:v>28</c:v>
                </c:pt>
                <c:pt idx="3">
                  <c:v>27.9</c:v>
                </c:pt>
                <c:pt idx="4">
                  <c:v>27.41</c:v>
                </c:pt>
                <c:pt idx="5">
                  <c:v>27.56</c:v>
                </c:pt>
                <c:pt idx="6">
                  <c:v>27.44</c:v>
                </c:pt>
                <c:pt idx="7">
                  <c:v>27.28</c:v>
                </c:pt>
                <c:pt idx="8">
                  <c:v>27.33</c:v>
                </c:pt>
                <c:pt idx="9">
                  <c:v>27.13</c:v>
                </c:pt>
                <c:pt idx="10">
                  <c:v>26.73</c:v>
                </c:pt>
                <c:pt idx="11">
                  <c:v>26.07</c:v>
                </c:pt>
                <c:pt idx="12">
                  <c:v>26.38</c:v>
                </c:pt>
                <c:pt idx="13">
                  <c:v>25.91</c:v>
                </c:pt>
                <c:pt idx="14">
                  <c:v>25.86</c:v>
                </c:pt>
                <c:pt idx="15">
                  <c:v>26.33</c:v>
                </c:pt>
                <c:pt idx="16">
                  <c:v>26.37</c:v>
                </c:pt>
                <c:pt idx="17">
                  <c:v>26.38</c:v>
                </c:pt>
                <c:pt idx="18">
                  <c:v>26.33</c:v>
                </c:pt>
                <c:pt idx="19">
                  <c:v>26.79</c:v>
                </c:pt>
                <c:pt idx="20">
                  <c:v>26.78</c:v>
                </c:pt>
                <c:pt idx="21">
                  <c:v>26.48</c:v>
                </c:pt>
                <c:pt idx="22">
                  <c:v>26.16</c:v>
                </c:pt>
                <c:pt idx="23">
                  <c:v>26.19</c:v>
                </c:pt>
                <c:pt idx="24">
                  <c:v>26.53</c:v>
                </c:pt>
                <c:pt idx="25">
                  <c:v>30.61</c:v>
                </c:pt>
                <c:pt idx="26">
                  <c:v>26.05</c:v>
                </c:pt>
                <c:pt idx="27">
                  <c:v>25.89</c:v>
                </c:pt>
                <c:pt idx="28">
                  <c:v>25.09</c:v>
                </c:pt>
                <c:pt idx="29">
                  <c:v>24.96</c:v>
                </c:pt>
                <c:pt idx="30">
                  <c:v>25.57</c:v>
                </c:pt>
                <c:pt idx="31">
                  <c:v>25.13</c:v>
                </c:pt>
                <c:pt idx="32">
                  <c:v>25.3</c:v>
                </c:pt>
                <c:pt idx="33">
                  <c:v>25.5</c:v>
                </c:pt>
                <c:pt idx="34">
                  <c:v>25.51</c:v>
                </c:pt>
                <c:pt idx="35">
                  <c:v>25.61</c:v>
                </c:pt>
                <c:pt idx="36">
                  <c:v>25.31</c:v>
                </c:pt>
                <c:pt idx="37">
                  <c:v>25.04</c:v>
                </c:pt>
                <c:pt idx="38">
                  <c:v>24.76</c:v>
                </c:pt>
                <c:pt idx="39">
                  <c:v>24.88</c:v>
                </c:pt>
                <c:pt idx="40">
                  <c:v>24.76</c:v>
                </c:pt>
                <c:pt idx="41">
                  <c:v>25.46</c:v>
                </c:pt>
                <c:pt idx="42">
                  <c:v>25.78</c:v>
                </c:pt>
                <c:pt idx="43">
                  <c:v>26</c:v>
                </c:pt>
                <c:pt idx="44">
                  <c:v>26.15</c:v>
                </c:pt>
                <c:pt idx="45">
                  <c:v>30.37</c:v>
                </c:pt>
                <c:pt idx="46">
                  <c:v>26.27</c:v>
                </c:pt>
                <c:pt idx="47">
                  <c:v>26.16</c:v>
                </c:pt>
                <c:pt idx="48">
                  <c:v>26.2</c:v>
                </c:pt>
                <c:pt idx="49">
                  <c:v>26.21</c:v>
                </c:pt>
                <c:pt idx="50">
                  <c:v>26.04</c:v>
                </c:pt>
                <c:pt idx="51">
                  <c:v>26.04</c:v>
                </c:pt>
                <c:pt idx="52">
                  <c:v>26.1</c:v>
                </c:pt>
                <c:pt idx="53">
                  <c:v>26.32</c:v>
                </c:pt>
                <c:pt idx="54">
                  <c:v>26.66</c:v>
                </c:pt>
                <c:pt idx="55">
                  <c:v>26.79</c:v>
                </c:pt>
                <c:pt idx="56">
                  <c:v>26.9</c:v>
                </c:pt>
                <c:pt idx="57">
                  <c:v>26.73</c:v>
                </c:pt>
                <c:pt idx="58">
                  <c:v>26.77</c:v>
                </c:pt>
                <c:pt idx="59">
                  <c:v>27.1</c:v>
                </c:pt>
                <c:pt idx="60">
                  <c:v>27.27</c:v>
                </c:pt>
                <c:pt idx="61">
                  <c:v>27.2</c:v>
                </c:pt>
                <c:pt idx="62">
                  <c:v>27.26</c:v>
                </c:pt>
                <c:pt idx="63">
                  <c:v>26.89</c:v>
                </c:pt>
                <c:pt idx="64">
                  <c:v>27.05</c:v>
                </c:pt>
                <c:pt idx="65">
                  <c:v>26.84</c:v>
                </c:pt>
                <c:pt idx="66">
                  <c:v>30.41</c:v>
                </c:pt>
                <c:pt idx="67">
                  <c:v>27.21</c:v>
                </c:pt>
                <c:pt idx="68">
                  <c:v>27.39</c:v>
                </c:pt>
                <c:pt idx="69">
                  <c:v>27.77</c:v>
                </c:pt>
                <c:pt idx="70">
                  <c:v>28.02</c:v>
                </c:pt>
                <c:pt idx="71">
                  <c:v>28</c:v>
                </c:pt>
                <c:pt idx="72">
                  <c:v>27.92</c:v>
                </c:pt>
                <c:pt idx="73">
                  <c:v>27.88</c:v>
                </c:pt>
                <c:pt idx="74">
                  <c:v>27.8</c:v>
                </c:pt>
                <c:pt idx="75">
                  <c:v>28.07</c:v>
                </c:pt>
                <c:pt idx="76">
                  <c:v>28.09</c:v>
                </c:pt>
                <c:pt idx="77">
                  <c:v>27.85</c:v>
                </c:pt>
                <c:pt idx="78">
                  <c:v>27.95</c:v>
                </c:pt>
                <c:pt idx="79">
                  <c:v>27.93</c:v>
                </c:pt>
                <c:pt idx="80">
                  <c:v>27.8</c:v>
                </c:pt>
                <c:pt idx="81">
                  <c:v>27.66</c:v>
                </c:pt>
                <c:pt idx="82">
                  <c:v>27.71</c:v>
                </c:pt>
                <c:pt idx="83">
                  <c:v>27.73</c:v>
                </c:pt>
                <c:pt idx="84">
                  <c:v>28.09</c:v>
                </c:pt>
                <c:pt idx="85">
                  <c:v>28.17</c:v>
                </c:pt>
                <c:pt idx="86">
                  <c:v>28.22</c:v>
                </c:pt>
                <c:pt idx="87">
                  <c:v>28.39</c:v>
                </c:pt>
                <c:pt idx="88">
                  <c:v>28.22</c:v>
                </c:pt>
                <c:pt idx="89">
                  <c:v>28.29</c:v>
                </c:pt>
                <c:pt idx="90">
                  <c:v>28.36</c:v>
                </c:pt>
                <c:pt idx="91">
                  <c:v>28.31</c:v>
                </c:pt>
                <c:pt idx="92">
                  <c:v>28.09</c:v>
                </c:pt>
                <c:pt idx="93">
                  <c:v>27.82</c:v>
                </c:pt>
                <c:pt idx="94">
                  <c:v>27.76</c:v>
                </c:pt>
                <c:pt idx="95">
                  <c:v>27.74</c:v>
                </c:pt>
                <c:pt idx="96">
                  <c:v>28.15</c:v>
                </c:pt>
                <c:pt idx="97">
                  <c:v>28.48</c:v>
                </c:pt>
                <c:pt idx="98">
                  <c:v>28.69</c:v>
                </c:pt>
                <c:pt idx="99">
                  <c:v>28.78</c:v>
                </c:pt>
                <c:pt idx="100">
                  <c:v>28.68</c:v>
                </c:pt>
                <c:pt idx="101">
                  <c:v>28.67</c:v>
                </c:pt>
                <c:pt idx="102">
                  <c:v>28.78</c:v>
                </c:pt>
                <c:pt idx="103">
                  <c:v>28.81</c:v>
                </c:pt>
                <c:pt idx="104">
                  <c:v>28.76</c:v>
                </c:pt>
                <c:pt idx="105">
                  <c:v>28.87</c:v>
                </c:pt>
                <c:pt idx="106">
                  <c:v>28.89</c:v>
                </c:pt>
                <c:pt idx="107">
                  <c:v>28.83</c:v>
                </c:pt>
                <c:pt idx="108">
                  <c:v>28.78</c:v>
                </c:pt>
                <c:pt idx="109">
                  <c:v>28.63</c:v>
                </c:pt>
                <c:pt idx="110">
                  <c:v>28.61</c:v>
                </c:pt>
                <c:pt idx="111">
                  <c:v>28.85</c:v>
                </c:pt>
                <c:pt idx="112">
                  <c:v>28.7</c:v>
                </c:pt>
                <c:pt idx="113">
                  <c:v>28.77</c:v>
                </c:pt>
                <c:pt idx="114">
                  <c:v>28.92</c:v>
                </c:pt>
                <c:pt idx="115">
                  <c:v>28.94</c:v>
                </c:pt>
                <c:pt idx="116">
                  <c:v>28.87</c:v>
                </c:pt>
                <c:pt idx="117">
                  <c:v>29</c:v>
                </c:pt>
                <c:pt idx="118">
                  <c:v>28.51</c:v>
                </c:pt>
                <c:pt idx="119">
                  <c:v>28.68</c:v>
                </c:pt>
                <c:pt idx="120">
                  <c:v>28.78</c:v>
                </c:pt>
                <c:pt idx="121">
                  <c:v>29.07</c:v>
                </c:pt>
                <c:pt idx="122">
                  <c:v>29.33</c:v>
                </c:pt>
                <c:pt idx="123">
                  <c:v>29.43</c:v>
                </c:pt>
                <c:pt idx="124">
                  <c:v>29.63</c:v>
                </c:pt>
                <c:pt idx="125">
                  <c:v>29.59</c:v>
                </c:pt>
                <c:pt idx="126">
                  <c:v>29.53</c:v>
                </c:pt>
                <c:pt idx="127">
                  <c:v>29.57</c:v>
                </c:pt>
                <c:pt idx="128">
                  <c:v>29.88</c:v>
                </c:pt>
                <c:pt idx="129">
                  <c:v>29.92</c:v>
                </c:pt>
                <c:pt idx="130">
                  <c:v>29.75</c:v>
                </c:pt>
                <c:pt idx="131">
                  <c:v>29.9</c:v>
                </c:pt>
                <c:pt idx="132">
                  <c:v>29.84</c:v>
                </c:pt>
                <c:pt idx="133">
                  <c:v>29.78</c:v>
                </c:pt>
                <c:pt idx="134">
                  <c:v>29.88</c:v>
                </c:pt>
                <c:pt idx="135">
                  <c:v>29.96</c:v>
                </c:pt>
                <c:pt idx="136">
                  <c:v>29.8</c:v>
                </c:pt>
                <c:pt idx="137">
                  <c:v>30.12</c:v>
                </c:pt>
                <c:pt idx="138">
                  <c:v>30.41</c:v>
                </c:pt>
                <c:pt idx="139">
                  <c:v>30.26</c:v>
                </c:pt>
                <c:pt idx="140">
                  <c:v>30.37</c:v>
                </c:pt>
                <c:pt idx="141">
                  <c:v>30.59</c:v>
                </c:pt>
                <c:pt idx="142">
                  <c:v>30.69</c:v>
                </c:pt>
                <c:pt idx="143">
                  <c:v>30.69</c:v>
                </c:pt>
                <c:pt idx="144">
                  <c:v>30.37</c:v>
                </c:pt>
                <c:pt idx="145">
                  <c:v>30.41</c:v>
                </c:pt>
                <c:pt idx="146">
                  <c:v>30.96</c:v>
                </c:pt>
                <c:pt idx="147">
                  <c:v>31.06</c:v>
                </c:pt>
                <c:pt idx="148">
                  <c:v>30.97</c:v>
                </c:pt>
                <c:pt idx="149">
                  <c:v>30.63</c:v>
                </c:pt>
                <c:pt idx="150">
                  <c:v>30.55</c:v>
                </c:pt>
                <c:pt idx="151">
                  <c:v>30.73</c:v>
                </c:pt>
                <c:pt idx="152">
                  <c:v>30.6</c:v>
                </c:pt>
                <c:pt idx="153">
                  <c:v>30.59</c:v>
                </c:pt>
                <c:pt idx="154">
                  <c:v>30.77</c:v>
                </c:pt>
                <c:pt idx="155">
                  <c:v>30.71</c:v>
                </c:pt>
                <c:pt idx="156">
                  <c:v>30.63</c:v>
                </c:pt>
                <c:pt idx="157">
                  <c:v>30.64</c:v>
                </c:pt>
                <c:pt idx="158">
                  <c:v>30.72</c:v>
                </c:pt>
                <c:pt idx="159">
                  <c:v>30.56</c:v>
                </c:pt>
                <c:pt idx="160">
                  <c:v>30.63</c:v>
                </c:pt>
                <c:pt idx="161">
                  <c:v>30.74</c:v>
                </c:pt>
                <c:pt idx="162">
                  <c:v>31.08</c:v>
                </c:pt>
                <c:pt idx="163">
                  <c:v>31.21</c:v>
                </c:pt>
                <c:pt idx="164">
                  <c:v>31.06</c:v>
                </c:pt>
                <c:pt idx="165">
                  <c:v>31.24</c:v>
                </c:pt>
                <c:pt idx="166">
                  <c:v>31.64</c:v>
                </c:pt>
                <c:pt idx="167">
                  <c:v>31.59</c:v>
                </c:pt>
                <c:pt idx="168">
                  <c:v>31.68</c:v>
                </c:pt>
                <c:pt idx="169">
                  <c:v>31.42</c:v>
                </c:pt>
                <c:pt idx="170">
                  <c:v>30.91</c:v>
                </c:pt>
                <c:pt idx="171">
                  <c:v>31.04</c:v>
                </c:pt>
                <c:pt idx="172">
                  <c:v>31.13</c:v>
                </c:pt>
                <c:pt idx="173">
                  <c:v>31.12</c:v>
                </c:pt>
                <c:pt idx="174">
                  <c:v>31.29</c:v>
                </c:pt>
                <c:pt idx="175">
                  <c:v>31.26</c:v>
                </c:pt>
                <c:pt idx="176">
                  <c:v>31.29</c:v>
                </c:pt>
                <c:pt idx="177">
                  <c:v>31.58</c:v>
                </c:pt>
                <c:pt idx="178">
                  <c:v>31.61</c:v>
                </c:pt>
                <c:pt idx="179">
                  <c:v>31.51</c:v>
                </c:pt>
                <c:pt idx="180">
                  <c:v>31.56</c:v>
                </c:pt>
                <c:pt idx="181">
                  <c:v>31.73</c:v>
                </c:pt>
                <c:pt idx="182">
                  <c:v>31.09</c:v>
                </c:pt>
                <c:pt idx="183">
                  <c:v>31.42</c:v>
                </c:pt>
                <c:pt idx="184">
                  <c:v>31.99</c:v>
                </c:pt>
                <c:pt idx="185">
                  <c:v>31.94</c:v>
                </c:pt>
                <c:pt idx="186">
                  <c:v>31.97</c:v>
                </c:pt>
                <c:pt idx="187">
                  <c:v>31.89</c:v>
                </c:pt>
                <c:pt idx="188">
                  <c:v>31.89</c:v>
                </c:pt>
                <c:pt idx="189">
                  <c:v>31.93</c:v>
                </c:pt>
                <c:pt idx="190">
                  <c:v>31.58</c:v>
                </c:pt>
                <c:pt idx="191">
                  <c:v>31.61</c:v>
                </c:pt>
                <c:pt idx="192">
                  <c:v>31.37</c:v>
                </c:pt>
                <c:pt idx="193">
                  <c:v>31.93</c:v>
                </c:pt>
                <c:pt idx="194">
                  <c:v>31.97</c:v>
                </c:pt>
                <c:pt idx="195">
                  <c:v>32.130000000000003</c:v>
                </c:pt>
                <c:pt idx="196">
                  <c:v>32.29</c:v>
                </c:pt>
                <c:pt idx="197">
                  <c:v>32.25</c:v>
                </c:pt>
                <c:pt idx="198">
                  <c:v>32.119999999999997</c:v>
                </c:pt>
                <c:pt idx="199">
                  <c:v>31.88</c:v>
                </c:pt>
                <c:pt idx="200">
                  <c:v>31.71</c:v>
                </c:pt>
                <c:pt idx="201">
                  <c:v>31.92</c:v>
                </c:pt>
                <c:pt idx="202">
                  <c:v>31.91</c:v>
                </c:pt>
                <c:pt idx="203">
                  <c:v>31.67</c:v>
                </c:pt>
                <c:pt idx="204">
                  <c:v>31.26</c:v>
                </c:pt>
                <c:pt idx="205">
                  <c:v>30.77</c:v>
                </c:pt>
                <c:pt idx="206">
                  <c:v>30.87</c:v>
                </c:pt>
                <c:pt idx="207">
                  <c:v>31.03</c:v>
                </c:pt>
                <c:pt idx="208">
                  <c:v>30.6</c:v>
                </c:pt>
                <c:pt idx="209">
                  <c:v>30.89</c:v>
                </c:pt>
                <c:pt idx="210">
                  <c:v>30.12</c:v>
                </c:pt>
                <c:pt idx="211">
                  <c:v>29.04</c:v>
                </c:pt>
                <c:pt idx="212">
                  <c:v>29.08</c:v>
                </c:pt>
                <c:pt idx="213">
                  <c:v>28.99</c:v>
                </c:pt>
                <c:pt idx="214">
                  <c:v>28.89</c:v>
                </c:pt>
                <c:pt idx="215">
                  <c:v>28.22</c:v>
                </c:pt>
                <c:pt idx="216">
                  <c:v>28.59</c:v>
                </c:pt>
                <c:pt idx="217">
                  <c:v>28.82</c:v>
                </c:pt>
                <c:pt idx="218">
                  <c:v>28.63</c:v>
                </c:pt>
                <c:pt idx="219">
                  <c:v>28.99</c:v>
                </c:pt>
                <c:pt idx="220">
                  <c:v>29.11</c:v>
                </c:pt>
                <c:pt idx="221">
                  <c:v>29.26</c:v>
                </c:pt>
                <c:pt idx="222">
                  <c:v>29.52</c:v>
                </c:pt>
                <c:pt idx="223">
                  <c:v>29.33</c:v>
                </c:pt>
                <c:pt idx="224">
                  <c:v>29.07</c:v>
                </c:pt>
                <c:pt idx="225">
                  <c:v>29.23</c:v>
                </c:pt>
                <c:pt idx="226">
                  <c:v>29.21</c:v>
                </c:pt>
                <c:pt idx="227">
                  <c:v>29.09</c:v>
                </c:pt>
                <c:pt idx="228">
                  <c:v>29.52</c:v>
                </c:pt>
                <c:pt idx="229">
                  <c:v>29.56</c:v>
                </c:pt>
                <c:pt idx="230">
                  <c:v>29.41</c:v>
                </c:pt>
                <c:pt idx="231">
                  <c:v>29.48</c:v>
                </c:pt>
                <c:pt idx="232">
                  <c:v>29.37</c:v>
                </c:pt>
                <c:pt idx="233">
                  <c:v>29.33</c:v>
                </c:pt>
                <c:pt idx="234">
                  <c:v>29.34</c:v>
                </c:pt>
                <c:pt idx="235">
                  <c:v>29.21</c:v>
                </c:pt>
                <c:pt idx="236">
                  <c:v>29.04</c:v>
                </c:pt>
                <c:pt idx="237">
                  <c:v>29.02</c:v>
                </c:pt>
                <c:pt idx="238">
                  <c:v>28.73</c:v>
                </c:pt>
                <c:pt idx="239">
                  <c:v>28.79</c:v>
                </c:pt>
                <c:pt idx="240">
                  <c:v>28.47</c:v>
                </c:pt>
                <c:pt idx="241">
                  <c:v>28.77</c:v>
                </c:pt>
                <c:pt idx="242">
                  <c:v>28.85</c:v>
                </c:pt>
                <c:pt idx="243">
                  <c:v>29.15</c:v>
                </c:pt>
                <c:pt idx="244">
                  <c:v>29.55</c:v>
                </c:pt>
                <c:pt idx="245">
                  <c:v>29.57</c:v>
                </c:pt>
                <c:pt idx="246">
                  <c:v>29.66</c:v>
                </c:pt>
                <c:pt idx="247">
                  <c:v>29.6</c:v>
                </c:pt>
                <c:pt idx="248">
                  <c:v>29.86</c:v>
                </c:pt>
                <c:pt idx="249">
                  <c:v>29.81</c:v>
                </c:pt>
                <c:pt idx="250">
                  <c:v>29.86</c:v>
                </c:pt>
                <c:pt idx="251">
                  <c:v>29.96</c:v>
                </c:pt>
                <c:pt idx="252">
                  <c:v>30.31</c:v>
                </c:pt>
                <c:pt idx="253">
                  <c:v>30.37</c:v>
                </c:pt>
                <c:pt idx="254">
                  <c:v>30.28</c:v>
                </c:pt>
                <c:pt idx="255">
                  <c:v>30.35</c:v>
                </c:pt>
                <c:pt idx="256">
                  <c:v>30.28</c:v>
                </c:pt>
                <c:pt idx="257">
                  <c:v>30.43</c:v>
                </c:pt>
                <c:pt idx="258">
                  <c:v>30.41</c:v>
                </c:pt>
                <c:pt idx="259">
                  <c:v>30.17</c:v>
                </c:pt>
                <c:pt idx="260">
                  <c:v>30.32</c:v>
                </c:pt>
                <c:pt idx="261">
                  <c:v>30.54</c:v>
                </c:pt>
                <c:pt idx="262">
                  <c:v>30.96</c:v>
                </c:pt>
                <c:pt idx="263">
                  <c:v>31.01</c:v>
                </c:pt>
                <c:pt idx="264">
                  <c:v>30.96</c:v>
                </c:pt>
                <c:pt idx="265">
                  <c:v>30.73</c:v>
                </c:pt>
                <c:pt idx="266">
                  <c:v>31.16</c:v>
                </c:pt>
                <c:pt idx="267">
                  <c:v>31.2</c:v>
                </c:pt>
                <c:pt idx="268">
                  <c:v>31.21</c:v>
                </c:pt>
                <c:pt idx="269">
                  <c:v>31.36</c:v>
                </c:pt>
                <c:pt idx="270">
                  <c:v>31.58</c:v>
                </c:pt>
                <c:pt idx="271">
                  <c:v>31.73</c:v>
                </c:pt>
                <c:pt idx="272">
                  <c:v>31.74</c:v>
                </c:pt>
                <c:pt idx="273">
                  <c:v>31.73</c:v>
                </c:pt>
                <c:pt idx="274">
                  <c:v>31.65</c:v>
                </c:pt>
                <c:pt idx="275">
                  <c:v>31.51</c:v>
                </c:pt>
                <c:pt idx="276">
                  <c:v>31.2</c:v>
                </c:pt>
                <c:pt idx="277">
                  <c:v>31.4</c:v>
                </c:pt>
                <c:pt idx="278">
                  <c:v>31.44</c:v>
                </c:pt>
                <c:pt idx="279">
                  <c:v>31.57</c:v>
                </c:pt>
                <c:pt idx="280">
                  <c:v>31.74</c:v>
                </c:pt>
                <c:pt idx="281">
                  <c:v>31.73</c:v>
                </c:pt>
                <c:pt idx="282">
                  <c:v>31.77</c:v>
                </c:pt>
                <c:pt idx="283">
                  <c:v>31.7</c:v>
                </c:pt>
                <c:pt idx="284">
                  <c:v>31.71</c:v>
                </c:pt>
                <c:pt idx="285">
                  <c:v>31.86</c:v>
                </c:pt>
                <c:pt idx="286">
                  <c:v>31.61</c:v>
                </c:pt>
                <c:pt idx="287">
                  <c:v>31.69</c:v>
                </c:pt>
                <c:pt idx="288">
                  <c:v>31.83</c:v>
                </c:pt>
                <c:pt idx="289">
                  <c:v>31.8</c:v>
                </c:pt>
                <c:pt idx="290">
                  <c:v>31.79</c:v>
                </c:pt>
                <c:pt idx="291">
                  <c:v>31.81</c:v>
                </c:pt>
                <c:pt idx="292">
                  <c:v>31.82</c:v>
                </c:pt>
                <c:pt idx="293">
                  <c:v>32.22</c:v>
                </c:pt>
                <c:pt idx="294">
                  <c:v>32.369999999999997</c:v>
                </c:pt>
                <c:pt idx="295">
                  <c:v>32.630000000000003</c:v>
                </c:pt>
                <c:pt idx="296">
                  <c:v>32.630000000000003</c:v>
                </c:pt>
                <c:pt idx="297">
                  <c:v>32.58</c:v>
                </c:pt>
                <c:pt idx="298">
                  <c:v>32.619999999999997</c:v>
                </c:pt>
                <c:pt idx="299">
                  <c:v>32.409999999999997</c:v>
                </c:pt>
                <c:pt idx="300">
                  <c:v>32.659999999999997</c:v>
                </c:pt>
                <c:pt idx="301">
                  <c:v>32.82</c:v>
                </c:pt>
                <c:pt idx="302">
                  <c:v>32.880000000000003</c:v>
                </c:pt>
                <c:pt idx="303">
                  <c:v>32.979999999999997</c:v>
                </c:pt>
                <c:pt idx="304">
                  <c:v>33.450000000000003</c:v>
                </c:pt>
                <c:pt idx="305">
                  <c:v>33.65</c:v>
                </c:pt>
                <c:pt idx="306">
                  <c:v>33.770000000000003</c:v>
                </c:pt>
                <c:pt idx="307">
                  <c:v>33.89</c:v>
                </c:pt>
                <c:pt idx="308">
                  <c:v>34.090000000000003</c:v>
                </c:pt>
                <c:pt idx="309">
                  <c:v>34.07</c:v>
                </c:pt>
                <c:pt idx="310">
                  <c:v>33.9</c:v>
                </c:pt>
                <c:pt idx="311">
                  <c:v>34.1</c:v>
                </c:pt>
                <c:pt idx="312">
                  <c:v>34.24</c:v>
                </c:pt>
                <c:pt idx="313">
                  <c:v>34.14</c:v>
                </c:pt>
                <c:pt idx="314">
                  <c:v>34.049999999999997</c:v>
                </c:pt>
                <c:pt idx="315">
                  <c:v>34.049999999999997</c:v>
                </c:pt>
                <c:pt idx="316">
                  <c:v>33.909999999999997</c:v>
                </c:pt>
                <c:pt idx="317">
                  <c:v>34</c:v>
                </c:pt>
                <c:pt idx="318">
                  <c:v>34.29</c:v>
                </c:pt>
                <c:pt idx="319">
                  <c:v>34.35</c:v>
                </c:pt>
                <c:pt idx="320">
                  <c:v>34.64</c:v>
                </c:pt>
                <c:pt idx="321">
                  <c:v>35.04</c:v>
                </c:pt>
                <c:pt idx="322">
                  <c:v>35.06</c:v>
                </c:pt>
                <c:pt idx="323">
                  <c:v>34.99</c:v>
                </c:pt>
                <c:pt idx="324">
                  <c:v>34.880000000000003</c:v>
                </c:pt>
                <c:pt idx="325">
                  <c:v>34.92</c:v>
                </c:pt>
                <c:pt idx="326">
                  <c:v>34.9</c:v>
                </c:pt>
                <c:pt idx="327">
                  <c:v>35.04</c:v>
                </c:pt>
                <c:pt idx="328">
                  <c:v>34.869999999999997</c:v>
                </c:pt>
                <c:pt idx="329">
                  <c:v>35.03</c:v>
                </c:pt>
                <c:pt idx="330">
                  <c:v>35.130000000000003</c:v>
                </c:pt>
                <c:pt idx="331">
                  <c:v>35.25</c:v>
                </c:pt>
                <c:pt idx="332">
                  <c:v>35.28</c:v>
                </c:pt>
                <c:pt idx="333">
                  <c:v>35.08</c:v>
                </c:pt>
                <c:pt idx="334">
                  <c:v>35.33</c:v>
                </c:pt>
                <c:pt idx="335">
                  <c:v>35.450000000000003</c:v>
                </c:pt>
                <c:pt idx="336">
                  <c:v>35.35</c:v>
                </c:pt>
                <c:pt idx="337">
                  <c:v>34.880000000000003</c:v>
                </c:pt>
                <c:pt idx="338">
                  <c:v>34.74</c:v>
                </c:pt>
                <c:pt idx="339">
                  <c:v>34.51</c:v>
                </c:pt>
                <c:pt idx="340">
                  <c:v>34.200000000000003</c:v>
                </c:pt>
                <c:pt idx="341">
                  <c:v>33.869999999999997</c:v>
                </c:pt>
                <c:pt idx="342">
                  <c:v>34.270000000000003</c:v>
                </c:pt>
                <c:pt idx="343">
                  <c:v>34.590000000000003</c:v>
                </c:pt>
                <c:pt idx="344">
                  <c:v>34.51</c:v>
                </c:pt>
                <c:pt idx="345">
                  <c:v>34.619999999999997</c:v>
                </c:pt>
                <c:pt idx="346">
                  <c:v>34.909999999999997</c:v>
                </c:pt>
                <c:pt idx="347">
                  <c:v>35.21</c:v>
                </c:pt>
                <c:pt idx="348">
                  <c:v>35.46</c:v>
                </c:pt>
                <c:pt idx="349">
                  <c:v>35.56</c:v>
                </c:pt>
                <c:pt idx="350">
                  <c:v>35.450000000000003</c:v>
                </c:pt>
                <c:pt idx="351">
                  <c:v>35.56</c:v>
                </c:pt>
                <c:pt idx="352">
                  <c:v>35.58</c:v>
                </c:pt>
                <c:pt idx="353">
                  <c:v>35.65</c:v>
                </c:pt>
                <c:pt idx="354">
                  <c:v>35.479999999999997</c:v>
                </c:pt>
                <c:pt idx="355">
                  <c:v>35.369999999999997</c:v>
                </c:pt>
                <c:pt idx="356">
                  <c:v>35.369999999999997</c:v>
                </c:pt>
                <c:pt idx="357">
                  <c:v>35.43</c:v>
                </c:pt>
                <c:pt idx="358">
                  <c:v>35.53</c:v>
                </c:pt>
                <c:pt idx="359">
                  <c:v>35.659999999999997</c:v>
                </c:pt>
                <c:pt idx="360">
                  <c:v>35.75</c:v>
                </c:pt>
                <c:pt idx="361">
                  <c:v>35.770000000000003</c:v>
                </c:pt>
                <c:pt idx="362">
                  <c:v>35.770000000000003</c:v>
                </c:pt>
                <c:pt idx="363">
                  <c:v>35.49</c:v>
                </c:pt>
                <c:pt idx="364">
                  <c:v>35.380000000000003</c:v>
                </c:pt>
                <c:pt idx="365">
                  <c:v>35.58</c:v>
                </c:pt>
                <c:pt idx="366">
                  <c:v>35.799999999999997</c:v>
                </c:pt>
                <c:pt idx="367">
                  <c:v>36.11</c:v>
                </c:pt>
                <c:pt idx="368">
                  <c:v>36.090000000000003</c:v>
                </c:pt>
                <c:pt idx="369">
                  <c:v>36.25</c:v>
                </c:pt>
                <c:pt idx="370">
                  <c:v>36.31</c:v>
                </c:pt>
                <c:pt idx="371">
                  <c:v>36.29</c:v>
                </c:pt>
                <c:pt idx="372">
                  <c:v>36.520000000000003</c:v>
                </c:pt>
                <c:pt idx="373">
                  <c:v>36.44</c:v>
                </c:pt>
                <c:pt idx="374">
                  <c:v>36.65</c:v>
                </c:pt>
                <c:pt idx="375">
                  <c:v>36.86</c:v>
                </c:pt>
                <c:pt idx="376">
                  <c:v>36.869999999999997</c:v>
                </c:pt>
                <c:pt idx="377">
                  <c:v>36.96</c:v>
                </c:pt>
                <c:pt idx="378">
                  <c:v>36.85</c:v>
                </c:pt>
                <c:pt idx="379">
                  <c:v>37.08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15264"/>
        <c:axId val="174215824"/>
      </c:lineChart>
      <c:dateAx>
        <c:axId val="174215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5824"/>
        <c:crosses val="autoZero"/>
        <c:auto val="1"/>
        <c:lblOffset val="100"/>
        <c:baseTimeUnit val="days"/>
      </c:dateAx>
      <c:valAx>
        <c:axId val="174215824"/>
        <c:scaling>
          <c:orientation val="minMax"/>
          <c:max val="4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5264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9</xdr:row>
      <xdr:rowOff>19049</xdr:rowOff>
    </xdr:from>
    <xdr:to>
      <xdr:col>20</xdr:col>
      <xdr:colOff>1028700</xdr:colOff>
      <xdr:row>38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E31" totalsRowCount="1" headerRowDxfId="141" headerRowBorderDxfId="140" tableBorderDxfId="139" totalsRowBorderDxfId="138">
  <autoFilter ref="A4:E30"/>
  <tableColumns count="5">
    <tableColumn id="1" name="S. No." totalsRowLabel="Total" dataDxfId="137" totalsRowDxfId="136"/>
    <tableColumn id="2" name="Date" dataDxfId="135" totalsRowDxfId="134"/>
    <tableColumn id="3" name="Investment" totalsRowFunction="sum" dataDxfId="133" totalsRowDxfId="132"/>
    <tableColumn id="4" name="NAV" totalsRowFunction="average" dataDxfId="131" totalsRowDxfId="130"/>
    <tableColumn id="5" name="Units" totalsRowFunction="sum" dataDxfId="129" totalsRowDxfId="128">
      <calculatedColumnFormula>C5/D5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4:K31" totalsRowCount="1" headerRowDxfId="127" headerRowBorderDxfId="126" tableBorderDxfId="125" totalsRowBorderDxfId="124">
  <autoFilter ref="G4:K30"/>
  <tableColumns count="5">
    <tableColumn id="1" name="S. No." totalsRowLabel="Total" dataDxfId="123" totalsRowDxfId="122"/>
    <tableColumn id="2" name="Date" dataDxfId="121" totalsRowDxfId="120"/>
    <tableColumn id="3" name="Investment" totalsRowFunction="sum" dataDxfId="119" totalsRowDxfId="118"/>
    <tableColumn id="4" name="NAV" totalsRowFunction="average" dataDxfId="117" totalsRowDxfId="116"/>
    <tableColumn id="5" name="Units" totalsRowFunction="sum" dataDxfId="115" totalsRowDxfId="114">
      <calculatedColumnFormula>I5/J5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8" name="Table139" displayName="Table139" ref="A4:E6" totalsRowCount="1" headerRowDxfId="113" headerRowBorderDxfId="112" tableBorderDxfId="111" totalsRowBorderDxfId="110">
  <autoFilter ref="A4:E5"/>
  <tableColumns count="5">
    <tableColumn id="1" name="S. No." totalsRowLabel="Total" dataDxfId="109" totalsRowDxfId="108"/>
    <tableColumn id="2" name="Date" dataDxfId="107" totalsRowDxfId="106"/>
    <tableColumn id="3" name="Investment" totalsRowFunction="sum" dataDxfId="105" totalsRowDxfId="104"/>
    <tableColumn id="4" name="NAV" dataDxfId="103" totalsRowDxfId="102"/>
    <tableColumn id="5" name="Units" totalsRowFunction="sum" dataDxfId="101" totalsRowDxfId="100">
      <calculatedColumnFormula>ROUND(C5/D5,3)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4:E6" totalsRowCount="1" headerRowDxfId="99" headerRowBorderDxfId="98" tableBorderDxfId="97" totalsRowBorderDxfId="96">
  <autoFilter ref="A4:E5"/>
  <tableColumns count="5">
    <tableColumn id="1" name="S. No." totalsRowLabel="Total" dataDxfId="95" totalsRowDxfId="94"/>
    <tableColumn id="2" name="Date" dataDxfId="93" totalsRowDxfId="92"/>
    <tableColumn id="3" name="Investment" totalsRowFunction="sum" dataDxfId="91" totalsRowDxfId="90"/>
    <tableColumn id="4" name="NAV" dataDxfId="89" totalsRowDxfId="88"/>
    <tableColumn id="5" name="Units" totalsRowFunction="sum" dataDxfId="87" totalsRowDxfId="86">
      <calculatedColumnFormula>ROUND(C5/D5,3)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4" name="Table135" displayName="Table135" ref="A4:E6" totalsRowCount="1" headerRowDxfId="85" headerRowBorderDxfId="84" tableBorderDxfId="83" totalsRowBorderDxfId="82">
  <autoFilter ref="A4:E5"/>
  <tableColumns count="5">
    <tableColumn id="1" name="S. No." totalsRowLabel="Total" dataDxfId="81" totalsRowDxfId="80"/>
    <tableColumn id="2" name="Date" dataDxfId="79" totalsRowDxfId="78"/>
    <tableColumn id="3" name="Investment" totalsRowFunction="sum" dataDxfId="77" totalsRowDxfId="76"/>
    <tableColumn id="4" name="NAV" dataDxfId="75" totalsRowDxfId="74"/>
    <tableColumn id="5" name="Units" totalsRowFunction="sum" dataDxfId="73" totalsRowDxfId="72">
      <calculatedColumnFormula>ROUND(C5/D5,3)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0:B390" totalsRowShown="0" headerRowDxfId="71" headerRowBorderDxfId="70" tableBorderDxfId="69" totalsRowBorderDxfId="68">
  <autoFilter ref="A10:B390"/>
  <tableColumns count="2">
    <tableColumn id="1" name="NAV_Date" dataDxfId="67"/>
    <tableColumn id="2" name="NAV" dataDxfId="6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TableABSLBF" displayName="TableABSLBF" ref="A4:E6" totalsRowCount="1" headerRowDxfId="65" headerRowBorderDxfId="64" tableBorderDxfId="63" totalsRowBorderDxfId="62">
  <autoFilter ref="A4:E5"/>
  <tableColumns count="5">
    <tableColumn id="1" name="S. No." totalsRowLabel="Total" dataDxfId="61" totalsRowDxfId="60"/>
    <tableColumn id="2" name="Date" dataDxfId="59" totalsRowDxfId="58"/>
    <tableColumn id="3" name="Investment" totalsRowFunction="sum" dataDxfId="57" totalsRowDxfId="56"/>
    <tableColumn id="4" name="NAV" dataDxfId="55" totalsRowDxfId="54"/>
    <tableColumn id="5" name="Units" totalsRowFunction="sum" dataDxfId="53" totalsRowDxfId="52">
      <calculatedColumnFormula>ROUND(C5/D5,3)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11" name="Table1312" displayName="Table1312" ref="A4:E7" totalsRowCount="1" headerRowDxfId="51" headerRowBorderDxfId="50" tableBorderDxfId="49" totalsRowBorderDxfId="48">
  <autoFilter ref="A4:E6"/>
  <tableColumns count="5">
    <tableColumn id="1" name="S. No." totalsRowLabel="Total" dataDxfId="47" totalsRowDxfId="46"/>
    <tableColumn id="2" name="Date" dataDxfId="45" totalsRowDxfId="44"/>
    <tableColumn id="3" name="Investment" totalsRowFunction="sum" dataDxfId="43" totalsRowDxfId="42"/>
    <tableColumn id="4" name="NAV" dataDxfId="41" totalsRowDxfId="40"/>
    <tableColumn id="5" name="Units" totalsRowFunction="sum" dataDxfId="39" totalsRowDxfId="38">
      <calculatedColumnFormula>ROUND(C5/D5,3)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0" name="TableABSLBF11" displayName="TableABSLBF11" ref="A4:E6" totalsRowCount="1" headerRowDxfId="37" headerRowBorderDxfId="36" tableBorderDxfId="35" totalsRowBorderDxfId="34">
  <autoFilter ref="A4:E5"/>
  <tableColumns count="5">
    <tableColumn id="1" name="S. No." totalsRowLabel="Total" dataDxfId="33" totalsRowDxfId="32"/>
    <tableColumn id="2" name="Date" dataDxfId="31" totalsRowDxfId="30"/>
    <tableColumn id="3" name="Investment" totalsRowFunction="sum" dataDxfId="29" totalsRowDxfId="28"/>
    <tableColumn id="4" name="NAV" dataDxfId="27" totalsRowDxfId="26"/>
    <tableColumn id="5" name="Units" totalsRowFunction="sum" dataDxfId="25" totalsRowDxfId="24">
      <calculatedColumnFormula>ROUND(C5/D5,3)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5" name="Table136" displayName="Table136" ref="A4:F8" totalsRowCount="1" headerRowDxfId="23" headerRowBorderDxfId="22" tableBorderDxfId="21" totalsRowBorderDxfId="20">
  <autoFilter ref="A4:F7"/>
  <tableColumns count="6">
    <tableColumn id="1" name="S. No." totalsRowLabel="Total" dataDxfId="19" totalsRowDxfId="18"/>
    <tableColumn id="2" name="Date" dataDxfId="17" totalsRowDxfId="16"/>
    <tableColumn id="3" name="Investment" totalsRowFunction="sum" dataDxfId="15" totalsRowDxfId="14"/>
    <tableColumn id="4" name="NAV" dataDxfId="13" totalsRowDxfId="12"/>
    <tableColumn id="5" name="Units" totalsRowFunction="sum" dataDxfId="11" totalsRowDxfId="10">
      <calculatedColumnFormula>ROUND(C5/D5,0)</calculatedColumnFormula>
    </tableColumn>
    <tableColumn id="6" name="Column1" totalsRowDxfId="9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6" name="Table6" displayName="Table6" ref="A4:E8" totalsRowCount="1" headerRowDxfId="8" headerRowBorderDxfId="7" tableBorderDxfId="6" totalsRowBorderDxfId="5">
  <autoFilter ref="A4:E7"/>
  <tableColumns count="5">
    <tableColumn id="1" name="S. No." totalsRowLabel="Total" totalsRowDxfId="4"/>
    <tableColumn id="2" name="Date" totalsRowDxfId="3"/>
    <tableColumn id="3" name="Deposit" totalsRowFunction="sum" totalsRowDxfId="2"/>
    <tableColumn id="4" name="Interest" totalsRowDxfId="1"/>
    <tableColumn id="5" name="Balance" totalsRowFunction="sum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atul.teg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U40"/>
  <sheetViews>
    <sheetView workbookViewId="0">
      <selection activeCell="K30" sqref="K30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5" width="12" bestFit="1" customWidth="1"/>
    <col min="6" max="6" width="2.85546875" customWidth="1"/>
    <col min="7" max="8" width="12" bestFit="1" customWidth="1"/>
    <col min="9" max="9" width="15.7109375" bestFit="1" customWidth="1"/>
    <col min="10" max="10" width="12.28515625" bestFit="1" customWidth="1"/>
    <col min="11" max="11" width="10.28515625" bestFit="1" customWidth="1"/>
    <col min="13" max="14" width="12.28515625" bestFit="1" customWidth="1"/>
    <col min="17" max="17" width="10.42578125" bestFit="1" customWidth="1"/>
    <col min="18" max="18" width="12.140625" customWidth="1"/>
    <col min="21" max="21" width="13.42578125" bestFit="1" customWidth="1"/>
  </cols>
  <sheetData>
    <row r="1" spans="1:20" x14ac:dyDescent="0.25">
      <c r="B1" t="s">
        <v>7</v>
      </c>
      <c r="C1" s="17">
        <f>Table1[[#Totals],[Units]]+Table3[[#Totals],[Units]]</f>
        <v>3102.2485719982615</v>
      </c>
      <c r="E1" t="s">
        <v>9</v>
      </c>
      <c r="G1">
        <v>42.556899999999999</v>
      </c>
      <c r="I1" t="s">
        <v>8</v>
      </c>
      <c r="J1" s="18">
        <f>ROUND(C1*G1,0)</f>
        <v>132022</v>
      </c>
      <c r="L1" t="s">
        <v>11</v>
      </c>
      <c r="N1" s="18">
        <f>Table1[[#Totals],[Investment]]+Table3[[#Totals],[Investment]]</f>
        <v>103800</v>
      </c>
      <c r="P1" t="s">
        <v>10</v>
      </c>
      <c r="Q1" s="18">
        <f>J1-N1</f>
        <v>28222</v>
      </c>
      <c r="T1" s="35" t="s">
        <v>50</v>
      </c>
    </row>
    <row r="2" spans="1:20" x14ac:dyDescent="0.25">
      <c r="F2" s="32"/>
      <c r="Q2" s="23">
        <f>Q1/N1</f>
        <v>0.27188824662813105</v>
      </c>
      <c r="T2" t="s">
        <v>51</v>
      </c>
    </row>
    <row r="3" spans="1:20" x14ac:dyDescent="0.25">
      <c r="A3" s="5" t="s">
        <v>2</v>
      </c>
      <c r="B3" s="5">
        <v>90820864296</v>
      </c>
      <c r="C3" s="5" t="s">
        <v>77</v>
      </c>
      <c r="D3" s="5">
        <v>112323</v>
      </c>
      <c r="E3" s="5"/>
      <c r="F3" s="50"/>
      <c r="G3" s="5" t="s">
        <v>2</v>
      </c>
      <c r="H3" s="5">
        <v>90820864286</v>
      </c>
      <c r="I3" s="5"/>
      <c r="J3" s="5"/>
      <c r="K3" s="5"/>
    </row>
    <row r="4" spans="1:20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  <c r="F4" s="6"/>
      <c r="G4" s="8" t="s">
        <v>0</v>
      </c>
      <c r="H4" s="9" t="s">
        <v>1</v>
      </c>
      <c r="I4" s="9" t="s">
        <v>5</v>
      </c>
      <c r="J4" s="9" t="s">
        <v>3</v>
      </c>
      <c r="K4" s="10" t="s">
        <v>4</v>
      </c>
      <c r="M4" t="s">
        <v>12</v>
      </c>
      <c r="N4" s="29">
        <f>N1/C1</f>
        <v>33.459601186354632</v>
      </c>
      <c r="Q4" s="23">
        <f>(G1-N4)/N4</f>
        <v>0.27188903905272466</v>
      </c>
    </row>
    <row r="5" spans="1:20" x14ac:dyDescent="0.25">
      <c r="A5" s="7">
        <v>1</v>
      </c>
      <c r="B5" s="3">
        <v>42341</v>
      </c>
      <c r="C5" s="4">
        <v>2000</v>
      </c>
      <c r="D5" s="1">
        <v>29.907800000000002</v>
      </c>
      <c r="E5" s="15">
        <f t="shared" ref="E5:E10" si="0">C5/D5</f>
        <v>66.87218718862637</v>
      </c>
      <c r="F5" s="2"/>
      <c r="G5" s="7">
        <v>1</v>
      </c>
      <c r="H5" s="3">
        <v>42341</v>
      </c>
      <c r="I5" s="4">
        <v>2000</v>
      </c>
      <c r="J5" s="1">
        <v>29.907800000000002</v>
      </c>
      <c r="K5" s="15">
        <f t="shared" ref="K5:K10" si="1">I5/J5</f>
        <v>66.87218718862637</v>
      </c>
    </row>
    <row r="6" spans="1:20" x14ac:dyDescent="0.25">
      <c r="A6" s="11">
        <v>2</v>
      </c>
      <c r="B6" s="12">
        <v>42370</v>
      </c>
      <c r="C6" s="13">
        <v>1975</v>
      </c>
      <c r="D6" s="14">
        <v>30.7773</v>
      </c>
      <c r="E6" s="16">
        <f t="shared" si="0"/>
        <v>64.17067124146692</v>
      </c>
      <c r="F6" s="2"/>
      <c r="G6" s="11">
        <v>2</v>
      </c>
      <c r="H6" s="12">
        <v>42384</v>
      </c>
      <c r="I6" s="13">
        <v>1975</v>
      </c>
      <c r="J6" s="14">
        <v>28.924700000000001</v>
      </c>
      <c r="K6" s="16">
        <f t="shared" si="1"/>
        <v>68.280742756191074</v>
      </c>
      <c r="T6">
        <v>15875</v>
      </c>
    </row>
    <row r="7" spans="1:20" x14ac:dyDescent="0.25">
      <c r="A7" s="11">
        <v>3</v>
      </c>
      <c r="B7" s="12">
        <v>42401</v>
      </c>
      <c r="C7" s="13">
        <v>1975</v>
      </c>
      <c r="D7" s="14">
        <v>29.5427</v>
      </c>
      <c r="E7" s="16">
        <f t="shared" si="0"/>
        <v>66.852386545576408</v>
      </c>
      <c r="F7" s="2"/>
      <c r="G7" s="11">
        <v>3</v>
      </c>
      <c r="H7" s="12">
        <v>42415</v>
      </c>
      <c r="I7" s="13">
        <v>1975</v>
      </c>
      <c r="J7" s="14">
        <v>27.941400000000002</v>
      </c>
      <c r="K7" s="16">
        <f t="shared" si="1"/>
        <v>70.683645057155331</v>
      </c>
      <c r="N7">
        <v>30.961200000000002</v>
      </c>
      <c r="P7" s="17"/>
      <c r="T7">
        <f>25*5</f>
        <v>125</v>
      </c>
    </row>
    <row r="8" spans="1:20" x14ac:dyDescent="0.25">
      <c r="A8" s="44">
        <v>4</v>
      </c>
      <c r="B8" s="45">
        <v>42430</v>
      </c>
      <c r="C8" s="46">
        <v>1975</v>
      </c>
      <c r="D8" s="47">
        <v>27.6998</v>
      </c>
      <c r="E8" s="48">
        <f t="shared" si="0"/>
        <v>71.300153791724128</v>
      </c>
      <c r="F8" s="2"/>
      <c r="G8" s="44">
        <v>4</v>
      </c>
      <c r="H8" s="45">
        <v>42444</v>
      </c>
      <c r="I8" s="46">
        <v>1975</v>
      </c>
      <c r="J8" s="47">
        <v>28.2637</v>
      </c>
      <c r="K8" s="48">
        <f t="shared" si="1"/>
        <v>69.877616872525536</v>
      </c>
    </row>
    <row r="9" spans="1:20" x14ac:dyDescent="0.25">
      <c r="A9" s="44">
        <v>5</v>
      </c>
      <c r="B9" s="45">
        <v>42461</v>
      </c>
      <c r="C9" s="46">
        <v>1975</v>
      </c>
      <c r="D9" s="47">
        <v>29.1571</v>
      </c>
      <c r="E9" s="48">
        <f t="shared" si="0"/>
        <v>67.736503287363973</v>
      </c>
      <c r="F9" s="2"/>
      <c r="G9" s="44">
        <v>5</v>
      </c>
      <c r="H9" s="45">
        <v>42478</v>
      </c>
      <c r="I9" s="46">
        <v>1975</v>
      </c>
      <c r="J9" s="47">
        <v>29.909500000000001</v>
      </c>
      <c r="K9" s="48">
        <f t="shared" si="1"/>
        <v>66.032531469934298</v>
      </c>
    </row>
    <row r="10" spans="1:20" x14ac:dyDescent="0.25">
      <c r="A10" s="44">
        <v>6</v>
      </c>
      <c r="B10" s="45">
        <v>42492</v>
      </c>
      <c r="C10" s="46">
        <v>2000</v>
      </c>
      <c r="D10" s="47">
        <v>29.785499999999999</v>
      </c>
      <c r="E10" s="48">
        <f t="shared" si="0"/>
        <v>67.146766043880419</v>
      </c>
      <c r="F10" s="2"/>
      <c r="G10" s="44">
        <v>6</v>
      </c>
      <c r="H10" s="45">
        <v>42506</v>
      </c>
      <c r="I10" s="46">
        <v>2000</v>
      </c>
      <c r="J10" s="47">
        <v>30.105599999999999</v>
      </c>
      <c r="K10" s="48">
        <f t="shared" si="1"/>
        <v>66.432823129251702</v>
      </c>
    </row>
    <row r="11" spans="1:20" x14ac:dyDescent="0.25">
      <c r="A11" s="44">
        <v>7</v>
      </c>
      <c r="B11" s="45">
        <v>42522</v>
      </c>
      <c r="C11" s="46">
        <v>2000</v>
      </c>
      <c r="D11" s="47">
        <v>31.1053</v>
      </c>
      <c r="E11" s="48">
        <f t="shared" ref="E11:E17" si="2">C11/D11</f>
        <v>64.297724182052576</v>
      </c>
      <c r="F11" s="2"/>
      <c r="G11" s="44">
        <v>7</v>
      </c>
      <c r="H11" s="45">
        <v>42536</v>
      </c>
      <c r="I11" s="46">
        <v>2000</v>
      </c>
      <c r="J11" s="47">
        <v>31.0747</v>
      </c>
      <c r="K11" s="48">
        <f t="shared" ref="K11:K17" si="3">I11/J11</f>
        <v>64.361039688235124</v>
      </c>
      <c r="Q11">
        <f>ROUND(G1,2)</f>
        <v>42.56</v>
      </c>
      <c r="R11" s="18"/>
    </row>
    <row r="12" spans="1:20" x14ac:dyDescent="0.25">
      <c r="A12" s="44">
        <v>8</v>
      </c>
      <c r="B12" s="45">
        <v>42552</v>
      </c>
      <c r="C12" s="46">
        <v>2000</v>
      </c>
      <c r="D12" s="47">
        <v>31.488800000000001</v>
      </c>
      <c r="E12" s="48">
        <f t="shared" si="2"/>
        <v>63.514646477477704</v>
      </c>
      <c r="F12" s="2"/>
      <c r="G12" s="44">
        <v>8</v>
      </c>
      <c r="H12" s="45">
        <v>42566</v>
      </c>
      <c r="I12" s="46">
        <v>2000</v>
      </c>
      <c r="J12" s="47">
        <v>32.176200000000001</v>
      </c>
      <c r="K12" s="48">
        <f t="shared" si="3"/>
        <v>62.157743922526585</v>
      </c>
      <c r="M12">
        <v>64.17</v>
      </c>
      <c r="P12" s="17"/>
      <c r="S12" s="18"/>
    </row>
    <row r="13" spans="1:20" x14ac:dyDescent="0.25">
      <c r="A13" s="44">
        <v>9</v>
      </c>
      <c r="B13" s="45">
        <v>42583</v>
      </c>
      <c r="C13" s="46">
        <v>2000</v>
      </c>
      <c r="D13" s="47">
        <v>33.343699999999998</v>
      </c>
      <c r="E13" s="48">
        <f t="shared" si="2"/>
        <v>59.981345801455753</v>
      </c>
      <c r="F13" s="2"/>
      <c r="G13" s="44">
        <v>9</v>
      </c>
      <c r="H13" s="45">
        <v>42598</v>
      </c>
      <c r="I13" s="46">
        <v>2000</v>
      </c>
      <c r="J13" s="47">
        <v>32.889699999999998</v>
      </c>
      <c r="K13" s="48">
        <f t="shared" si="3"/>
        <v>60.809311121718963</v>
      </c>
      <c r="M13" s="29">
        <f>I12/M12</f>
        <v>31.167212092878291</v>
      </c>
      <c r="R13">
        <v>29.745200000000001</v>
      </c>
    </row>
    <row r="14" spans="1:20" x14ac:dyDescent="0.25">
      <c r="A14" s="44">
        <v>10</v>
      </c>
      <c r="B14" s="45">
        <v>42614</v>
      </c>
      <c r="C14" s="46">
        <v>2000</v>
      </c>
      <c r="D14" s="47">
        <v>33.389899999999997</v>
      </c>
      <c r="E14" s="48">
        <f t="shared" si="2"/>
        <v>59.898352495814606</v>
      </c>
      <c r="F14" s="2"/>
      <c r="G14" s="44">
        <v>10</v>
      </c>
      <c r="H14" s="45">
        <v>42628</v>
      </c>
      <c r="I14" s="46">
        <v>2000</v>
      </c>
      <c r="J14" s="47">
        <v>33.136800000000001</v>
      </c>
      <c r="K14" s="48">
        <f t="shared" si="3"/>
        <v>60.355858139591028</v>
      </c>
      <c r="R14">
        <f>1975</f>
        <v>1975</v>
      </c>
    </row>
    <row r="15" spans="1:20" x14ac:dyDescent="0.25">
      <c r="A15" s="44">
        <v>11</v>
      </c>
      <c r="B15" s="45">
        <v>42646</v>
      </c>
      <c r="C15" s="46">
        <v>2000</v>
      </c>
      <c r="D15" s="47">
        <v>33.732599999999998</v>
      </c>
      <c r="E15" s="48">
        <f t="shared" si="2"/>
        <v>59.289826458677958</v>
      </c>
      <c r="F15" s="2"/>
      <c r="G15" s="44">
        <v>11</v>
      </c>
      <c r="H15" s="45">
        <v>42660</v>
      </c>
      <c r="I15" s="46">
        <v>2000</v>
      </c>
      <c r="J15" s="47">
        <v>32.828499999999998</v>
      </c>
      <c r="K15" s="48">
        <f t="shared" si="3"/>
        <v>60.922673896157306</v>
      </c>
      <c r="N15">
        <v>27.6998</v>
      </c>
      <c r="O15">
        <f>(G1-N15)/N15</f>
        <v>0.53636127336659467</v>
      </c>
      <c r="R15">
        <f>R14/R13</f>
        <v>66.397267458278975</v>
      </c>
    </row>
    <row r="16" spans="1:20" x14ac:dyDescent="0.25">
      <c r="A16" s="44">
        <v>12</v>
      </c>
      <c r="B16" s="45">
        <v>42675</v>
      </c>
      <c r="C16" s="46">
        <v>2000</v>
      </c>
      <c r="D16" s="47">
        <v>33.795699999999997</v>
      </c>
      <c r="E16" s="48">
        <f t="shared" si="2"/>
        <v>59.179126338557872</v>
      </c>
      <c r="F16" s="2"/>
      <c r="G16" s="44">
        <v>12</v>
      </c>
      <c r="H16" s="45">
        <v>42689</v>
      </c>
      <c r="I16" s="46">
        <v>2000</v>
      </c>
      <c r="J16" s="47">
        <v>30.496300000000002</v>
      </c>
      <c r="K16" s="48">
        <f t="shared" si="3"/>
        <v>65.581726307781594</v>
      </c>
    </row>
    <row r="17" spans="1:21" x14ac:dyDescent="0.25">
      <c r="A17" s="44">
        <v>13</v>
      </c>
      <c r="B17" s="45">
        <v>42705</v>
      </c>
      <c r="C17" s="46">
        <v>2000</v>
      </c>
      <c r="D17" s="47">
        <v>31.167000000000002</v>
      </c>
      <c r="E17" s="48">
        <f t="shared" si="2"/>
        <v>64.170436679821606</v>
      </c>
      <c r="F17" s="2"/>
      <c r="G17" s="44">
        <v>13</v>
      </c>
      <c r="H17" s="45">
        <v>42719</v>
      </c>
      <c r="I17" s="46">
        <v>2000</v>
      </c>
      <c r="J17" s="47">
        <v>30.610700000000001</v>
      </c>
      <c r="K17" s="48">
        <f t="shared" si="3"/>
        <v>65.336630655293732</v>
      </c>
    </row>
    <row r="18" spans="1:21" x14ac:dyDescent="0.25">
      <c r="A18" s="44">
        <v>14</v>
      </c>
      <c r="B18" s="45">
        <v>42737</v>
      </c>
      <c r="C18" s="46">
        <v>2000</v>
      </c>
      <c r="D18" s="47">
        <v>30.4681</v>
      </c>
      <c r="E18" s="48">
        <f t="shared" ref="E18:E23" si="4">C18/D18</f>
        <v>65.642426012780575</v>
      </c>
      <c r="F18" s="2"/>
      <c r="G18" s="44">
        <v>14</v>
      </c>
      <c r="H18" s="45">
        <v>42751</v>
      </c>
      <c r="I18" s="46">
        <v>2000</v>
      </c>
      <c r="J18" s="47">
        <v>30.926100000000002</v>
      </c>
      <c r="K18" s="48">
        <f t="shared" ref="K18:K23" si="5">I18/J18</f>
        <v>64.670294670197663</v>
      </c>
    </row>
    <row r="19" spans="1:21" x14ac:dyDescent="0.25">
      <c r="A19" s="11">
        <v>15</v>
      </c>
      <c r="B19" s="12">
        <v>42767</v>
      </c>
      <c r="C19" s="13">
        <v>2000</v>
      </c>
      <c r="D19" s="14">
        <v>32.378999999999998</v>
      </c>
      <c r="E19" s="16">
        <f t="shared" si="4"/>
        <v>61.768430155347609</v>
      </c>
      <c r="F19" s="2"/>
      <c r="G19" s="11">
        <v>15</v>
      </c>
      <c r="H19" s="12">
        <v>42781</v>
      </c>
      <c r="I19" s="13">
        <v>2000</v>
      </c>
      <c r="J19" s="14">
        <v>32.344499999999996</v>
      </c>
      <c r="K19" s="16">
        <f t="shared" si="5"/>
        <v>61.834314953083222</v>
      </c>
      <c r="U19" s="18"/>
    </row>
    <row r="20" spans="1:21" x14ac:dyDescent="0.25">
      <c r="A20" s="11">
        <v>16</v>
      </c>
      <c r="B20" s="12">
        <v>42795</v>
      </c>
      <c r="C20" s="13">
        <v>2000</v>
      </c>
      <c r="D20" s="14">
        <v>33.040799999999997</v>
      </c>
      <c r="E20" s="16">
        <f t="shared" si="4"/>
        <v>60.531222004309825</v>
      </c>
      <c r="F20" s="2"/>
      <c r="G20" s="11">
        <v>16</v>
      </c>
      <c r="H20" s="12">
        <v>42809</v>
      </c>
      <c r="I20" s="13">
        <v>2000</v>
      </c>
      <c r="J20" s="14">
        <v>33.744700000000002</v>
      </c>
      <c r="K20" s="16">
        <f t="shared" si="5"/>
        <v>59.268566619350594</v>
      </c>
    </row>
    <row r="21" spans="1:21" x14ac:dyDescent="0.25">
      <c r="A21" s="44">
        <v>17</v>
      </c>
      <c r="B21" s="45">
        <v>42828</v>
      </c>
      <c r="C21" s="46">
        <v>2000</v>
      </c>
      <c r="D21" s="47">
        <v>34.770699999999998</v>
      </c>
      <c r="E21" s="48">
        <f t="shared" si="4"/>
        <v>57.5196933049953</v>
      </c>
      <c r="F21" s="49"/>
      <c r="G21" s="44">
        <v>17</v>
      </c>
      <c r="H21" s="45">
        <v>42842</v>
      </c>
      <c r="I21" s="46">
        <v>2000</v>
      </c>
      <c r="J21" s="47">
        <v>34.7089</v>
      </c>
      <c r="K21" s="48">
        <f t="shared" si="5"/>
        <v>57.622108450570316</v>
      </c>
      <c r="N21">
        <v>67.150000000000006</v>
      </c>
    </row>
    <row r="22" spans="1:21" x14ac:dyDescent="0.25">
      <c r="A22" s="44">
        <v>18</v>
      </c>
      <c r="B22" s="45">
        <v>42857</v>
      </c>
      <c r="C22" s="46">
        <v>2000</v>
      </c>
      <c r="D22" s="47">
        <v>35.703400000000002</v>
      </c>
      <c r="E22" s="48">
        <f t="shared" si="4"/>
        <v>56.017074004156463</v>
      </c>
      <c r="F22" s="32"/>
      <c r="G22" s="44">
        <v>18</v>
      </c>
      <c r="H22" s="45">
        <v>42870</v>
      </c>
      <c r="I22" s="46">
        <v>2000</v>
      </c>
      <c r="J22" s="47">
        <v>36.36</v>
      </c>
      <c r="K22" s="48">
        <f t="shared" si="5"/>
        <v>55.005500550055004</v>
      </c>
    </row>
    <row r="23" spans="1:21" x14ac:dyDescent="0.25">
      <c r="A23" s="44">
        <v>19</v>
      </c>
      <c r="B23" s="45">
        <v>42887</v>
      </c>
      <c r="C23" s="46">
        <v>2000</v>
      </c>
      <c r="D23" s="47">
        <v>36.2149</v>
      </c>
      <c r="E23" s="48">
        <f t="shared" si="4"/>
        <v>55.225887687112213</v>
      </c>
      <c r="F23" s="32"/>
      <c r="G23" s="44">
        <v>19</v>
      </c>
      <c r="H23" s="45">
        <v>42901</v>
      </c>
      <c r="I23" s="46">
        <v>2000</v>
      </c>
      <c r="J23" s="47">
        <v>37.0154</v>
      </c>
      <c r="K23" s="48">
        <f t="shared" si="5"/>
        <v>54.03156524041345</v>
      </c>
    </row>
    <row r="24" spans="1:21" x14ac:dyDescent="0.25">
      <c r="A24" s="44">
        <v>20</v>
      </c>
      <c r="B24" s="45">
        <v>42919</v>
      </c>
      <c r="C24" s="46">
        <v>2000</v>
      </c>
      <c r="D24" s="47">
        <v>36.7468</v>
      </c>
      <c r="E24" s="48">
        <f t="shared" ref="E24:E29" si="6">C24/D24</f>
        <v>54.426507886400991</v>
      </c>
      <c r="F24" s="32"/>
      <c r="G24" s="44">
        <v>20</v>
      </c>
      <c r="H24" s="45">
        <v>42933</v>
      </c>
      <c r="I24" s="46">
        <v>2000</v>
      </c>
      <c r="J24" s="47">
        <v>37.584600000000002</v>
      </c>
      <c r="K24" s="48">
        <f t="shared" ref="K24:K29" si="7">I24/J24</f>
        <v>53.213284164258766</v>
      </c>
      <c r="M24">
        <v>2000</v>
      </c>
      <c r="N24">
        <v>29.785499999999999</v>
      </c>
    </row>
    <row r="25" spans="1:21" x14ac:dyDescent="0.25">
      <c r="A25" s="44">
        <v>21</v>
      </c>
      <c r="B25" s="45">
        <v>42948</v>
      </c>
      <c r="C25" s="46">
        <v>2000</v>
      </c>
      <c r="D25" s="47">
        <v>38.697499999999998</v>
      </c>
      <c r="E25" s="48">
        <f t="shared" si="6"/>
        <v>51.682925253569351</v>
      </c>
      <c r="F25" s="32"/>
      <c r="G25" s="44">
        <v>21</v>
      </c>
      <c r="H25" s="45">
        <v>42963</v>
      </c>
      <c r="I25" s="46">
        <v>2000</v>
      </c>
      <c r="J25" s="47">
        <v>38.0456</v>
      </c>
      <c r="K25" s="48">
        <f t="shared" si="7"/>
        <v>52.568496751266899</v>
      </c>
      <c r="N25">
        <f>M24/N24</f>
        <v>67.146766043880419</v>
      </c>
    </row>
    <row r="26" spans="1:21" x14ac:dyDescent="0.25">
      <c r="A26" s="44">
        <v>22</v>
      </c>
      <c r="B26" s="45">
        <v>42979</v>
      </c>
      <c r="C26" s="46">
        <v>2000</v>
      </c>
      <c r="D26" s="47">
        <v>38.541800000000002</v>
      </c>
      <c r="E26" s="48">
        <f t="shared" si="6"/>
        <v>51.891712374616645</v>
      </c>
      <c r="F26" s="32"/>
      <c r="G26" s="44">
        <v>22</v>
      </c>
      <c r="H26" s="45">
        <v>42993</v>
      </c>
      <c r="I26" s="46">
        <v>2000</v>
      </c>
      <c r="J26" s="47">
        <v>39.7179</v>
      </c>
      <c r="K26" s="48">
        <f t="shared" si="7"/>
        <v>50.35512955115955</v>
      </c>
    </row>
    <row r="27" spans="1:21" x14ac:dyDescent="0.25">
      <c r="A27" s="44">
        <v>23</v>
      </c>
      <c r="B27" s="45">
        <v>43011</v>
      </c>
      <c r="C27" s="46">
        <v>2000</v>
      </c>
      <c r="D27" s="47">
        <v>38.846899999999998</v>
      </c>
      <c r="E27" s="48">
        <f t="shared" si="6"/>
        <v>51.484159611191629</v>
      </c>
      <c r="F27" s="32"/>
      <c r="G27" s="44">
        <v>23</v>
      </c>
      <c r="H27" s="45">
        <v>43024</v>
      </c>
      <c r="I27" s="46">
        <v>2000</v>
      </c>
      <c r="J27" s="47">
        <v>39.891199999999998</v>
      </c>
      <c r="K27" s="48">
        <f t="shared" si="7"/>
        <v>50.136370928926681</v>
      </c>
    </row>
    <row r="28" spans="1:21" x14ac:dyDescent="0.25">
      <c r="A28" s="44">
        <v>24</v>
      </c>
      <c r="B28" s="45">
        <v>43040</v>
      </c>
      <c r="C28" s="46">
        <v>2000</v>
      </c>
      <c r="D28" s="47">
        <v>40.095300000000002</v>
      </c>
      <c r="E28" s="48">
        <f t="shared" si="6"/>
        <v>49.88115814072971</v>
      </c>
      <c r="F28" s="32"/>
      <c r="G28" s="61">
        <v>24</v>
      </c>
      <c r="H28" s="62">
        <v>43054</v>
      </c>
      <c r="I28" s="63">
        <v>2000</v>
      </c>
      <c r="J28" s="64">
        <v>39.167099999999998</v>
      </c>
      <c r="K28" s="65">
        <f t="shared" si="7"/>
        <v>51.063264831963565</v>
      </c>
      <c r="P28">
        <f>Table3[[#Totals],[Units]]-Table1[[#Totals],[Units]]</f>
        <v>5.1048743169194495</v>
      </c>
      <c r="Q28">
        <f>P28*G1</f>
        <v>217.24762581770932</v>
      </c>
    </row>
    <row r="29" spans="1:21" x14ac:dyDescent="0.25">
      <c r="A29" s="44">
        <v>25</v>
      </c>
      <c r="B29" s="45">
        <v>43070</v>
      </c>
      <c r="C29" s="46">
        <v>2000</v>
      </c>
      <c r="D29" s="47">
        <v>40.045000000000002</v>
      </c>
      <c r="E29" s="48">
        <f t="shared" si="6"/>
        <v>49.943813210138593</v>
      </c>
      <c r="F29" s="32"/>
      <c r="G29" s="61">
        <v>25</v>
      </c>
      <c r="H29" s="62">
        <v>43084</v>
      </c>
      <c r="I29" s="63">
        <v>2000</v>
      </c>
      <c r="J29" s="64">
        <v>40.644300000000001</v>
      </c>
      <c r="K29" s="65">
        <f t="shared" si="7"/>
        <v>49.207391934416385</v>
      </c>
    </row>
    <row r="30" spans="1:21" x14ac:dyDescent="0.25">
      <c r="A30" s="44">
        <v>26</v>
      </c>
      <c r="B30" s="45">
        <v>43101</v>
      </c>
      <c r="C30" s="46">
        <v>2000</v>
      </c>
      <c r="D30" s="47">
        <v>41.539700000000003</v>
      </c>
      <c r="E30" s="48">
        <f>C30/D30</f>
        <v>48.146712662826161</v>
      </c>
      <c r="F30" s="32"/>
      <c r="G30" s="61">
        <v>26</v>
      </c>
      <c r="H30" s="62">
        <v>43115</v>
      </c>
      <c r="I30" s="63">
        <v>2000</v>
      </c>
      <c r="J30" s="64">
        <v>42.556899999999999</v>
      </c>
      <c r="K30" s="65">
        <f>I30/J30</f>
        <v>46.99590430693965</v>
      </c>
    </row>
    <row r="31" spans="1:21" x14ac:dyDescent="0.25">
      <c r="A31" s="11" t="s">
        <v>6</v>
      </c>
      <c r="B31" s="14"/>
      <c r="C31" s="13">
        <f>SUBTOTAL(109,Table1[Investment])</f>
        <v>51900</v>
      </c>
      <c r="D31" s="14">
        <f>SUBTOTAL(101,Table1[NAV])</f>
        <v>33.92242692307692</v>
      </c>
      <c r="E31" s="16">
        <f>SUBTOTAL(109,Table1[Units])</f>
        <v>1548.571848840671</v>
      </c>
      <c r="F31" s="32"/>
      <c r="G31" s="11" t="s">
        <v>6</v>
      </c>
      <c r="H31" s="14"/>
      <c r="I31" s="13">
        <f>SUBTOTAL(109,Table3[Investment])</f>
        <v>51900</v>
      </c>
      <c r="J31" s="14">
        <f>SUBTOTAL(101,Table3[NAV])</f>
        <v>33.88356923076924</v>
      </c>
      <c r="K31" s="16">
        <f>SUBTOTAL(109,Table3[Units])</f>
        <v>1553.6767231575905</v>
      </c>
    </row>
    <row r="32" spans="1:21" x14ac:dyDescent="0.25">
      <c r="A32" s="32"/>
      <c r="B32" s="32"/>
      <c r="C32" s="33"/>
      <c r="D32" s="32"/>
      <c r="E32" s="32"/>
      <c r="F32" s="32"/>
      <c r="G32" s="32"/>
      <c r="H32" s="32"/>
      <c r="I32" s="33"/>
      <c r="J32" s="32">
        <f>MIN(Table3[NAV])</f>
        <v>27.941400000000002</v>
      </c>
      <c r="K32" s="32"/>
    </row>
    <row r="33" spans="1:11" x14ac:dyDescent="0.25">
      <c r="A33" s="32"/>
      <c r="B33" s="32"/>
      <c r="C33" s="33"/>
      <c r="D33" s="32"/>
      <c r="E33" s="32"/>
      <c r="F33" s="32"/>
      <c r="G33" s="32"/>
      <c r="H33" s="32"/>
      <c r="I33" s="33"/>
      <c r="J33" s="32"/>
      <c r="K33" s="32"/>
    </row>
    <row r="34" spans="1:11" x14ac:dyDescent="0.25">
      <c r="A34" s="32"/>
      <c r="B34" s="32"/>
      <c r="C34" s="33"/>
      <c r="D34" s="32"/>
      <c r="E34" s="32"/>
      <c r="F34" s="32"/>
      <c r="G34" s="32"/>
      <c r="H34" s="32"/>
      <c r="I34" s="33"/>
      <c r="J34" s="32"/>
      <c r="K34" s="32"/>
    </row>
    <row r="35" spans="1:11" x14ac:dyDescent="0.25">
      <c r="A35" s="32"/>
      <c r="B35" s="32"/>
      <c r="C35" s="33"/>
      <c r="D35" s="32"/>
      <c r="E35" s="32"/>
      <c r="F35" s="32"/>
      <c r="G35" s="32"/>
      <c r="H35" s="32"/>
      <c r="I35" s="33"/>
      <c r="J35" s="32"/>
      <c r="K35" s="32"/>
    </row>
    <row r="36" spans="1:11" x14ac:dyDescent="0.25">
      <c r="A36" s="32"/>
      <c r="B36" s="32"/>
      <c r="C36" s="33"/>
      <c r="D36" s="32"/>
      <c r="E36" s="32"/>
      <c r="F36" s="32"/>
      <c r="G36" s="32"/>
      <c r="H36" s="32"/>
      <c r="I36" s="33"/>
      <c r="J36" s="32"/>
      <c r="K36" s="32"/>
    </row>
    <row r="37" spans="1:11" x14ac:dyDescent="0.25">
      <c r="A37" s="32"/>
      <c r="B37" s="32"/>
      <c r="C37" s="33"/>
      <c r="D37" s="32"/>
      <c r="E37" s="32"/>
      <c r="F37" s="32"/>
      <c r="G37" s="32"/>
      <c r="H37" s="32"/>
      <c r="I37" s="33"/>
      <c r="J37" s="32"/>
      <c r="K37" s="32"/>
    </row>
    <row r="38" spans="1:11" x14ac:dyDescent="0.25">
      <c r="G38" s="32"/>
      <c r="H38" s="32"/>
      <c r="I38" s="33"/>
      <c r="J38" s="32"/>
      <c r="K38" s="32"/>
    </row>
    <row r="39" spans="1:11" x14ac:dyDescent="0.25">
      <c r="G39" s="32"/>
      <c r="H39" s="32"/>
      <c r="I39" s="33"/>
      <c r="J39" s="32"/>
      <c r="K39" s="32"/>
    </row>
    <row r="40" spans="1:11" x14ac:dyDescent="0.25">
      <c r="G40" s="32"/>
      <c r="H40" s="32"/>
      <c r="I40" s="33"/>
      <c r="J40" s="32"/>
      <c r="K40" s="32"/>
    </row>
  </sheetData>
  <hyperlinks>
    <hyperlink ref="T1" r:id="rId1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V36"/>
  <sheetViews>
    <sheetView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7" width="12" bestFit="1" customWidth="1"/>
    <col min="8" max="8" width="15.7109375" bestFit="1" customWidth="1"/>
    <col min="9" max="9" width="10.7109375" bestFit="1" customWidth="1"/>
    <col min="10" max="10" width="10.28515625" bestFit="1" customWidth="1"/>
    <col min="13" max="13" width="12" bestFit="1" customWidth="1"/>
    <col min="16" max="16" width="11.42578125" bestFit="1" customWidth="1"/>
    <col min="21" max="21" width="15.5703125" bestFit="1" customWidth="1"/>
    <col min="22" max="22" width="10.140625" bestFit="1" customWidth="1"/>
  </cols>
  <sheetData>
    <row r="1" spans="1:22" x14ac:dyDescent="0.25">
      <c r="B1" t="s">
        <v>7</v>
      </c>
      <c r="C1" s="17">
        <f>Table139[[#Totals],[Units]]</f>
        <v>2.1619999999999999</v>
      </c>
      <c r="E1" t="s">
        <v>9</v>
      </c>
      <c r="F1">
        <v>235.87370000000001</v>
      </c>
      <c r="H1" t="s">
        <v>8</v>
      </c>
      <c r="I1" s="18">
        <f>ROUND(C1*F1,2)</f>
        <v>509.96</v>
      </c>
      <c r="K1" t="s">
        <v>11</v>
      </c>
      <c r="M1" s="18">
        <f>Table139[[#Totals],[Investment]]</f>
        <v>500</v>
      </c>
      <c r="O1" t="s">
        <v>10</v>
      </c>
      <c r="P1" s="18">
        <f>I1-M1</f>
        <v>9.9599999999999795</v>
      </c>
      <c r="R1" t="s">
        <v>53</v>
      </c>
      <c r="T1" t="s">
        <v>70</v>
      </c>
      <c r="U1" s="53">
        <f ca="1">NOW()</f>
        <v>43202.513581597224</v>
      </c>
      <c r="V1" t="str">
        <f ca="1">TEXT(U1,"dd-mm-yy")</f>
        <v>12-04-18</v>
      </c>
    </row>
    <row r="2" spans="1:22" x14ac:dyDescent="0.25">
      <c r="P2" s="23">
        <f>P1/M1</f>
        <v>1.9919999999999959E-2</v>
      </c>
      <c r="R2" t="s">
        <v>74</v>
      </c>
      <c r="T2" t="s">
        <v>71</v>
      </c>
      <c r="V2">
        <f ca="1">V1-Table139[Date]</f>
        <v>206</v>
      </c>
    </row>
    <row r="3" spans="1:22" x14ac:dyDescent="0.25">
      <c r="A3" s="5" t="s">
        <v>2</v>
      </c>
      <c r="B3" s="5">
        <v>10263566</v>
      </c>
      <c r="C3" s="66" t="s">
        <v>73</v>
      </c>
      <c r="D3" s="67"/>
      <c r="E3" s="67"/>
      <c r="F3" s="67"/>
      <c r="G3" t="s">
        <v>78</v>
      </c>
      <c r="H3">
        <v>103633</v>
      </c>
      <c r="T3" t="s">
        <v>69</v>
      </c>
      <c r="V3" s="23">
        <f ca="1">(P2/V2)*365</f>
        <v>3.5295145631067885E-2</v>
      </c>
    </row>
    <row r="4" spans="1:22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</row>
    <row r="5" spans="1:22" x14ac:dyDescent="0.25">
      <c r="A5" s="7">
        <v>1</v>
      </c>
      <c r="B5" s="3">
        <v>42996</v>
      </c>
      <c r="C5" s="4">
        <v>500</v>
      </c>
      <c r="D5" s="1">
        <v>231.22919999999999</v>
      </c>
      <c r="E5" s="15">
        <f>ROUND(C5/D5,3)</f>
        <v>2.1619999999999999</v>
      </c>
    </row>
    <row r="6" spans="1:22" x14ac:dyDescent="0.25">
      <c r="A6" s="11" t="s">
        <v>6</v>
      </c>
      <c r="B6" s="14"/>
      <c r="C6" s="13">
        <f>SUBTOTAL(109,Table139[Investment])</f>
        <v>500</v>
      </c>
      <c r="D6" s="14"/>
      <c r="E6" s="16">
        <f>SUBTOTAL(109,Table139[Units])</f>
        <v>2.1619999999999999</v>
      </c>
    </row>
    <row r="7" spans="1:22" x14ac:dyDescent="0.25">
      <c r="A7" s="1"/>
      <c r="B7" s="1"/>
      <c r="C7" s="4"/>
      <c r="D7" s="1"/>
      <c r="E7" s="1"/>
      <c r="J7" s="17"/>
    </row>
    <row r="8" spans="1:22" x14ac:dyDescent="0.25">
      <c r="A8" s="32"/>
      <c r="B8" s="32"/>
      <c r="C8" s="33"/>
      <c r="D8" s="32"/>
      <c r="E8" s="32"/>
    </row>
    <row r="9" spans="1:22" x14ac:dyDescent="0.25">
      <c r="A9" s="32"/>
      <c r="B9" s="32"/>
      <c r="C9" s="33"/>
      <c r="D9" s="32"/>
      <c r="E9" s="32"/>
    </row>
    <row r="10" spans="1:22" x14ac:dyDescent="0.25">
      <c r="A10" s="32"/>
      <c r="B10" s="32"/>
      <c r="C10" s="33"/>
      <c r="D10" s="32"/>
      <c r="E10" s="32"/>
    </row>
    <row r="11" spans="1:22" x14ac:dyDescent="0.25">
      <c r="A11" s="32"/>
      <c r="B11" s="32"/>
      <c r="C11" s="33"/>
      <c r="D11" s="32"/>
      <c r="E11" s="32"/>
    </row>
    <row r="12" spans="1:22" x14ac:dyDescent="0.25">
      <c r="A12" s="32"/>
      <c r="B12" s="32"/>
      <c r="C12" s="33"/>
      <c r="D12" s="32"/>
      <c r="E12" s="32"/>
    </row>
    <row r="13" spans="1:22" x14ac:dyDescent="0.25">
      <c r="A13" s="32"/>
      <c r="B13" s="32"/>
      <c r="C13" s="33"/>
      <c r="D13" s="32"/>
      <c r="E13" s="32"/>
    </row>
    <row r="14" spans="1:22" x14ac:dyDescent="0.25">
      <c r="A14" s="32"/>
      <c r="B14" s="32"/>
      <c r="C14" s="33"/>
      <c r="D14" s="32"/>
      <c r="E14" s="32"/>
    </row>
    <row r="15" spans="1:22" x14ac:dyDescent="0.25">
      <c r="A15" s="32"/>
      <c r="B15" s="32"/>
      <c r="C15" s="33"/>
      <c r="D15" s="32"/>
      <c r="E15" s="32"/>
    </row>
    <row r="16" spans="1:22" x14ac:dyDescent="0.25">
      <c r="A16" s="32"/>
      <c r="B16" s="32"/>
      <c r="C16" s="33"/>
      <c r="D16" s="32"/>
      <c r="E16" s="32"/>
    </row>
    <row r="17" spans="1:5" x14ac:dyDescent="0.25">
      <c r="A17" s="32"/>
      <c r="B17" s="32"/>
      <c r="C17" s="33"/>
      <c r="D17" s="32"/>
      <c r="E17" s="32"/>
    </row>
    <row r="18" spans="1:5" x14ac:dyDescent="0.25">
      <c r="A18" s="32"/>
      <c r="B18" s="32"/>
      <c r="C18" s="33"/>
      <c r="D18" s="32"/>
      <c r="E18" s="32"/>
    </row>
    <row r="19" spans="1:5" x14ac:dyDescent="0.25">
      <c r="A19" s="32"/>
      <c r="B19" s="32"/>
      <c r="C19" s="33"/>
      <c r="D19" s="32"/>
      <c r="E19" s="32"/>
    </row>
    <row r="20" spans="1:5" x14ac:dyDescent="0.25">
      <c r="A20" s="32"/>
      <c r="B20" s="32"/>
      <c r="C20" s="33"/>
      <c r="D20" s="32"/>
      <c r="E20" s="32"/>
    </row>
    <row r="21" spans="1:5" x14ac:dyDescent="0.25">
      <c r="A21" s="32"/>
      <c r="B21" s="32"/>
      <c r="C21" s="33"/>
      <c r="D21" s="32"/>
      <c r="E21" s="32"/>
    </row>
    <row r="22" spans="1:5" x14ac:dyDescent="0.25">
      <c r="A22" s="32"/>
      <c r="B22" s="32"/>
      <c r="C22" s="33"/>
      <c r="D22" s="32"/>
      <c r="E22" s="32"/>
    </row>
    <row r="23" spans="1:5" x14ac:dyDescent="0.25">
      <c r="A23" s="32"/>
      <c r="B23" s="32"/>
      <c r="C23" s="33"/>
      <c r="D23" s="32"/>
      <c r="E23" s="32"/>
    </row>
    <row r="24" spans="1:5" x14ac:dyDescent="0.25">
      <c r="A24" s="32"/>
      <c r="B24" s="32"/>
      <c r="C24" s="33"/>
      <c r="D24" s="32"/>
      <c r="E24" s="32"/>
    </row>
    <row r="25" spans="1:5" x14ac:dyDescent="0.25">
      <c r="A25" s="32"/>
      <c r="B25" s="32"/>
      <c r="C25" s="33"/>
      <c r="D25" s="32"/>
      <c r="E25" s="32"/>
    </row>
    <row r="26" spans="1:5" x14ac:dyDescent="0.25">
      <c r="A26" s="32"/>
      <c r="B26" s="32"/>
      <c r="C26" s="33"/>
      <c r="D26" s="32"/>
      <c r="E26" s="32"/>
    </row>
    <row r="27" spans="1:5" x14ac:dyDescent="0.25">
      <c r="A27" s="32"/>
      <c r="B27" s="32"/>
      <c r="C27" s="33"/>
      <c r="D27" s="32"/>
      <c r="E27" s="32"/>
    </row>
    <row r="28" spans="1:5" x14ac:dyDescent="0.25">
      <c r="A28" s="32"/>
      <c r="B28" s="32"/>
      <c r="C28" s="33"/>
      <c r="D28" s="32"/>
      <c r="E28" s="32"/>
    </row>
    <row r="29" spans="1:5" x14ac:dyDescent="0.25">
      <c r="A29" s="32"/>
      <c r="B29" s="32"/>
      <c r="C29" s="33"/>
      <c r="D29" s="32"/>
      <c r="E29" s="32"/>
    </row>
    <row r="30" spans="1:5" x14ac:dyDescent="0.25">
      <c r="A30" s="32"/>
      <c r="B30" s="32"/>
      <c r="C30" s="33"/>
      <c r="D30" s="32"/>
      <c r="E30" s="32"/>
    </row>
    <row r="31" spans="1:5" x14ac:dyDescent="0.25">
      <c r="A31" s="32"/>
      <c r="B31" s="32"/>
      <c r="C31" s="33"/>
      <c r="D31" s="32"/>
      <c r="E31" s="32"/>
    </row>
    <row r="32" spans="1:5" x14ac:dyDescent="0.25">
      <c r="A32" s="32"/>
      <c r="B32" s="32"/>
      <c r="C32" s="33"/>
      <c r="D32" s="32"/>
      <c r="E32" s="32"/>
    </row>
    <row r="33" spans="1:5" x14ac:dyDescent="0.25">
      <c r="A33" s="32"/>
      <c r="B33" s="32"/>
      <c r="C33" s="33"/>
      <c r="D33" s="32"/>
      <c r="E33" s="32"/>
    </row>
    <row r="34" spans="1:5" x14ac:dyDescent="0.25">
      <c r="A34" s="32"/>
      <c r="B34" s="32"/>
      <c r="C34" s="33"/>
      <c r="D34" s="32"/>
      <c r="E34" s="32"/>
    </row>
    <row r="35" spans="1:5" x14ac:dyDescent="0.25">
      <c r="A35" s="32"/>
      <c r="B35" s="32"/>
      <c r="C35" s="33"/>
      <c r="D35" s="32"/>
      <c r="E35" s="32"/>
    </row>
    <row r="36" spans="1:5" x14ac:dyDescent="0.25">
      <c r="A36" s="32"/>
      <c r="B36" s="32"/>
      <c r="C36" s="33"/>
      <c r="D36" s="32"/>
      <c r="E36" s="32"/>
    </row>
  </sheetData>
  <mergeCells count="1">
    <mergeCell ref="C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V36"/>
  <sheetViews>
    <sheetView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7" width="12" bestFit="1" customWidth="1"/>
    <col min="8" max="8" width="15.7109375" bestFit="1" customWidth="1"/>
    <col min="9" max="9" width="10.7109375" bestFit="1" customWidth="1"/>
    <col min="10" max="10" width="10.28515625" bestFit="1" customWidth="1"/>
    <col min="13" max="13" width="12" bestFit="1" customWidth="1"/>
    <col min="16" max="16" width="11.42578125" bestFit="1" customWidth="1"/>
    <col min="21" max="21" width="15.5703125" bestFit="1" customWidth="1"/>
    <col min="22" max="22" width="9.5703125" bestFit="1" customWidth="1"/>
  </cols>
  <sheetData>
    <row r="1" spans="1:22" x14ac:dyDescent="0.25">
      <c r="B1" t="s">
        <v>7</v>
      </c>
      <c r="C1" s="17">
        <f>Table13[[#Totals],[Units]]</f>
        <v>49.308999999999997</v>
      </c>
      <c r="E1" t="s">
        <v>9</v>
      </c>
      <c r="F1">
        <v>594.70619999999997</v>
      </c>
      <c r="H1" t="s">
        <v>8</v>
      </c>
      <c r="I1" s="18">
        <f>ROUND(C1*F1,2)</f>
        <v>29324.37</v>
      </c>
      <c r="K1" t="s">
        <v>11</v>
      </c>
      <c r="M1" s="18">
        <f>Table13[[#Totals],[Investment]]</f>
        <v>20000</v>
      </c>
      <c r="O1" t="s">
        <v>10</v>
      </c>
      <c r="P1" s="18">
        <f>I1-M1</f>
        <v>9324.369999999999</v>
      </c>
      <c r="R1" t="s">
        <v>52</v>
      </c>
      <c r="T1" t="s">
        <v>70</v>
      </c>
      <c r="U1" s="53">
        <f ca="1">NOW()</f>
        <v>43202.513581597224</v>
      </c>
      <c r="V1" t="str">
        <f ca="1">TEXT(U1,"dd-mm-yy")</f>
        <v>12-04-18</v>
      </c>
    </row>
    <row r="2" spans="1:22" x14ac:dyDescent="0.25">
      <c r="P2" s="23">
        <f>P1/M1</f>
        <v>0.46621849999999992</v>
      </c>
      <c r="R2" t="s">
        <v>51</v>
      </c>
      <c r="T2" t="s">
        <v>71</v>
      </c>
      <c r="V2">
        <f ca="1">V1-Table13[Date]</f>
        <v>769</v>
      </c>
    </row>
    <row r="3" spans="1:22" x14ac:dyDescent="0.25">
      <c r="A3" s="5" t="s">
        <v>2</v>
      </c>
      <c r="B3" s="5">
        <v>19926135</v>
      </c>
      <c r="C3" s="5" t="s">
        <v>79</v>
      </c>
      <c r="D3" s="5">
        <v>118540</v>
      </c>
      <c r="E3" s="5"/>
      <c r="T3" t="s">
        <v>69</v>
      </c>
      <c r="V3" s="23">
        <f ca="1">(P2/V2)*365</f>
        <v>0.22128706436931075</v>
      </c>
    </row>
    <row r="4" spans="1:22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</row>
    <row r="5" spans="1:22" x14ac:dyDescent="0.25">
      <c r="A5" s="7">
        <v>1</v>
      </c>
      <c r="B5" s="3">
        <v>42433</v>
      </c>
      <c r="C5" s="4">
        <v>20000</v>
      </c>
      <c r="D5" s="1">
        <v>405.60809999999998</v>
      </c>
      <c r="E5" s="15">
        <f>ROUND(C5/D5,3)</f>
        <v>49.308999999999997</v>
      </c>
    </row>
    <row r="6" spans="1:22" x14ac:dyDescent="0.25">
      <c r="A6" s="11" t="s">
        <v>6</v>
      </c>
      <c r="B6" s="14"/>
      <c r="C6" s="13">
        <f>SUBTOTAL(109,Table13[Investment])</f>
        <v>20000</v>
      </c>
      <c r="D6" s="14"/>
      <c r="E6" s="16">
        <f>SUBTOTAL(109,Table13[Units])</f>
        <v>49.308999999999997</v>
      </c>
    </row>
    <row r="7" spans="1:22" x14ac:dyDescent="0.25">
      <c r="A7" s="1"/>
      <c r="B7" s="1"/>
      <c r="C7" s="4"/>
      <c r="D7" s="1"/>
      <c r="E7" s="1"/>
      <c r="J7" s="17"/>
    </row>
    <row r="8" spans="1:22" x14ac:dyDescent="0.25">
      <c r="A8" s="32"/>
      <c r="B8" s="32"/>
      <c r="C8" s="33"/>
      <c r="D8" s="32"/>
      <c r="E8" s="32"/>
    </row>
    <row r="9" spans="1:22" x14ac:dyDescent="0.25">
      <c r="A9" s="32"/>
      <c r="B9" s="32"/>
      <c r="C9" s="33"/>
      <c r="D9" s="32"/>
      <c r="E9" s="32"/>
    </row>
    <row r="10" spans="1:22" x14ac:dyDescent="0.25">
      <c r="A10" s="32"/>
      <c r="B10" s="32"/>
      <c r="C10" s="33"/>
      <c r="D10" s="32"/>
      <c r="E10" s="32"/>
    </row>
    <row r="11" spans="1:22" x14ac:dyDescent="0.25">
      <c r="A11" s="32"/>
      <c r="B11" s="32"/>
      <c r="C11" s="33"/>
      <c r="D11" s="32"/>
      <c r="E11" s="32"/>
    </row>
    <row r="12" spans="1:22" x14ac:dyDescent="0.25">
      <c r="A12" s="32"/>
      <c r="B12" s="32"/>
      <c r="C12" s="33"/>
      <c r="D12" s="32"/>
      <c r="E12" s="32"/>
    </row>
    <row r="13" spans="1:22" x14ac:dyDescent="0.25">
      <c r="A13" s="32"/>
      <c r="B13" s="32"/>
      <c r="C13" s="33"/>
      <c r="D13" s="32"/>
      <c r="E13" s="32"/>
    </row>
    <row r="14" spans="1:22" x14ac:dyDescent="0.25">
      <c r="A14" s="32"/>
      <c r="B14" s="32"/>
      <c r="C14" s="33"/>
      <c r="D14" s="32"/>
      <c r="E14" s="32"/>
    </row>
    <row r="15" spans="1:22" x14ac:dyDescent="0.25">
      <c r="A15" s="32"/>
      <c r="B15" s="32"/>
      <c r="C15" s="33"/>
      <c r="D15" s="32"/>
      <c r="E15" s="32"/>
    </row>
    <row r="16" spans="1:22" x14ac:dyDescent="0.25">
      <c r="A16" s="32"/>
      <c r="B16" s="32"/>
      <c r="C16" s="33"/>
      <c r="D16" s="32"/>
      <c r="E16" s="32"/>
    </row>
    <row r="17" spans="1:5" x14ac:dyDescent="0.25">
      <c r="A17" s="32"/>
      <c r="B17" s="32"/>
      <c r="C17" s="33"/>
      <c r="D17" s="32"/>
      <c r="E17" s="32"/>
    </row>
    <row r="18" spans="1:5" x14ac:dyDescent="0.25">
      <c r="A18" s="32"/>
      <c r="B18" s="32"/>
      <c r="C18" s="33"/>
      <c r="D18" s="32"/>
      <c r="E18" s="32"/>
    </row>
    <row r="19" spans="1:5" x14ac:dyDescent="0.25">
      <c r="A19" s="32"/>
      <c r="B19" s="32"/>
      <c r="C19" s="33"/>
      <c r="D19" s="32"/>
      <c r="E19" s="32"/>
    </row>
    <row r="20" spans="1:5" x14ac:dyDescent="0.25">
      <c r="A20" s="32"/>
      <c r="B20" s="32"/>
      <c r="C20" s="33"/>
      <c r="D20" s="32"/>
      <c r="E20" s="32"/>
    </row>
    <row r="21" spans="1:5" x14ac:dyDescent="0.25">
      <c r="A21" s="32"/>
      <c r="B21" s="32"/>
      <c r="C21" s="33"/>
      <c r="D21" s="32"/>
      <c r="E21" s="32"/>
    </row>
    <row r="22" spans="1:5" x14ac:dyDescent="0.25">
      <c r="A22" s="32"/>
      <c r="B22" s="32"/>
      <c r="C22" s="33"/>
      <c r="D22" s="32"/>
      <c r="E22" s="32"/>
    </row>
    <row r="23" spans="1:5" x14ac:dyDescent="0.25">
      <c r="A23" s="32"/>
      <c r="B23" s="32"/>
      <c r="C23" s="33"/>
      <c r="D23" s="32"/>
      <c r="E23" s="32"/>
    </row>
    <row r="24" spans="1:5" x14ac:dyDescent="0.25">
      <c r="A24" s="32"/>
      <c r="B24" s="32"/>
      <c r="C24" s="33"/>
      <c r="D24" s="32"/>
      <c r="E24" s="32"/>
    </row>
    <row r="25" spans="1:5" x14ac:dyDescent="0.25">
      <c r="A25" s="32"/>
      <c r="B25" s="32"/>
      <c r="C25" s="33"/>
      <c r="D25" s="32"/>
      <c r="E25" s="32"/>
    </row>
    <row r="26" spans="1:5" x14ac:dyDescent="0.25">
      <c r="A26" s="32"/>
      <c r="B26" s="32"/>
      <c r="C26" s="33"/>
      <c r="D26" s="32"/>
      <c r="E26" s="32"/>
    </row>
    <row r="27" spans="1:5" x14ac:dyDescent="0.25">
      <c r="A27" s="32"/>
      <c r="B27" s="32"/>
      <c r="C27" s="33"/>
      <c r="D27" s="32"/>
      <c r="E27" s="32"/>
    </row>
    <row r="28" spans="1:5" x14ac:dyDescent="0.25">
      <c r="A28" s="32"/>
      <c r="B28" s="32"/>
      <c r="C28" s="33"/>
      <c r="D28" s="32"/>
      <c r="E28" s="32"/>
    </row>
    <row r="29" spans="1:5" x14ac:dyDescent="0.25">
      <c r="A29" s="32"/>
      <c r="B29" s="32"/>
      <c r="C29" s="33"/>
      <c r="D29" s="32"/>
      <c r="E29" s="32"/>
    </row>
    <row r="30" spans="1:5" x14ac:dyDescent="0.25">
      <c r="A30" s="32"/>
      <c r="B30" s="32"/>
      <c r="C30" s="33"/>
      <c r="D30" s="32"/>
      <c r="E30" s="32"/>
    </row>
    <row r="31" spans="1:5" x14ac:dyDescent="0.25">
      <c r="A31" s="32"/>
      <c r="B31" s="32"/>
      <c r="C31" s="33"/>
      <c r="D31" s="32"/>
      <c r="E31" s="32"/>
    </row>
    <row r="32" spans="1:5" x14ac:dyDescent="0.25">
      <c r="A32" s="32"/>
      <c r="B32" s="32"/>
      <c r="C32" s="33"/>
      <c r="D32" s="32"/>
      <c r="E32" s="32"/>
    </row>
    <row r="33" spans="1:5" x14ac:dyDescent="0.25">
      <c r="A33" s="32"/>
      <c r="B33" s="32"/>
      <c r="C33" s="33"/>
      <c r="D33" s="32"/>
      <c r="E33" s="32"/>
    </row>
    <row r="34" spans="1:5" x14ac:dyDescent="0.25">
      <c r="A34" s="32"/>
      <c r="B34" s="32"/>
      <c r="C34" s="33"/>
      <c r="D34" s="32"/>
      <c r="E34" s="32"/>
    </row>
    <row r="35" spans="1:5" x14ac:dyDescent="0.25">
      <c r="A35" s="32"/>
      <c r="B35" s="32"/>
      <c r="C35" s="33"/>
      <c r="D35" s="32"/>
      <c r="E35" s="32"/>
    </row>
    <row r="36" spans="1:5" x14ac:dyDescent="0.25">
      <c r="A36" s="32"/>
      <c r="B36" s="32"/>
      <c r="C36" s="33"/>
      <c r="D36" s="32"/>
      <c r="E36" s="3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U390"/>
  <sheetViews>
    <sheetView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7" width="12" bestFit="1" customWidth="1"/>
    <col min="8" max="8" width="15.7109375" bestFit="1" customWidth="1"/>
    <col min="9" max="9" width="12.28515625" bestFit="1" customWidth="1"/>
    <col min="10" max="10" width="10.28515625" bestFit="1" customWidth="1"/>
    <col min="13" max="13" width="12" bestFit="1" customWidth="1"/>
    <col min="16" max="16" width="11.42578125" bestFit="1" customWidth="1"/>
    <col min="20" max="21" width="15.5703125" bestFit="1" customWidth="1"/>
  </cols>
  <sheetData>
    <row r="1" spans="1:21" x14ac:dyDescent="0.25">
      <c r="B1" t="s">
        <v>7</v>
      </c>
      <c r="C1" s="17">
        <f>Table135[[#Totals],[Units]]</f>
        <v>765.697</v>
      </c>
      <c r="E1" t="s">
        <v>9</v>
      </c>
      <c r="F1">
        <v>42.74</v>
      </c>
      <c r="H1" t="s">
        <v>8</v>
      </c>
      <c r="I1" s="18">
        <f>ROUND(C1*F1,2)</f>
        <v>32725.89</v>
      </c>
      <c r="K1" t="s">
        <v>11</v>
      </c>
      <c r="M1" s="18">
        <f>Table135[[#Totals],[Investment]]</f>
        <v>20000</v>
      </c>
      <c r="O1" t="s">
        <v>10</v>
      </c>
      <c r="P1" s="18">
        <f>I1-M1</f>
        <v>12725.89</v>
      </c>
      <c r="R1" t="s">
        <v>53</v>
      </c>
      <c r="T1" t="s">
        <v>67</v>
      </c>
      <c r="U1" s="53" t="str">
        <f ca="1">TEXT(T2,"dd-mm-yy")</f>
        <v>12-04-18</v>
      </c>
    </row>
    <row r="2" spans="1:21" x14ac:dyDescent="0.25">
      <c r="P2" s="23">
        <f>P1/M1</f>
        <v>0.63629449999999999</v>
      </c>
      <c r="R2" t="s">
        <v>75</v>
      </c>
      <c r="T2" s="53">
        <f ca="1">NOW()</f>
        <v>43202.513581597224</v>
      </c>
    </row>
    <row r="3" spans="1:21" x14ac:dyDescent="0.25">
      <c r="A3" s="5" t="s">
        <v>2</v>
      </c>
      <c r="B3" s="5">
        <v>1017532076</v>
      </c>
      <c r="C3" s="5" t="s">
        <v>77</v>
      </c>
      <c r="D3" s="5">
        <v>119661</v>
      </c>
      <c r="E3" s="5"/>
    </row>
    <row r="4" spans="1:21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  <c r="T4" t="s">
        <v>68</v>
      </c>
      <c r="U4" s="54">
        <f ca="1">U1-Table135[Date]</f>
        <v>765</v>
      </c>
    </row>
    <row r="5" spans="1:21" x14ac:dyDescent="0.25">
      <c r="A5" s="7">
        <v>1</v>
      </c>
      <c r="B5" s="3">
        <v>42437</v>
      </c>
      <c r="C5" s="4">
        <v>20000</v>
      </c>
      <c r="D5" s="1">
        <v>26.12</v>
      </c>
      <c r="E5" s="15">
        <f>ROUND(C5/D5,3)</f>
        <v>765.697</v>
      </c>
      <c r="T5" t="s">
        <v>69</v>
      </c>
      <c r="U5" s="23">
        <f ca="1">(P2/U4)*365</f>
        <v>0.30359149346405229</v>
      </c>
    </row>
    <row r="6" spans="1:21" x14ac:dyDescent="0.25">
      <c r="A6" s="11" t="s">
        <v>6</v>
      </c>
      <c r="B6" s="14"/>
      <c r="C6" s="13">
        <f>SUBTOTAL(109,Table135[Investment])</f>
        <v>20000</v>
      </c>
      <c r="D6" s="14"/>
      <c r="E6" s="16">
        <f>SUBTOTAL(109,Table135[Units])</f>
        <v>765.697</v>
      </c>
    </row>
    <row r="7" spans="1:21" x14ac:dyDescent="0.25">
      <c r="A7" s="1"/>
      <c r="B7" s="1"/>
      <c r="C7" s="4"/>
      <c r="D7" s="1"/>
      <c r="E7" s="1"/>
      <c r="J7" s="17"/>
    </row>
    <row r="8" spans="1:21" x14ac:dyDescent="0.25">
      <c r="A8" s="32"/>
      <c r="B8" s="32"/>
      <c r="C8" s="33"/>
      <c r="D8" s="32"/>
      <c r="E8" s="32"/>
    </row>
    <row r="9" spans="1:21" x14ac:dyDescent="0.25">
      <c r="A9" s="32"/>
      <c r="B9" s="32"/>
      <c r="C9" s="33"/>
      <c r="D9" s="32"/>
      <c r="E9" s="32"/>
    </row>
    <row r="10" spans="1:21" x14ac:dyDescent="0.25">
      <c r="A10" s="59" t="s">
        <v>72</v>
      </c>
      <c r="B10" s="55" t="s">
        <v>3</v>
      </c>
      <c r="C10" s="33"/>
      <c r="D10" s="32"/>
      <c r="E10" s="32"/>
    </row>
    <row r="11" spans="1:21" x14ac:dyDescent="0.25">
      <c r="A11" s="60">
        <v>42370</v>
      </c>
      <c r="B11" s="57">
        <v>28.43</v>
      </c>
      <c r="C11" s="33"/>
      <c r="D11" s="32"/>
      <c r="E11" s="32"/>
    </row>
    <row r="12" spans="1:21" x14ac:dyDescent="0.25">
      <c r="A12" s="60">
        <v>42373</v>
      </c>
      <c r="B12" s="57">
        <v>27.99</v>
      </c>
      <c r="C12" s="33"/>
      <c r="D12" s="32"/>
      <c r="E12" s="32"/>
    </row>
    <row r="13" spans="1:21" x14ac:dyDescent="0.25">
      <c r="A13" s="60">
        <v>42374</v>
      </c>
      <c r="B13" s="57">
        <v>28</v>
      </c>
      <c r="C13" s="33"/>
      <c r="D13" s="32"/>
      <c r="E13" s="32"/>
    </row>
    <row r="14" spans="1:21" x14ac:dyDescent="0.25">
      <c r="A14" s="60">
        <v>42375</v>
      </c>
      <c r="B14" s="57">
        <v>27.9</v>
      </c>
      <c r="C14" s="33"/>
      <c r="D14" s="32"/>
      <c r="E14" s="32"/>
    </row>
    <row r="15" spans="1:21" x14ac:dyDescent="0.25">
      <c r="A15" s="60">
        <v>42376</v>
      </c>
      <c r="B15" s="57">
        <v>27.41</v>
      </c>
      <c r="C15" s="33"/>
      <c r="D15" s="32"/>
      <c r="E15" s="32"/>
    </row>
    <row r="16" spans="1:21" x14ac:dyDescent="0.25">
      <c r="A16" s="60">
        <v>42377</v>
      </c>
      <c r="B16" s="57">
        <v>27.56</v>
      </c>
      <c r="C16" s="33"/>
      <c r="D16" s="32"/>
      <c r="E16" s="32"/>
    </row>
    <row r="17" spans="1:5" x14ac:dyDescent="0.25">
      <c r="A17" s="60">
        <v>42380</v>
      </c>
      <c r="B17" s="57">
        <v>27.44</v>
      </c>
      <c r="C17" s="33"/>
      <c r="D17" s="32"/>
      <c r="E17" s="32"/>
    </row>
    <row r="18" spans="1:5" x14ac:dyDescent="0.25">
      <c r="A18" s="60">
        <v>42381</v>
      </c>
      <c r="B18" s="57">
        <v>27.28</v>
      </c>
      <c r="C18" s="33"/>
      <c r="D18" s="32"/>
      <c r="E18" s="32"/>
    </row>
    <row r="19" spans="1:5" x14ac:dyDescent="0.25">
      <c r="A19" s="60">
        <v>42382</v>
      </c>
      <c r="B19" s="57">
        <v>27.33</v>
      </c>
      <c r="C19" s="33"/>
      <c r="D19" s="32"/>
      <c r="E19" s="32"/>
    </row>
    <row r="20" spans="1:5" x14ac:dyDescent="0.25">
      <c r="A20" s="60">
        <v>42383</v>
      </c>
      <c r="B20" s="57">
        <v>27.13</v>
      </c>
      <c r="C20" s="33"/>
      <c r="D20" s="32"/>
      <c r="E20" s="32"/>
    </row>
    <row r="21" spans="1:5" x14ac:dyDescent="0.25">
      <c r="A21" s="60">
        <v>42384</v>
      </c>
      <c r="B21" s="57">
        <v>26.73</v>
      </c>
      <c r="C21" s="33"/>
      <c r="D21" s="32"/>
      <c r="E21" s="32"/>
    </row>
    <row r="22" spans="1:5" x14ac:dyDescent="0.25">
      <c r="A22" s="60">
        <v>42387</v>
      </c>
      <c r="B22" s="57">
        <v>26.07</v>
      </c>
      <c r="C22" s="33"/>
      <c r="D22" s="32"/>
      <c r="E22" s="32"/>
    </row>
    <row r="23" spans="1:5" x14ac:dyDescent="0.25">
      <c r="A23" s="60">
        <v>42388</v>
      </c>
      <c r="B23" s="57">
        <v>26.38</v>
      </c>
      <c r="C23" s="33"/>
      <c r="D23" s="32"/>
      <c r="E23" s="32"/>
    </row>
    <row r="24" spans="1:5" x14ac:dyDescent="0.25">
      <c r="A24" s="60">
        <v>42389</v>
      </c>
      <c r="B24" s="57">
        <v>25.91</v>
      </c>
      <c r="C24" s="33"/>
      <c r="D24" s="32"/>
      <c r="E24" s="32"/>
    </row>
    <row r="25" spans="1:5" x14ac:dyDescent="0.25">
      <c r="A25" s="60">
        <v>42390</v>
      </c>
      <c r="B25" s="57">
        <v>25.86</v>
      </c>
      <c r="C25" s="33"/>
      <c r="D25" s="32"/>
      <c r="E25" s="32"/>
    </row>
    <row r="26" spans="1:5" x14ac:dyDescent="0.25">
      <c r="A26" s="60">
        <v>42391</v>
      </c>
      <c r="B26" s="57">
        <v>26.33</v>
      </c>
      <c r="C26" s="33"/>
      <c r="D26" s="32"/>
      <c r="E26" s="32"/>
    </row>
    <row r="27" spans="1:5" x14ac:dyDescent="0.25">
      <c r="A27" s="60">
        <v>42394</v>
      </c>
      <c r="B27" s="57">
        <v>26.37</v>
      </c>
      <c r="C27" s="33"/>
      <c r="D27" s="32"/>
      <c r="E27" s="32"/>
    </row>
    <row r="28" spans="1:5" x14ac:dyDescent="0.25">
      <c r="A28" s="60">
        <v>42396</v>
      </c>
      <c r="B28" s="57">
        <v>26.38</v>
      </c>
      <c r="C28" s="33"/>
      <c r="D28" s="32"/>
      <c r="E28" s="32"/>
    </row>
    <row r="29" spans="1:5" x14ac:dyDescent="0.25">
      <c r="A29" s="60">
        <v>42397</v>
      </c>
      <c r="B29" s="57">
        <v>26.33</v>
      </c>
      <c r="C29" s="33"/>
      <c r="D29" s="32"/>
      <c r="E29" s="32"/>
    </row>
    <row r="30" spans="1:5" x14ac:dyDescent="0.25">
      <c r="A30" s="60">
        <v>42398</v>
      </c>
      <c r="B30" s="57">
        <v>26.79</v>
      </c>
      <c r="C30" s="33"/>
      <c r="D30" s="32"/>
      <c r="E30" s="32"/>
    </row>
    <row r="31" spans="1:5" x14ac:dyDescent="0.25">
      <c r="A31" s="60">
        <v>42401</v>
      </c>
      <c r="B31" s="57">
        <v>26.78</v>
      </c>
      <c r="C31" s="33"/>
      <c r="D31" s="32"/>
      <c r="E31" s="32"/>
    </row>
    <row r="32" spans="1:5" x14ac:dyDescent="0.25">
      <c r="A32" s="60">
        <v>42402</v>
      </c>
      <c r="B32" s="57">
        <v>26.48</v>
      </c>
      <c r="C32" s="33"/>
      <c r="D32" s="32"/>
      <c r="E32" s="32"/>
    </row>
    <row r="33" spans="1:5" x14ac:dyDescent="0.25">
      <c r="A33" s="60">
        <v>42403</v>
      </c>
      <c r="B33" s="57">
        <v>26.16</v>
      </c>
      <c r="C33" s="33"/>
      <c r="D33" s="32"/>
      <c r="E33" s="32"/>
    </row>
    <row r="34" spans="1:5" x14ac:dyDescent="0.25">
      <c r="A34" s="60">
        <v>42404</v>
      </c>
      <c r="B34" s="57">
        <v>26.19</v>
      </c>
      <c r="C34" s="33"/>
      <c r="D34" s="32"/>
      <c r="E34" s="32"/>
    </row>
    <row r="35" spans="1:5" x14ac:dyDescent="0.25">
      <c r="A35" s="60">
        <v>42405</v>
      </c>
      <c r="B35" s="57">
        <v>26.53</v>
      </c>
      <c r="C35" s="33"/>
      <c r="D35" s="32"/>
      <c r="E35" s="32"/>
    </row>
    <row r="36" spans="1:5" x14ac:dyDescent="0.25">
      <c r="A36" s="60">
        <v>42408</v>
      </c>
      <c r="B36" s="57">
        <v>30.61</v>
      </c>
      <c r="C36" s="33"/>
      <c r="D36" s="32"/>
      <c r="E36" s="32"/>
    </row>
    <row r="37" spans="1:5" x14ac:dyDescent="0.25">
      <c r="A37" s="60">
        <v>42409</v>
      </c>
      <c r="B37" s="57">
        <v>26.05</v>
      </c>
    </row>
    <row r="38" spans="1:5" x14ac:dyDescent="0.25">
      <c r="A38" s="60">
        <v>42410</v>
      </c>
      <c r="B38" s="57">
        <v>25.89</v>
      </c>
    </row>
    <row r="39" spans="1:5" x14ac:dyDescent="0.25">
      <c r="A39" s="60">
        <v>42411</v>
      </c>
      <c r="B39" s="57">
        <v>25.09</v>
      </c>
    </row>
    <row r="40" spans="1:5" x14ac:dyDescent="0.25">
      <c r="A40" s="60">
        <v>42412</v>
      </c>
      <c r="B40" s="57">
        <v>24.96</v>
      </c>
    </row>
    <row r="41" spans="1:5" x14ac:dyDescent="0.25">
      <c r="A41" s="60">
        <v>42415</v>
      </c>
      <c r="B41" s="57">
        <v>25.57</v>
      </c>
    </row>
    <row r="42" spans="1:5" x14ac:dyDescent="0.25">
      <c r="A42" s="60">
        <v>42416</v>
      </c>
      <c r="B42" s="57">
        <v>25.13</v>
      </c>
    </row>
    <row r="43" spans="1:5" x14ac:dyDescent="0.25">
      <c r="A43" s="60">
        <v>42417</v>
      </c>
      <c r="B43" s="57">
        <v>25.3</v>
      </c>
    </row>
    <row r="44" spans="1:5" x14ac:dyDescent="0.25">
      <c r="A44" s="60">
        <v>42418</v>
      </c>
      <c r="B44" s="57">
        <v>25.5</v>
      </c>
    </row>
    <row r="45" spans="1:5" x14ac:dyDescent="0.25">
      <c r="A45" s="60">
        <v>42419</v>
      </c>
      <c r="B45" s="57">
        <v>25.51</v>
      </c>
    </row>
    <row r="46" spans="1:5" x14ac:dyDescent="0.25">
      <c r="A46" s="60">
        <v>42422</v>
      </c>
      <c r="B46" s="57">
        <v>25.61</v>
      </c>
    </row>
    <row r="47" spans="1:5" x14ac:dyDescent="0.25">
      <c r="A47" s="60">
        <v>42423</v>
      </c>
      <c r="B47" s="57">
        <v>25.31</v>
      </c>
    </row>
    <row r="48" spans="1:5" x14ac:dyDescent="0.25">
      <c r="A48" s="60">
        <v>42424</v>
      </c>
      <c r="B48" s="57">
        <v>25.04</v>
      </c>
    </row>
    <row r="49" spans="1:2" x14ac:dyDescent="0.25">
      <c r="A49" s="60">
        <v>42425</v>
      </c>
      <c r="B49" s="57">
        <v>24.76</v>
      </c>
    </row>
    <row r="50" spans="1:2" x14ac:dyDescent="0.25">
      <c r="A50" s="60">
        <v>42426</v>
      </c>
      <c r="B50" s="57">
        <v>24.88</v>
      </c>
    </row>
    <row r="51" spans="1:2" x14ac:dyDescent="0.25">
      <c r="A51" s="60">
        <v>42429</v>
      </c>
      <c r="B51" s="57">
        <v>24.76</v>
      </c>
    </row>
    <row r="52" spans="1:2" x14ac:dyDescent="0.25">
      <c r="A52" s="60">
        <v>42430</v>
      </c>
      <c r="B52" s="57">
        <v>25.46</v>
      </c>
    </row>
    <row r="53" spans="1:2" x14ac:dyDescent="0.25">
      <c r="A53" s="60">
        <v>42431</v>
      </c>
      <c r="B53" s="57">
        <v>25.78</v>
      </c>
    </row>
    <row r="54" spans="1:2" x14ac:dyDescent="0.25">
      <c r="A54" s="60">
        <v>42432</v>
      </c>
      <c r="B54" s="57">
        <v>26</v>
      </c>
    </row>
    <row r="55" spans="1:2" x14ac:dyDescent="0.25">
      <c r="A55" s="60">
        <v>42433</v>
      </c>
      <c r="B55" s="57">
        <v>26.15</v>
      </c>
    </row>
    <row r="56" spans="1:2" x14ac:dyDescent="0.25">
      <c r="A56" s="60">
        <v>42437</v>
      </c>
      <c r="B56" s="57">
        <v>30.37</v>
      </c>
    </row>
    <row r="57" spans="1:2" x14ac:dyDescent="0.25">
      <c r="A57" s="60">
        <v>42438</v>
      </c>
      <c r="B57" s="57">
        <v>26.27</v>
      </c>
    </row>
    <row r="58" spans="1:2" x14ac:dyDescent="0.25">
      <c r="A58" s="60">
        <v>42439</v>
      </c>
      <c r="B58" s="57">
        <v>26.16</v>
      </c>
    </row>
    <row r="59" spans="1:2" x14ac:dyDescent="0.25">
      <c r="A59" s="60">
        <v>42440</v>
      </c>
      <c r="B59" s="57">
        <v>26.2</v>
      </c>
    </row>
    <row r="60" spans="1:2" x14ac:dyDescent="0.25">
      <c r="A60" s="60">
        <v>42443</v>
      </c>
      <c r="B60" s="57">
        <v>26.21</v>
      </c>
    </row>
    <row r="61" spans="1:2" x14ac:dyDescent="0.25">
      <c r="A61" s="60">
        <v>42444</v>
      </c>
      <c r="B61" s="57">
        <v>26.04</v>
      </c>
    </row>
    <row r="62" spans="1:2" x14ac:dyDescent="0.25">
      <c r="A62" s="60">
        <v>42445</v>
      </c>
      <c r="B62" s="57">
        <v>26.04</v>
      </c>
    </row>
    <row r="63" spans="1:2" x14ac:dyDescent="0.25">
      <c r="A63" s="60">
        <v>42446</v>
      </c>
      <c r="B63" s="57">
        <v>26.1</v>
      </c>
    </row>
    <row r="64" spans="1:2" x14ac:dyDescent="0.25">
      <c r="A64" s="60">
        <v>42447</v>
      </c>
      <c r="B64" s="57">
        <v>26.32</v>
      </c>
    </row>
    <row r="65" spans="1:2" x14ac:dyDescent="0.25">
      <c r="A65" s="60">
        <v>42450</v>
      </c>
      <c r="B65" s="57">
        <v>26.66</v>
      </c>
    </row>
    <row r="66" spans="1:2" x14ac:dyDescent="0.25">
      <c r="A66" s="60">
        <v>42451</v>
      </c>
      <c r="B66" s="57">
        <v>26.79</v>
      </c>
    </row>
    <row r="67" spans="1:2" x14ac:dyDescent="0.25">
      <c r="A67" s="60">
        <v>42452</v>
      </c>
      <c r="B67" s="57">
        <v>26.9</v>
      </c>
    </row>
    <row r="68" spans="1:2" x14ac:dyDescent="0.25">
      <c r="A68" s="60">
        <v>42457</v>
      </c>
      <c r="B68" s="57">
        <v>26.73</v>
      </c>
    </row>
    <row r="69" spans="1:2" x14ac:dyDescent="0.25">
      <c r="A69" s="60">
        <v>42458</v>
      </c>
      <c r="B69" s="57">
        <v>26.77</v>
      </c>
    </row>
    <row r="70" spans="1:2" x14ac:dyDescent="0.25">
      <c r="A70" s="60">
        <v>42459</v>
      </c>
      <c r="B70" s="57">
        <v>27.1</v>
      </c>
    </row>
    <row r="71" spans="1:2" x14ac:dyDescent="0.25">
      <c r="A71" s="60">
        <v>42460</v>
      </c>
      <c r="B71" s="57">
        <v>27.27</v>
      </c>
    </row>
    <row r="72" spans="1:2" x14ac:dyDescent="0.25">
      <c r="A72" s="60">
        <v>42461</v>
      </c>
      <c r="B72" s="57">
        <v>27.2</v>
      </c>
    </row>
    <row r="73" spans="1:2" x14ac:dyDescent="0.25">
      <c r="A73" s="60">
        <v>42464</v>
      </c>
      <c r="B73" s="57">
        <v>27.26</v>
      </c>
    </row>
    <row r="74" spans="1:2" x14ac:dyDescent="0.25">
      <c r="A74" s="60">
        <v>42465</v>
      </c>
      <c r="B74" s="57">
        <v>26.89</v>
      </c>
    </row>
    <row r="75" spans="1:2" x14ac:dyDescent="0.25">
      <c r="A75" s="60">
        <v>42466</v>
      </c>
      <c r="B75" s="57">
        <v>27.05</v>
      </c>
    </row>
    <row r="76" spans="1:2" x14ac:dyDescent="0.25">
      <c r="A76" s="60">
        <v>42467</v>
      </c>
      <c r="B76" s="57">
        <v>26.84</v>
      </c>
    </row>
    <row r="77" spans="1:2" x14ac:dyDescent="0.25">
      <c r="A77" s="60">
        <v>42468</v>
      </c>
      <c r="B77" s="57">
        <v>30.41</v>
      </c>
    </row>
    <row r="78" spans="1:2" x14ac:dyDescent="0.25">
      <c r="A78" s="60">
        <v>42471</v>
      </c>
      <c r="B78" s="57">
        <v>27.21</v>
      </c>
    </row>
    <row r="79" spans="1:2" x14ac:dyDescent="0.25">
      <c r="A79" s="60">
        <v>42472</v>
      </c>
      <c r="B79" s="57">
        <v>27.39</v>
      </c>
    </row>
    <row r="80" spans="1:2" x14ac:dyDescent="0.25">
      <c r="A80" s="60">
        <v>42473</v>
      </c>
      <c r="B80" s="57">
        <v>27.77</v>
      </c>
    </row>
    <row r="81" spans="1:2" x14ac:dyDescent="0.25">
      <c r="A81" s="60">
        <v>42478</v>
      </c>
      <c r="B81" s="57">
        <v>28.02</v>
      </c>
    </row>
    <row r="82" spans="1:2" x14ac:dyDescent="0.25">
      <c r="A82" s="60">
        <v>42480</v>
      </c>
      <c r="B82" s="57">
        <v>28</v>
      </c>
    </row>
    <row r="83" spans="1:2" x14ac:dyDescent="0.25">
      <c r="A83" s="60">
        <v>42481</v>
      </c>
      <c r="B83" s="57">
        <v>27.92</v>
      </c>
    </row>
    <row r="84" spans="1:2" x14ac:dyDescent="0.25">
      <c r="A84" s="60">
        <v>42482</v>
      </c>
      <c r="B84" s="57">
        <v>27.88</v>
      </c>
    </row>
    <row r="85" spans="1:2" x14ac:dyDescent="0.25">
      <c r="A85" s="60">
        <v>42485</v>
      </c>
      <c r="B85" s="57">
        <v>27.8</v>
      </c>
    </row>
    <row r="86" spans="1:2" x14ac:dyDescent="0.25">
      <c r="A86" s="60">
        <v>42486</v>
      </c>
      <c r="B86" s="57">
        <v>28.07</v>
      </c>
    </row>
    <row r="87" spans="1:2" x14ac:dyDescent="0.25">
      <c r="A87" s="60">
        <v>42487</v>
      </c>
      <c r="B87" s="57">
        <v>28.09</v>
      </c>
    </row>
    <row r="88" spans="1:2" x14ac:dyDescent="0.25">
      <c r="A88" s="60">
        <v>42488</v>
      </c>
      <c r="B88" s="57">
        <v>27.85</v>
      </c>
    </row>
    <row r="89" spans="1:2" x14ac:dyDescent="0.25">
      <c r="A89" s="60">
        <v>42489</v>
      </c>
      <c r="B89" s="57">
        <v>27.95</v>
      </c>
    </row>
    <row r="90" spans="1:2" x14ac:dyDescent="0.25">
      <c r="A90" s="60">
        <v>42492</v>
      </c>
      <c r="B90" s="57">
        <v>27.93</v>
      </c>
    </row>
    <row r="91" spans="1:2" x14ac:dyDescent="0.25">
      <c r="A91" s="60">
        <v>42493</v>
      </c>
      <c r="B91" s="57">
        <v>27.8</v>
      </c>
    </row>
    <row r="92" spans="1:2" x14ac:dyDescent="0.25">
      <c r="A92" s="60">
        <v>42494</v>
      </c>
      <c r="B92" s="57">
        <v>27.66</v>
      </c>
    </row>
    <row r="93" spans="1:2" x14ac:dyDescent="0.25">
      <c r="A93" s="60">
        <v>42495</v>
      </c>
      <c r="B93" s="57">
        <v>27.71</v>
      </c>
    </row>
    <row r="94" spans="1:2" x14ac:dyDescent="0.25">
      <c r="A94" s="60">
        <v>42496</v>
      </c>
      <c r="B94" s="57">
        <v>27.73</v>
      </c>
    </row>
    <row r="95" spans="1:2" x14ac:dyDescent="0.25">
      <c r="A95" s="60">
        <v>42499</v>
      </c>
      <c r="B95" s="57">
        <v>28.09</v>
      </c>
    </row>
    <row r="96" spans="1:2" x14ac:dyDescent="0.25">
      <c r="A96" s="60">
        <v>42500</v>
      </c>
      <c r="B96" s="57">
        <v>28.17</v>
      </c>
    </row>
    <row r="97" spans="1:2" x14ac:dyDescent="0.25">
      <c r="A97" s="60">
        <v>42501</v>
      </c>
      <c r="B97" s="57">
        <v>28.22</v>
      </c>
    </row>
    <row r="98" spans="1:2" x14ac:dyDescent="0.25">
      <c r="A98" s="60">
        <v>42502</v>
      </c>
      <c r="B98" s="57">
        <v>28.39</v>
      </c>
    </row>
    <row r="99" spans="1:2" x14ac:dyDescent="0.25">
      <c r="A99" s="60">
        <v>42503</v>
      </c>
      <c r="B99" s="57">
        <v>28.22</v>
      </c>
    </row>
    <row r="100" spans="1:2" x14ac:dyDescent="0.25">
      <c r="A100" s="60">
        <v>42506</v>
      </c>
      <c r="B100" s="57">
        <v>28.29</v>
      </c>
    </row>
    <row r="101" spans="1:2" x14ac:dyDescent="0.25">
      <c r="A101" s="60">
        <v>42507</v>
      </c>
      <c r="B101" s="57">
        <v>28.36</v>
      </c>
    </row>
    <row r="102" spans="1:2" x14ac:dyDescent="0.25">
      <c r="A102" s="60">
        <v>42508</v>
      </c>
      <c r="B102" s="57">
        <v>28.31</v>
      </c>
    </row>
    <row r="103" spans="1:2" x14ac:dyDescent="0.25">
      <c r="A103" s="60">
        <v>42509</v>
      </c>
      <c r="B103" s="57">
        <v>28.09</v>
      </c>
    </row>
    <row r="104" spans="1:2" x14ac:dyDescent="0.25">
      <c r="A104" s="60">
        <v>42510</v>
      </c>
      <c r="B104" s="57">
        <v>27.82</v>
      </c>
    </row>
    <row r="105" spans="1:2" x14ac:dyDescent="0.25">
      <c r="A105" s="60">
        <v>42513</v>
      </c>
      <c r="B105" s="57">
        <v>27.76</v>
      </c>
    </row>
    <row r="106" spans="1:2" x14ac:dyDescent="0.25">
      <c r="A106" s="60">
        <v>42514</v>
      </c>
      <c r="B106" s="57">
        <v>27.74</v>
      </c>
    </row>
    <row r="107" spans="1:2" x14ac:dyDescent="0.25">
      <c r="A107" s="60">
        <v>42515</v>
      </c>
      <c r="B107" s="57">
        <v>28.15</v>
      </c>
    </row>
    <row r="108" spans="1:2" x14ac:dyDescent="0.25">
      <c r="A108" s="60">
        <v>42516</v>
      </c>
      <c r="B108" s="57">
        <v>28.48</v>
      </c>
    </row>
    <row r="109" spans="1:2" x14ac:dyDescent="0.25">
      <c r="A109" s="60">
        <v>42517</v>
      </c>
      <c r="B109" s="57">
        <v>28.69</v>
      </c>
    </row>
    <row r="110" spans="1:2" x14ac:dyDescent="0.25">
      <c r="A110" s="60">
        <v>42520</v>
      </c>
      <c r="B110" s="57">
        <v>28.78</v>
      </c>
    </row>
    <row r="111" spans="1:2" x14ac:dyDescent="0.25">
      <c r="A111" s="60">
        <v>42521</v>
      </c>
      <c r="B111" s="57">
        <v>28.68</v>
      </c>
    </row>
    <row r="112" spans="1:2" x14ac:dyDescent="0.25">
      <c r="A112" s="60">
        <v>42522</v>
      </c>
      <c r="B112" s="57">
        <v>28.67</v>
      </c>
    </row>
    <row r="113" spans="1:2" x14ac:dyDescent="0.25">
      <c r="A113" s="60">
        <v>42523</v>
      </c>
      <c r="B113" s="57">
        <v>28.78</v>
      </c>
    </row>
    <row r="114" spans="1:2" x14ac:dyDescent="0.25">
      <c r="A114" s="60">
        <v>42524</v>
      </c>
      <c r="B114" s="57">
        <v>28.81</v>
      </c>
    </row>
    <row r="115" spans="1:2" x14ac:dyDescent="0.25">
      <c r="A115" s="60">
        <v>42527</v>
      </c>
      <c r="B115" s="57">
        <v>28.76</v>
      </c>
    </row>
    <row r="116" spans="1:2" x14ac:dyDescent="0.25">
      <c r="A116" s="60">
        <v>42528</v>
      </c>
      <c r="B116" s="57">
        <v>28.87</v>
      </c>
    </row>
    <row r="117" spans="1:2" x14ac:dyDescent="0.25">
      <c r="A117" s="60">
        <v>42529</v>
      </c>
      <c r="B117" s="57">
        <v>28.89</v>
      </c>
    </row>
    <row r="118" spans="1:2" x14ac:dyDescent="0.25">
      <c r="A118" s="60">
        <v>42530</v>
      </c>
      <c r="B118" s="57">
        <v>28.83</v>
      </c>
    </row>
    <row r="119" spans="1:2" x14ac:dyDescent="0.25">
      <c r="A119" s="60">
        <v>42531</v>
      </c>
      <c r="B119" s="57">
        <v>28.78</v>
      </c>
    </row>
    <row r="120" spans="1:2" x14ac:dyDescent="0.25">
      <c r="A120" s="60">
        <v>42534</v>
      </c>
      <c r="B120" s="57">
        <v>28.63</v>
      </c>
    </row>
    <row r="121" spans="1:2" x14ac:dyDescent="0.25">
      <c r="A121" s="60">
        <v>42535</v>
      </c>
      <c r="B121" s="57">
        <v>28.61</v>
      </c>
    </row>
    <row r="122" spans="1:2" x14ac:dyDescent="0.25">
      <c r="A122" s="60">
        <v>42536</v>
      </c>
      <c r="B122" s="57">
        <v>28.85</v>
      </c>
    </row>
    <row r="123" spans="1:2" x14ac:dyDescent="0.25">
      <c r="A123" s="60">
        <v>42537</v>
      </c>
      <c r="B123" s="57">
        <v>28.7</v>
      </c>
    </row>
    <row r="124" spans="1:2" x14ac:dyDescent="0.25">
      <c r="A124" s="60">
        <v>42538</v>
      </c>
      <c r="B124" s="57">
        <v>28.77</v>
      </c>
    </row>
    <row r="125" spans="1:2" x14ac:dyDescent="0.25">
      <c r="A125" s="60">
        <v>42541</v>
      </c>
      <c r="B125" s="57">
        <v>28.92</v>
      </c>
    </row>
    <row r="126" spans="1:2" x14ac:dyDescent="0.25">
      <c r="A126" s="60">
        <v>42542</v>
      </c>
      <c r="B126" s="57">
        <v>28.94</v>
      </c>
    </row>
    <row r="127" spans="1:2" x14ac:dyDescent="0.25">
      <c r="A127" s="60">
        <v>42543</v>
      </c>
      <c r="B127" s="57">
        <v>28.87</v>
      </c>
    </row>
    <row r="128" spans="1:2" x14ac:dyDescent="0.25">
      <c r="A128" s="60">
        <v>42544</v>
      </c>
      <c r="B128" s="57">
        <v>29</v>
      </c>
    </row>
    <row r="129" spans="1:2" x14ac:dyDescent="0.25">
      <c r="A129" s="60">
        <v>42545</v>
      </c>
      <c r="B129" s="57">
        <v>28.51</v>
      </c>
    </row>
    <row r="130" spans="1:2" x14ac:dyDescent="0.25">
      <c r="A130" s="60">
        <v>42548</v>
      </c>
      <c r="B130" s="57">
        <v>28.68</v>
      </c>
    </row>
    <row r="131" spans="1:2" x14ac:dyDescent="0.25">
      <c r="A131" s="60">
        <v>42549</v>
      </c>
      <c r="B131" s="57">
        <v>28.78</v>
      </c>
    </row>
    <row r="132" spans="1:2" x14ac:dyDescent="0.25">
      <c r="A132" s="60">
        <v>42550</v>
      </c>
      <c r="B132" s="57">
        <v>29.07</v>
      </c>
    </row>
    <row r="133" spans="1:2" x14ac:dyDescent="0.25">
      <c r="A133" s="60">
        <v>42551</v>
      </c>
      <c r="B133" s="57">
        <v>29.33</v>
      </c>
    </row>
    <row r="134" spans="1:2" x14ac:dyDescent="0.25">
      <c r="A134" s="60">
        <v>42552</v>
      </c>
      <c r="B134" s="57">
        <v>29.43</v>
      </c>
    </row>
    <row r="135" spans="1:2" x14ac:dyDescent="0.25">
      <c r="A135" s="60">
        <v>42555</v>
      </c>
      <c r="B135" s="57">
        <v>29.63</v>
      </c>
    </row>
    <row r="136" spans="1:2" x14ac:dyDescent="0.25">
      <c r="A136" s="60">
        <v>42556</v>
      </c>
      <c r="B136" s="57">
        <v>29.59</v>
      </c>
    </row>
    <row r="137" spans="1:2" x14ac:dyDescent="0.25">
      <c r="A137" s="60">
        <v>42558</v>
      </c>
      <c r="B137" s="57">
        <v>29.53</v>
      </c>
    </row>
    <row r="138" spans="1:2" x14ac:dyDescent="0.25">
      <c r="A138" s="60">
        <v>42559</v>
      </c>
      <c r="B138" s="57">
        <v>29.57</v>
      </c>
    </row>
    <row r="139" spans="1:2" x14ac:dyDescent="0.25">
      <c r="A139" s="60">
        <v>42562</v>
      </c>
      <c r="B139" s="57">
        <v>29.88</v>
      </c>
    </row>
    <row r="140" spans="1:2" x14ac:dyDescent="0.25">
      <c r="A140" s="60">
        <v>42563</v>
      </c>
      <c r="B140" s="57">
        <v>29.92</v>
      </c>
    </row>
    <row r="141" spans="1:2" x14ac:dyDescent="0.25">
      <c r="A141" s="60">
        <v>42564</v>
      </c>
      <c r="B141" s="57">
        <v>29.75</v>
      </c>
    </row>
    <row r="142" spans="1:2" x14ac:dyDescent="0.25">
      <c r="A142" s="60">
        <v>42565</v>
      </c>
      <c r="B142" s="57">
        <v>29.9</v>
      </c>
    </row>
    <row r="143" spans="1:2" x14ac:dyDescent="0.25">
      <c r="A143" s="60">
        <v>42566</v>
      </c>
      <c r="B143" s="57">
        <v>29.84</v>
      </c>
    </row>
    <row r="144" spans="1:2" x14ac:dyDescent="0.25">
      <c r="A144" s="60">
        <v>42569</v>
      </c>
      <c r="B144" s="57">
        <v>29.78</v>
      </c>
    </row>
    <row r="145" spans="1:2" x14ac:dyDescent="0.25">
      <c r="A145" s="60">
        <v>42570</v>
      </c>
      <c r="B145" s="57">
        <v>29.88</v>
      </c>
    </row>
    <row r="146" spans="1:2" x14ac:dyDescent="0.25">
      <c r="A146" s="60">
        <v>42571</v>
      </c>
      <c r="B146" s="57">
        <v>29.96</v>
      </c>
    </row>
    <row r="147" spans="1:2" x14ac:dyDescent="0.25">
      <c r="A147" s="60">
        <v>42572</v>
      </c>
      <c r="B147" s="57">
        <v>29.8</v>
      </c>
    </row>
    <row r="148" spans="1:2" x14ac:dyDescent="0.25">
      <c r="A148" s="60">
        <v>42573</v>
      </c>
      <c r="B148" s="57">
        <v>30.12</v>
      </c>
    </row>
    <row r="149" spans="1:2" x14ac:dyDescent="0.25">
      <c r="A149" s="60">
        <v>42576</v>
      </c>
      <c r="B149" s="57">
        <v>30.41</v>
      </c>
    </row>
    <row r="150" spans="1:2" x14ac:dyDescent="0.25">
      <c r="A150" s="60">
        <v>42577</v>
      </c>
      <c r="B150" s="57">
        <v>30.26</v>
      </c>
    </row>
    <row r="151" spans="1:2" x14ac:dyDescent="0.25">
      <c r="A151" s="60">
        <v>42578</v>
      </c>
      <c r="B151" s="57">
        <v>30.37</v>
      </c>
    </row>
    <row r="152" spans="1:2" x14ac:dyDescent="0.25">
      <c r="A152" s="60">
        <v>42579</v>
      </c>
      <c r="B152" s="57">
        <v>30.59</v>
      </c>
    </row>
    <row r="153" spans="1:2" x14ac:dyDescent="0.25">
      <c r="A153" s="60">
        <v>42580</v>
      </c>
      <c r="B153" s="57">
        <v>30.69</v>
      </c>
    </row>
    <row r="154" spans="1:2" x14ac:dyDescent="0.25">
      <c r="A154" s="60">
        <v>42583</v>
      </c>
      <c r="B154" s="57">
        <v>30.69</v>
      </c>
    </row>
    <row r="155" spans="1:2" x14ac:dyDescent="0.25">
      <c r="A155" s="60">
        <v>42585</v>
      </c>
      <c r="B155" s="57">
        <v>30.37</v>
      </c>
    </row>
    <row r="156" spans="1:2" x14ac:dyDescent="0.25">
      <c r="A156" s="60">
        <v>42586</v>
      </c>
      <c r="B156" s="57">
        <v>30.41</v>
      </c>
    </row>
    <row r="157" spans="1:2" x14ac:dyDescent="0.25">
      <c r="A157" s="60">
        <v>42587</v>
      </c>
      <c r="B157" s="57">
        <v>30.96</v>
      </c>
    </row>
    <row r="158" spans="1:2" x14ac:dyDescent="0.25">
      <c r="A158" s="60">
        <v>42590</v>
      </c>
      <c r="B158" s="57">
        <v>31.06</v>
      </c>
    </row>
    <row r="159" spans="1:2" x14ac:dyDescent="0.25">
      <c r="A159" s="60">
        <v>42591</v>
      </c>
      <c r="B159" s="57">
        <v>30.97</v>
      </c>
    </row>
    <row r="160" spans="1:2" x14ac:dyDescent="0.25">
      <c r="A160" s="60">
        <v>42592</v>
      </c>
      <c r="B160" s="57">
        <v>30.63</v>
      </c>
    </row>
    <row r="161" spans="1:2" x14ac:dyDescent="0.25">
      <c r="A161" s="60">
        <v>42593</v>
      </c>
      <c r="B161" s="57">
        <v>30.55</v>
      </c>
    </row>
    <row r="162" spans="1:2" x14ac:dyDescent="0.25">
      <c r="A162" s="60">
        <v>42594</v>
      </c>
      <c r="B162" s="57">
        <v>30.73</v>
      </c>
    </row>
    <row r="163" spans="1:2" x14ac:dyDescent="0.25">
      <c r="A163" s="60">
        <v>42598</v>
      </c>
      <c r="B163" s="57">
        <v>30.6</v>
      </c>
    </row>
    <row r="164" spans="1:2" x14ac:dyDescent="0.25">
      <c r="A164" s="60">
        <v>42599</v>
      </c>
      <c r="B164" s="57">
        <v>30.59</v>
      </c>
    </row>
    <row r="165" spans="1:2" x14ac:dyDescent="0.25">
      <c r="A165" s="60">
        <v>42600</v>
      </c>
      <c r="B165" s="57">
        <v>30.77</v>
      </c>
    </row>
    <row r="166" spans="1:2" x14ac:dyDescent="0.25">
      <c r="A166" s="60">
        <v>42601</v>
      </c>
      <c r="B166" s="57">
        <v>30.71</v>
      </c>
    </row>
    <row r="167" spans="1:2" x14ac:dyDescent="0.25">
      <c r="A167" s="60">
        <v>42604</v>
      </c>
      <c r="B167" s="57">
        <v>30.63</v>
      </c>
    </row>
    <row r="168" spans="1:2" x14ac:dyDescent="0.25">
      <c r="A168" s="60">
        <v>42605</v>
      </c>
      <c r="B168" s="57">
        <v>30.64</v>
      </c>
    </row>
    <row r="169" spans="1:2" x14ac:dyDescent="0.25">
      <c r="A169" s="60">
        <v>42606</v>
      </c>
      <c r="B169" s="57">
        <v>30.72</v>
      </c>
    </row>
    <row r="170" spans="1:2" x14ac:dyDescent="0.25">
      <c r="A170" s="60">
        <v>42607</v>
      </c>
      <c r="B170" s="57">
        <v>30.56</v>
      </c>
    </row>
    <row r="171" spans="1:2" x14ac:dyDescent="0.25">
      <c r="A171" s="60">
        <v>42608</v>
      </c>
      <c r="B171" s="57">
        <v>30.63</v>
      </c>
    </row>
    <row r="172" spans="1:2" x14ac:dyDescent="0.25">
      <c r="A172" s="60">
        <v>42611</v>
      </c>
      <c r="B172" s="57">
        <v>30.74</v>
      </c>
    </row>
    <row r="173" spans="1:2" x14ac:dyDescent="0.25">
      <c r="A173" s="60">
        <v>42612</v>
      </c>
      <c r="B173" s="57">
        <v>31.08</v>
      </c>
    </row>
    <row r="174" spans="1:2" x14ac:dyDescent="0.25">
      <c r="A174" s="60">
        <v>42613</v>
      </c>
      <c r="B174" s="57">
        <v>31.21</v>
      </c>
    </row>
    <row r="175" spans="1:2" x14ac:dyDescent="0.25">
      <c r="A175" s="60">
        <v>42614</v>
      </c>
      <c r="B175" s="57">
        <v>31.06</v>
      </c>
    </row>
    <row r="176" spans="1:2" x14ac:dyDescent="0.25">
      <c r="A176" s="60">
        <v>42615</v>
      </c>
      <c r="B176" s="57">
        <v>31.24</v>
      </c>
    </row>
    <row r="177" spans="1:2" x14ac:dyDescent="0.25">
      <c r="A177" s="60">
        <v>42619</v>
      </c>
      <c r="B177" s="57">
        <v>31.64</v>
      </c>
    </row>
    <row r="178" spans="1:2" x14ac:dyDescent="0.25">
      <c r="A178" s="60">
        <v>42620</v>
      </c>
      <c r="B178" s="57">
        <v>31.59</v>
      </c>
    </row>
    <row r="179" spans="1:2" x14ac:dyDescent="0.25">
      <c r="A179" s="60">
        <v>42621</v>
      </c>
      <c r="B179" s="57">
        <v>31.68</v>
      </c>
    </row>
    <row r="180" spans="1:2" x14ac:dyDescent="0.25">
      <c r="A180" s="60">
        <v>42622</v>
      </c>
      <c r="B180" s="57">
        <v>31.42</v>
      </c>
    </row>
    <row r="181" spans="1:2" x14ac:dyDescent="0.25">
      <c r="A181" s="60">
        <v>42625</v>
      </c>
      <c r="B181" s="57">
        <v>30.91</v>
      </c>
    </row>
    <row r="182" spans="1:2" x14ac:dyDescent="0.25">
      <c r="A182" s="60">
        <v>42627</v>
      </c>
      <c r="B182" s="57">
        <v>31.04</v>
      </c>
    </row>
    <row r="183" spans="1:2" x14ac:dyDescent="0.25">
      <c r="A183" s="60">
        <v>42628</v>
      </c>
      <c r="B183" s="57">
        <v>31.13</v>
      </c>
    </row>
    <row r="184" spans="1:2" x14ac:dyDescent="0.25">
      <c r="A184" s="60">
        <v>42629</v>
      </c>
      <c r="B184" s="57">
        <v>31.12</v>
      </c>
    </row>
    <row r="185" spans="1:2" x14ac:dyDescent="0.25">
      <c r="A185" s="60">
        <v>42632</v>
      </c>
      <c r="B185" s="57">
        <v>31.29</v>
      </c>
    </row>
    <row r="186" spans="1:2" x14ac:dyDescent="0.25">
      <c r="A186" s="60">
        <v>42633</v>
      </c>
      <c r="B186" s="57">
        <v>31.26</v>
      </c>
    </row>
    <row r="187" spans="1:2" x14ac:dyDescent="0.25">
      <c r="A187" s="60">
        <v>42634</v>
      </c>
      <c r="B187" s="57">
        <v>31.29</v>
      </c>
    </row>
    <row r="188" spans="1:2" x14ac:dyDescent="0.25">
      <c r="A188" s="60">
        <v>42635</v>
      </c>
      <c r="B188" s="57">
        <v>31.58</v>
      </c>
    </row>
    <row r="189" spans="1:2" x14ac:dyDescent="0.25">
      <c r="A189" s="60">
        <v>42636</v>
      </c>
      <c r="B189" s="57">
        <v>31.61</v>
      </c>
    </row>
    <row r="190" spans="1:2" x14ac:dyDescent="0.25">
      <c r="A190" s="60">
        <v>42639</v>
      </c>
      <c r="B190" s="57">
        <v>31.51</v>
      </c>
    </row>
    <row r="191" spans="1:2" x14ac:dyDescent="0.25">
      <c r="A191" s="60">
        <v>42640</v>
      </c>
      <c r="B191" s="57">
        <v>31.56</v>
      </c>
    </row>
    <row r="192" spans="1:2" x14ac:dyDescent="0.25">
      <c r="A192" s="60">
        <v>42641</v>
      </c>
      <c r="B192" s="57">
        <v>31.73</v>
      </c>
    </row>
    <row r="193" spans="1:2" x14ac:dyDescent="0.25">
      <c r="A193" s="60">
        <v>42642</v>
      </c>
      <c r="B193" s="57">
        <v>31.09</v>
      </c>
    </row>
    <row r="194" spans="1:2" x14ac:dyDescent="0.25">
      <c r="A194" s="60">
        <v>42643</v>
      </c>
      <c r="B194" s="57">
        <v>31.42</v>
      </c>
    </row>
    <row r="195" spans="1:2" x14ac:dyDescent="0.25">
      <c r="A195" s="60">
        <v>42646</v>
      </c>
      <c r="B195" s="57">
        <v>31.99</v>
      </c>
    </row>
    <row r="196" spans="1:2" x14ac:dyDescent="0.25">
      <c r="A196" s="60">
        <v>42647</v>
      </c>
      <c r="B196" s="57">
        <v>31.94</v>
      </c>
    </row>
    <row r="197" spans="1:2" x14ac:dyDescent="0.25">
      <c r="A197" s="60">
        <v>42648</v>
      </c>
      <c r="B197" s="57">
        <v>31.97</v>
      </c>
    </row>
    <row r="198" spans="1:2" x14ac:dyDescent="0.25">
      <c r="A198" s="60">
        <v>42649</v>
      </c>
      <c r="B198" s="57">
        <v>31.89</v>
      </c>
    </row>
    <row r="199" spans="1:2" x14ac:dyDescent="0.25">
      <c r="A199" s="60">
        <v>42650</v>
      </c>
      <c r="B199" s="57">
        <v>31.89</v>
      </c>
    </row>
    <row r="200" spans="1:2" x14ac:dyDescent="0.25">
      <c r="A200" s="60">
        <v>42653</v>
      </c>
      <c r="B200" s="57">
        <v>31.93</v>
      </c>
    </row>
    <row r="201" spans="1:2" x14ac:dyDescent="0.25">
      <c r="A201" s="60">
        <v>42656</v>
      </c>
      <c r="B201" s="57">
        <v>31.58</v>
      </c>
    </row>
    <row r="202" spans="1:2" x14ac:dyDescent="0.25">
      <c r="A202" s="60">
        <v>42657</v>
      </c>
      <c r="B202" s="57">
        <v>31.61</v>
      </c>
    </row>
    <row r="203" spans="1:2" x14ac:dyDescent="0.25">
      <c r="A203" s="60">
        <v>42660</v>
      </c>
      <c r="B203" s="57">
        <v>31.37</v>
      </c>
    </row>
    <row r="204" spans="1:2" x14ac:dyDescent="0.25">
      <c r="A204" s="60">
        <v>42661</v>
      </c>
      <c r="B204" s="57">
        <v>31.93</v>
      </c>
    </row>
    <row r="205" spans="1:2" x14ac:dyDescent="0.25">
      <c r="A205" s="60">
        <v>42662</v>
      </c>
      <c r="B205" s="57">
        <v>31.97</v>
      </c>
    </row>
    <row r="206" spans="1:2" x14ac:dyDescent="0.25">
      <c r="A206" s="60">
        <v>42663</v>
      </c>
      <c r="B206" s="57">
        <v>32.130000000000003</v>
      </c>
    </row>
    <row r="207" spans="1:2" x14ac:dyDescent="0.25">
      <c r="A207" s="60">
        <v>42664</v>
      </c>
      <c r="B207" s="57">
        <v>32.29</v>
      </c>
    </row>
    <row r="208" spans="1:2" x14ac:dyDescent="0.25">
      <c r="A208" s="60">
        <v>42667</v>
      </c>
      <c r="B208" s="57">
        <v>32.25</v>
      </c>
    </row>
    <row r="209" spans="1:2" x14ac:dyDescent="0.25">
      <c r="A209" s="60">
        <v>42668</v>
      </c>
      <c r="B209" s="57">
        <v>32.119999999999997</v>
      </c>
    </row>
    <row r="210" spans="1:2" x14ac:dyDescent="0.25">
      <c r="A210" s="60">
        <v>42669</v>
      </c>
      <c r="B210" s="57">
        <v>31.88</v>
      </c>
    </row>
    <row r="211" spans="1:2" x14ac:dyDescent="0.25">
      <c r="A211" s="60">
        <v>42670</v>
      </c>
      <c r="B211" s="57">
        <v>31.71</v>
      </c>
    </row>
    <row r="212" spans="1:2" x14ac:dyDescent="0.25">
      <c r="A212" s="60">
        <v>42671</v>
      </c>
      <c r="B212" s="57">
        <v>31.92</v>
      </c>
    </row>
    <row r="213" spans="1:2" x14ac:dyDescent="0.25">
      <c r="A213" s="60">
        <v>42675</v>
      </c>
      <c r="B213" s="57">
        <v>31.91</v>
      </c>
    </row>
    <row r="214" spans="1:2" x14ac:dyDescent="0.25">
      <c r="A214" s="60">
        <v>42676</v>
      </c>
      <c r="B214" s="57">
        <v>31.67</v>
      </c>
    </row>
    <row r="215" spans="1:2" x14ac:dyDescent="0.25">
      <c r="A215" s="60">
        <v>42677</v>
      </c>
      <c r="B215" s="57">
        <v>31.26</v>
      </c>
    </row>
    <row r="216" spans="1:2" x14ac:dyDescent="0.25">
      <c r="A216" s="60">
        <v>42678</v>
      </c>
      <c r="B216" s="57">
        <v>30.77</v>
      </c>
    </row>
    <row r="217" spans="1:2" x14ac:dyDescent="0.25">
      <c r="A217" s="60">
        <v>42681</v>
      </c>
      <c r="B217" s="57">
        <v>30.87</v>
      </c>
    </row>
    <row r="218" spans="1:2" x14ac:dyDescent="0.25">
      <c r="A218" s="60">
        <v>42682</v>
      </c>
      <c r="B218" s="57">
        <v>31.03</v>
      </c>
    </row>
    <row r="219" spans="1:2" x14ac:dyDescent="0.25">
      <c r="A219" s="60">
        <v>42683</v>
      </c>
      <c r="B219" s="57">
        <v>30.6</v>
      </c>
    </row>
    <row r="220" spans="1:2" x14ac:dyDescent="0.25">
      <c r="A220" s="60">
        <v>42684</v>
      </c>
      <c r="B220" s="57">
        <v>30.89</v>
      </c>
    </row>
    <row r="221" spans="1:2" x14ac:dyDescent="0.25">
      <c r="A221" s="60">
        <v>42685</v>
      </c>
      <c r="B221" s="57">
        <v>30.12</v>
      </c>
    </row>
    <row r="222" spans="1:2" x14ac:dyDescent="0.25">
      <c r="A222" s="60">
        <v>42689</v>
      </c>
      <c r="B222" s="57">
        <v>29.04</v>
      </c>
    </row>
    <row r="223" spans="1:2" x14ac:dyDescent="0.25">
      <c r="A223" s="60">
        <v>42690</v>
      </c>
      <c r="B223" s="57">
        <v>29.08</v>
      </c>
    </row>
    <row r="224" spans="1:2" x14ac:dyDescent="0.25">
      <c r="A224" s="60">
        <v>42691</v>
      </c>
      <c r="B224" s="57">
        <v>28.99</v>
      </c>
    </row>
    <row r="225" spans="1:2" x14ac:dyDescent="0.25">
      <c r="A225" s="60">
        <v>42692</v>
      </c>
      <c r="B225" s="57">
        <v>28.89</v>
      </c>
    </row>
    <row r="226" spans="1:2" x14ac:dyDescent="0.25">
      <c r="A226" s="60">
        <v>42695</v>
      </c>
      <c r="B226" s="57">
        <v>28.22</v>
      </c>
    </row>
    <row r="227" spans="1:2" x14ac:dyDescent="0.25">
      <c r="A227" s="60">
        <v>42696</v>
      </c>
      <c r="B227" s="57">
        <v>28.59</v>
      </c>
    </row>
    <row r="228" spans="1:2" x14ac:dyDescent="0.25">
      <c r="A228" s="60">
        <v>42697</v>
      </c>
      <c r="B228" s="57">
        <v>28.82</v>
      </c>
    </row>
    <row r="229" spans="1:2" x14ac:dyDescent="0.25">
      <c r="A229" s="60">
        <v>42698</v>
      </c>
      <c r="B229" s="57">
        <v>28.63</v>
      </c>
    </row>
    <row r="230" spans="1:2" x14ac:dyDescent="0.25">
      <c r="A230" s="60">
        <v>42699</v>
      </c>
      <c r="B230" s="57">
        <v>28.99</v>
      </c>
    </row>
    <row r="231" spans="1:2" x14ac:dyDescent="0.25">
      <c r="A231" s="60">
        <v>42702</v>
      </c>
      <c r="B231" s="57">
        <v>29.11</v>
      </c>
    </row>
    <row r="232" spans="1:2" x14ac:dyDescent="0.25">
      <c r="A232" s="60">
        <v>42703</v>
      </c>
      <c r="B232" s="57">
        <v>29.26</v>
      </c>
    </row>
    <row r="233" spans="1:2" x14ac:dyDescent="0.25">
      <c r="A233" s="60">
        <v>42704</v>
      </c>
      <c r="B233" s="57">
        <v>29.52</v>
      </c>
    </row>
    <row r="234" spans="1:2" x14ac:dyDescent="0.25">
      <c r="A234" s="60">
        <v>42705</v>
      </c>
      <c r="B234" s="57">
        <v>29.33</v>
      </c>
    </row>
    <row r="235" spans="1:2" x14ac:dyDescent="0.25">
      <c r="A235" s="60">
        <v>42706</v>
      </c>
      <c r="B235" s="57">
        <v>29.07</v>
      </c>
    </row>
    <row r="236" spans="1:2" x14ac:dyDescent="0.25">
      <c r="A236" s="60">
        <v>42709</v>
      </c>
      <c r="B236" s="57">
        <v>29.23</v>
      </c>
    </row>
    <row r="237" spans="1:2" x14ac:dyDescent="0.25">
      <c r="A237" s="60">
        <v>42710</v>
      </c>
      <c r="B237" s="57">
        <v>29.21</v>
      </c>
    </row>
    <row r="238" spans="1:2" x14ac:dyDescent="0.25">
      <c r="A238" s="60">
        <v>42711</v>
      </c>
      <c r="B238" s="57">
        <v>29.09</v>
      </c>
    </row>
    <row r="239" spans="1:2" x14ac:dyDescent="0.25">
      <c r="A239" s="60">
        <v>42712</v>
      </c>
      <c r="B239" s="57">
        <v>29.52</v>
      </c>
    </row>
    <row r="240" spans="1:2" x14ac:dyDescent="0.25">
      <c r="A240" s="60">
        <v>42713</v>
      </c>
      <c r="B240" s="57">
        <v>29.56</v>
      </c>
    </row>
    <row r="241" spans="1:2" x14ac:dyDescent="0.25">
      <c r="A241" s="60">
        <v>42716</v>
      </c>
      <c r="B241" s="57">
        <v>29.41</v>
      </c>
    </row>
    <row r="242" spans="1:2" x14ac:dyDescent="0.25">
      <c r="A242" s="60">
        <v>42717</v>
      </c>
      <c r="B242" s="57">
        <v>29.48</v>
      </c>
    </row>
    <row r="243" spans="1:2" x14ac:dyDescent="0.25">
      <c r="A243" s="60">
        <v>42718</v>
      </c>
      <c r="B243" s="57">
        <v>29.37</v>
      </c>
    </row>
    <row r="244" spans="1:2" x14ac:dyDescent="0.25">
      <c r="A244" s="60">
        <v>42719</v>
      </c>
      <c r="B244" s="57">
        <v>29.33</v>
      </c>
    </row>
    <row r="245" spans="1:2" x14ac:dyDescent="0.25">
      <c r="A245" s="60">
        <v>42720</v>
      </c>
      <c r="B245" s="57">
        <v>29.34</v>
      </c>
    </row>
    <row r="246" spans="1:2" x14ac:dyDescent="0.25">
      <c r="A246" s="60">
        <v>42723</v>
      </c>
      <c r="B246" s="57">
        <v>29.21</v>
      </c>
    </row>
    <row r="247" spans="1:2" x14ac:dyDescent="0.25">
      <c r="A247" s="60">
        <v>42724</v>
      </c>
      <c r="B247" s="57">
        <v>29.04</v>
      </c>
    </row>
    <row r="248" spans="1:2" x14ac:dyDescent="0.25">
      <c r="A248" s="60">
        <v>42725</v>
      </c>
      <c r="B248" s="57">
        <v>29.02</v>
      </c>
    </row>
    <row r="249" spans="1:2" x14ac:dyDescent="0.25">
      <c r="A249" s="60">
        <v>42726</v>
      </c>
      <c r="B249" s="57">
        <v>28.73</v>
      </c>
    </row>
    <row r="250" spans="1:2" x14ac:dyDescent="0.25">
      <c r="A250" s="60">
        <v>42727</v>
      </c>
      <c r="B250" s="57">
        <v>28.79</v>
      </c>
    </row>
    <row r="251" spans="1:2" x14ac:dyDescent="0.25">
      <c r="A251" s="60">
        <v>42730</v>
      </c>
      <c r="B251" s="57">
        <v>28.47</v>
      </c>
    </row>
    <row r="252" spans="1:2" x14ac:dyDescent="0.25">
      <c r="A252" s="60">
        <v>42731</v>
      </c>
      <c r="B252" s="57">
        <v>28.77</v>
      </c>
    </row>
    <row r="253" spans="1:2" x14ac:dyDescent="0.25">
      <c r="A253" s="60">
        <v>42732</v>
      </c>
      <c r="B253" s="57">
        <v>28.85</v>
      </c>
    </row>
    <row r="254" spans="1:2" x14ac:dyDescent="0.25">
      <c r="A254" s="60">
        <v>42733</v>
      </c>
      <c r="B254" s="57">
        <v>29.15</v>
      </c>
    </row>
    <row r="255" spans="1:2" x14ac:dyDescent="0.25">
      <c r="A255" s="60">
        <v>42734</v>
      </c>
      <c r="B255" s="57">
        <v>29.55</v>
      </c>
    </row>
    <row r="256" spans="1:2" x14ac:dyDescent="0.25">
      <c r="A256" s="60">
        <v>42737</v>
      </c>
      <c r="B256" s="57">
        <v>29.57</v>
      </c>
    </row>
    <row r="257" spans="1:2" x14ac:dyDescent="0.25">
      <c r="A257" s="60">
        <v>42738</v>
      </c>
      <c r="B257" s="57">
        <v>29.66</v>
      </c>
    </row>
    <row r="258" spans="1:2" x14ac:dyDescent="0.25">
      <c r="A258" s="60">
        <v>42739</v>
      </c>
      <c r="B258" s="57">
        <v>29.6</v>
      </c>
    </row>
    <row r="259" spans="1:2" x14ac:dyDescent="0.25">
      <c r="A259" s="60">
        <v>42740</v>
      </c>
      <c r="B259" s="57">
        <v>29.86</v>
      </c>
    </row>
    <row r="260" spans="1:2" x14ac:dyDescent="0.25">
      <c r="A260" s="60">
        <v>42741</v>
      </c>
      <c r="B260" s="57">
        <v>29.81</v>
      </c>
    </row>
    <row r="261" spans="1:2" x14ac:dyDescent="0.25">
      <c r="A261" s="60">
        <v>42744</v>
      </c>
      <c r="B261" s="57">
        <v>29.86</v>
      </c>
    </row>
    <row r="262" spans="1:2" x14ac:dyDescent="0.25">
      <c r="A262" s="60">
        <v>42745</v>
      </c>
      <c r="B262" s="57">
        <v>29.96</v>
      </c>
    </row>
    <row r="263" spans="1:2" x14ac:dyDescent="0.25">
      <c r="A263" s="60">
        <v>42746</v>
      </c>
      <c r="B263" s="57">
        <v>30.31</v>
      </c>
    </row>
    <row r="264" spans="1:2" x14ac:dyDescent="0.25">
      <c r="A264" s="60">
        <v>42747</v>
      </c>
      <c r="B264" s="57">
        <v>30.37</v>
      </c>
    </row>
    <row r="265" spans="1:2" x14ac:dyDescent="0.25">
      <c r="A265" s="60">
        <v>42748</v>
      </c>
      <c r="B265" s="57">
        <v>30.28</v>
      </c>
    </row>
    <row r="266" spans="1:2" x14ac:dyDescent="0.25">
      <c r="A266" s="60">
        <v>42751</v>
      </c>
      <c r="B266" s="57">
        <v>30.35</v>
      </c>
    </row>
    <row r="267" spans="1:2" x14ac:dyDescent="0.25">
      <c r="A267" s="60">
        <v>42752</v>
      </c>
      <c r="B267" s="57">
        <v>30.28</v>
      </c>
    </row>
    <row r="268" spans="1:2" x14ac:dyDescent="0.25">
      <c r="A268" s="60">
        <v>42753</v>
      </c>
      <c r="B268" s="57">
        <v>30.43</v>
      </c>
    </row>
    <row r="269" spans="1:2" x14ac:dyDescent="0.25">
      <c r="A269" s="60">
        <v>42754</v>
      </c>
      <c r="B269" s="57">
        <v>30.41</v>
      </c>
    </row>
    <row r="270" spans="1:2" x14ac:dyDescent="0.25">
      <c r="A270" s="60">
        <v>42755</v>
      </c>
      <c r="B270" s="57">
        <v>30.17</v>
      </c>
    </row>
    <row r="271" spans="1:2" x14ac:dyDescent="0.25">
      <c r="A271" s="60">
        <v>42758</v>
      </c>
      <c r="B271" s="57">
        <v>30.32</v>
      </c>
    </row>
    <row r="272" spans="1:2" x14ac:dyDescent="0.25">
      <c r="A272" s="60">
        <v>42759</v>
      </c>
      <c r="B272" s="57">
        <v>30.54</v>
      </c>
    </row>
    <row r="273" spans="1:2" x14ac:dyDescent="0.25">
      <c r="A273" s="60">
        <v>42760</v>
      </c>
      <c r="B273" s="57">
        <v>30.96</v>
      </c>
    </row>
    <row r="274" spans="1:2" x14ac:dyDescent="0.25">
      <c r="A274" s="60">
        <v>42762</v>
      </c>
      <c r="B274" s="57">
        <v>31.01</v>
      </c>
    </row>
    <row r="275" spans="1:2" x14ac:dyDescent="0.25">
      <c r="A275" s="60">
        <v>42765</v>
      </c>
      <c r="B275" s="57">
        <v>30.96</v>
      </c>
    </row>
    <row r="276" spans="1:2" x14ac:dyDescent="0.25">
      <c r="A276" s="60">
        <v>42766</v>
      </c>
      <c r="B276" s="57">
        <v>30.73</v>
      </c>
    </row>
    <row r="277" spans="1:2" x14ac:dyDescent="0.25">
      <c r="A277" s="60">
        <v>42767</v>
      </c>
      <c r="B277" s="57">
        <v>31.16</v>
      </c>
    </row>
    <row r="278" spans="1:2" x14ac:dyDescent="0.25">
      <c r="A278" s="60">
        <v>42768</v>
      </c>
      <c r="B278" s="57">
        <v>31.2</v>
      </c>
    </row>
    <row r="279" spans="1:2" x14ac:dyDescent="0.25">
      <c r="A279" s="60">
        <v>42769</v>
      </c>
      <c r="B279" s="57">
        <v>31.21</v>
      </c>
    </row>
    <row r="280" spans="1:2" x14ac:dyDescent="0.25">
      <c r="A280" s="60">
        <v>42772</v>
      </c>
      <c r="B280" s="57">
        <v>31.36</v>
      </c>
    </row>
    <row r="281" spans="1:2" x14ac:dyDescent="0.25">
      <c r="A281" s="60">
        <v>42773</v>
      </c>
      <c r="B281" s="57">
        <v>31.58</v>
      </c>
    </row>
    <row r="282" spans="1:2" x14ac:dyDescent="0.25">
      <c r="A282" s="60">
        <v>42774</v>
      </c>
      <c r="B282" s="57">
        <v>31.73</v>
      </c>
    </row>
    <row r="283" spans="1:2" x14ac:dyDescent="0.25">
      <c r="A283" s="60">
        <v>42775</v>
      </c>
      <c r="B283" s="57">
        <v>31.74</v>
      </c>
    </row>
    <row r="284" spans="1:2" x14ac:dyDescent="0.25">
      <c r="A284" s="60">
        <v>42776</v>
      </c>
      <c r="B284" s="57">
        <v>31.73</v>
      </c>
    </row>
    <row r="285" spans="1:2" x14ac:dyDescent="0.25">
      <c r="A285" s="60">
        <v>42779</v>
      </c>
      <c r="B285" s="57">
        <v>31.65</v>
      </c>
    </row>
    <row r="286" spans="1:2" x14ac:dyDescent="0.25">
      <c r="A286" s="60">
        <v>42780</v>
      </c>
      <c r="B286" s="57">
        <v>31.51</v>
      </c>
    </row>
    <row r="287" spans="1:2" x14ac:dyDescent="0.25">
      <c r="A287" s="60">
        <v>42781</v>
      </c>
      <c r="B287" s="57">
        <v>31.2</v>
      </c>
    </row>
    <row r="288" spans="1:2" x14ac:dyDescent="0.25">
      <c r="A288" s="60">
        <v>42782</v>
      </c>
      <c r="B288" s="57">
        <v>31.4</v>
      </c>
    </row>
    <row r="289" spans="1:2" x14ac:dyDescent="0.25">
      <c r="A289" s="60">
        <v>42783</v>
      </c>
      <c r="B289" s="57">
        <v>31.44</v>
      </c>
    </row>
    <row r="290" spans="1:2" x14ac:dyDescent="0.25">
      <c r="A290" s="60">
        <v>42786</v>
      </c>
      <c r="B290" s="57">
        <v>31.57</v>
      </c>
    </row>
    <row r="291" spans="1:2" x14ac:dyDescent="0.25">
      <c r="A291" s="60">
        <v>42787</v>
      </c>
      <c r="B291" s="57">
        <v>31.74</v>
      </c>
    </row>
    <row r="292" spans="1:2" x14ac:dyDescent="0.25">
      <c r="A292" s="60">
        <v>42788</v>
      </c>
      <c r="B292" s="57">
        <v>31.73</v>
      </c>
    </row>
    <row r="293" spans="1:2" x14ac:dyDescent="0.25">
      <c r="A293" s="60">
        <v>42789</v>
      </c>
      <c r="B293" s="57">
        <v>31.77</v>
      </c>
    </row>
    <row r="294" spans="1:2" x14ac:dyDescent="0.25">
      <c r="A294" s="60">
        <v>42793</v>
      </c>
      <c r="B294" s="57">
        <v>31.7</v>
      </c>
    </row>
    <row r="295" spans="1:2" x14ac:dyDescent="0.25">
      <c r="A295" s="60">
        <v>42794</v>
      </c>
      <c r="B295" s="57">
        <v>31.71</v>
      </c>
    </row>
    <row r="296" spans="1:2" x14ac:dyDescent="0.25">
      <c r="A296" s="60">
        <v>42795</v>
      </c>
      <c r="B296" s="57">
        <v>31.86</v>
      </c>
    </row>
    <row r="297" spans="1:2" x14ac:dyDescent="0.25">
      <c r="A297" s="60">
        <v>42796</v>
      </c>
      <c r="B297" s="57">
        <v>31.61</v>
      </c>
    </row>
    <row r="298" spans="1:2" x14ac:dyDescent="0.25">
      <c r="A298" s="60">
        <v>42797</v>
      </c>
      <c r="B298" s="57">
        <v>31.69</v>
      </c>
    </row>
    <row r="299" spans="1:2" x14ac:dyDescent="0.25">
      <c r="A299" s="60">
        <v>42800</v>
      </c>
      <c r="B299" s="57">
        <v>31.83</v>
      </c>
    </row>
    <row r="300" spans="1:2" x14ac:dyDescent="0.25">
      <c r="A300" s="60">
        <v>42801</v>
      </c>
      <c r="B300" s="57">
        <v>31.8</v>
      </c>
    </row>
    <row r="301" spans="1:2" x14ac:dyDescent="0.25">
      <c r="A301" s="60">
        <v>42802</v>
      </c>
      <c r="B301" s="57">
        <v>31.79</v>
      </c>
    </row>
    <row r="302" spans="1:2" x14ac:dyDescent="0.25">
      <c r="A302" s="60">
        <v>42803</v>
      </c>
      <c r="B302" s="57">
        <v>31.81</v>
      </c>
    </row>
    <row r="303" spans="1:2" x14ac:dyDescent="0.25">
      <c r="A303" s="60">
        <v>42804</v>
      </c>
      <c r="B303" s="57">
        <v>31.82</v>
      </c>
    </row>
    <row r="304" spans="1:2" x14ac:dyDescent="0.25">
      <c r="A304" s="60">
        <v>42808</v>
      </c>
      <c r="B304" s="57">
        <v>32.22</v>
      </c>
    </row>
    <row r="305" spans="1:2" x14ac:dyDescent="0.25">
      <c r="A305" s="60">
        <v>42809</v>
      </c>
      <c r="B305" s="57">
        <v>32.369999999999997</v>
      </c>
    </row>
    <row r="306" spans="1:2" x14ac:dyDescent="0.25">
      <c r="A306" s="60">
        <v>42810</v>
      </c>
      <c r="B306" s="57">
        <v>32.630000000000003</v>
      </c>
    </row>
    <row r="307" spans="1:2" x14ac:dyDescent="0.25">
      <c r="A307" s="60">
        <v>42811</v>
      </c>
      <c r="B307" s="57">
        <v>32.630000000000003</v>
      </c>
    </row>
    <row r="308" spans="1:2" x14ac:dyDescent="0.25">
      <c r="A308" s="60">
        <v>42814</v>
      </c>
      <c r="B308" s="57">
        <v>32.58</v>
      </c>
    </row>
    <row r="309" spans="1:2" x14ac:dyDescent="0.25">
      <c r="A309" s="60">
        <v>42815</v>
      </c>
      <c r="B309" s="57">
        <v>32.619999999999997</v>
      </c>
    </row>
    <row r="310" spans="1:2" x14ac:dyDescent="0.25">
      <c r="A310" s="60">
        <v>42816</v>
      </c>
      <c r="B310" s="57">
        <v>32.409999999999997</v>
      </c>
    </row>
    <row r="311" spans="1:2" x14ac:dyDescent="0.25">
      <c r="A311" s="60">
        <v>42817</v>
      </c>
      <c r="B311" s="57">
        <v>32.659999999999997</v>
      </c>
    </row>
    <row r="312" spans="1:2" x14ac:dyDescent="0.25">
      <c r="A312" s="60">
        <v>42818</v>
      </c>
      <c r="B312" s="57">
        <v>32.82</v>
      </c>
    </row>
    <row r="313" spans="1:2" x14ac:dyDescent="0.25">
      <c r="A313" s="60">
        <v>42821</v>
      </c>
      <c r="B313" s="57">
        <v>32.880000000000003</v>
      </c>
    </row>
    <row r="314" spans="1:2" x14ac:dyDescent="0.25">
      <c r="A314" s="60">
        <v>42822</v>
      </c>
      <c r="B314" s="57">
        <v>32.979999999999997</v>
      </c>
    </row>
    <row r="315" spans="1:2" x14ac:dyDescent="0.25">
      <c r="A315" s="60">
        <v>42823</v>
      </c>
      <c r="B315" s="57">
        <v>33.450000000000003</v>
      </c>
    </row>
    <row r="316" spans="1:2" x14ac:dyDescent="0.25">
      <c r="A316" s="60">
        <v>42824</v>
      </c>
      <c r="B316" s="57">
        <v>33.65</v>
      </c>
    </row>
    <row r="317" spans="1:2" x14ac:dyDescent="0.25">
      <c r="A317" s="60">
        <v>42825</v>
      </c>
      <c r="B317" s="57">
        <v>33.770000000000003</v>
      </c>
    </row>
    <row r="318" spans="1:2" x14ac:dyDescent="0.25">
      <c r="A318" s="60">
        <v>42828</v>
      </c>
      <c r="B318" s="57">
        <v>33.89</v>
      </c>
    </row>
    <row r="319" spans="1:2" x14ac:dyDescent="0.25">
      <c r="A319" s="60">
        <v>42830</v>
      </c>
      <c r="B319" s="57">
        <v>34.090000000000003</v>
      </c>
    </row>
    <row r="320" spans="1:2" x14ac:dyDescent="0.25">
      <c r="A320" s="60">
        <v>42831</v>
      </c>
      <c r="B320" s="57">
        <v>34.07</v>
      </c>
    </row>
    <row r="321" spans="1:2" x14ac:dyDescent="0.25">
      <c r="A321" s="60">
        <v>42832</v>
      </c>
      <c r="B321" s="57">
        <v>33.9</v>
      </c>
    </row>
    <row r="322" spans="1:2" x14ac:dyDescent="0.25">
      <c r="A322" s="60">
        <v>42835</v>
      </c>
      <c r="B322" s="57">
        <v>34.1</v>
      </c>
    </row>
    <row r="323" spans="1:2" x14ac:dyDescent="0.25">
      <c r="A323" s="60">
        <v>42836</v>
      </c>
      <c r="B323" s="57">
        <v>34.24</v>
      </c>
    </row>
    <row r="324" spans="1:2" x14ac:dyDescent="0.25">
      <c r="A324" s="60">
        <v>42837</v>
      </c>
      <c r="B324" s="57">
        <v>34.14</v>
      </c>
    </row>
    <row r="325" spans="1:2" x14ac:dyDescent="0.25">
      <c r="A325" s="60">
        <v>42838</v>
      </c>
      <c r="B325" s="57">
        <v>34.049999999999997</v>
      </c>
    </row>
    <row r="326" spans="1:2" x14ac:dyDescent="0.25">
      <c r="A326" s="60">
        <v>42842</v>
      </c>
      <c r="B326" s="57">
        <v>34.049999999999997</v>
      </c>
    </row>
    <row r="327" spans="1:2" x14ac:dyDescent="0.25">
      <c r="A327" s="60">
        <v>42843</v>
      </c>
      <c r="B327" s="57">
        <v>33.909999999999997</v>
      </c>
    </row>
    <row r="328" spans="1:2" x14ac:dyDescent="0.25">
      <c r="A328" s="60">
        <v>42844</v>
      </c>
      <c r="B328" s="57">
        <v>34</v>
      </c>
    </row>
    <row r="329" spans="1:2" x14ac:dyDescent="0.25">
      <c r="A329" s="60">
        <v>42845</v>
      </c>
      <c r="B329" s="57">
        <v>34.29</v>
      </c>
    </row>
    <row r="330" spans="1:2" x14ac:dyDescent="0.25">
      <c r="A330" s="60">
        <v>42846</v>
      </c>
      <c r="B330" s="57">
        <v>34.35</v>
      </c>
    </row>
    <row r="331" spans="1:2" x14ac:dyDescent="0.25">
      <c r="A331" s="60">
        <v>42849</v>
      </c>
      <c r="B331" s="57">
        <v>34.64</v>
      </c>
    </row>
    <row r="332" spans="1:2" x14ac:dyDescent="0.25">
      <c r="A332" s="60">
        <v>42850</v>
      </c>
      <c r="B332" s="57">
        <v>35.04</v>
      </c>
    </row>
    <row r="333" spans="1:2" x14ac:dyDescent="0.25">
      <c r="A333" s="60">
        <v>42851</v>
      </c>
      <c r="B333" s="57">
        <v>35.06</v>
      </c>
    </row>
    <row r="334" spans="1:2" x14ac:dyDescent="0.25">
      <c r="A334" s="60">
        <v>42852</v>
      </c>
      <c r="B334" s="57">
        <v>34.99</v>
      </c>
    </row>
    <row r="335" spans="1:2" x14ac:dyDescent="0.25">
      <c r="A335" s="60">
        <v>42853</v>
      </c>
      <c r="B335" s="57">
        <v>34.880000000000003</v>
      </c>
    </row>
    <row r="336" spans="1:2" x14ac:dyDescent="0.25">
      <c r="A336" s="60">
        <v>42857</v>
      </c>
      <c r="B336" s="57">
        <v>34.92</v>
      </c>
    </row>
    <row r="337" spans="1:2" x14ac:dyDescent="0.25">
      <c r="A337" s="60">
        <v>42858</v>
      </c>
      <c r="B337" s="57">
        <v>34.9</v>
      </c>
    </row>
    <row r="338" spans="1:2" x14ac:dyDescent="0.25">
      <c r="A338" s="60">
        <v>42859</v>
      </c>
      <c r="B338" s="57">
        <v>35.04</v>
      </c>
    </row>
    <row r="339" spans="1:2" x14ac:dyDescent="0.25">
      <c r="A339" s="60">
        <v>42860</v>
      </c>
      <c r="B339" s="57">
        <v>34.869999999999997</v>
      </c>
    </row>
    <row r="340" spans="1:2" x14ac:dyDescent="0.25">
      <c r="A340" s="60">
        <v>42863</v>
      </c>
      <c r="B340" s="57">
        <v>35.03</v>
      </c>
    </row>
    <row r="341" spans="1:2" x14ac:dyDescent="0.25">
      <c r="A341" s="60">
        <v>42864</v>
      </c>
      <c r="B341" s="57">
        <v>35.130000000000003</v>
      </c>
    </row>
    <row r="342" spans="1:2" x14ac:dyDescent="0.25">
      <c r="A342" s="60">
        <v>42865</v>
      </c>
      <c r="B342" s="57">
        <v>35.25</v>
      </c>
    </row>
    <row r="343" spans="1:2" x14ac:dyDescent="0.25">
      <c r="A343" s="60">
        <v>42866</v>
      </c>
      <c r="B343" s="57">
        <v>35.28</v>
      </c>
    </row>
    <row r="344" spans="1:2" x14ac:dyDescent="0.25">
      <c r="A344" s="60">
        <v>42867</v>
      </c>
      <c r="B344" s="57">
        <v>35.08</v>
      </c>
    </row>
    <row r="345" spans="1:2" x14ac:dyDescent="0.25">
      <c r="A345" s="60">
        <v>42870</v>
      </c>
      <c r="B345" s="57">
        <v>35.33</v>
      </c>
    </row>
    <row r="346" spans="1:2" x14ac:dyDescent="0.25">
      <c r="A346" s="60">
        <v>42871</v>
      </c>
      <c r="B346" s="57">
        <v>35.450000000000003</v>
      </c>
    </row>
    <row r="347" spans="1:2" x14ac:dyDescent="0.25">
      <c r="A347" s="60">
        <v>42872</v>
      </c>
      <c r="B347" s="57">
        <v>35.35</v>
      </c>
    </row>
    <row r="348" spans="1:2" x14ac:dyDescent="0.25">
      <c r="A348" s="60">
        <v>42873</v>
      </c>
      <c r="B348" s="57">
        <v>34.880000000000003</v>
      </c>
    </row>
    <row r="349" spans="1:2" x14ac:dyDescent="0.25">
      <c r="A349" s="60">
        <v>42874</v>
      </c>
      <c r="B349" s="57">
        <v>34.74</v>
      </c>
    </row>
    <row r="350" spans="1:2" x14ac:dyDescent="0.25">
      <c r="A350" s="60">
        <v>42877</v>
      </c>
      <c r="B350" s="57">
        <v>34.51</v>
      </c>
    </row>
    <row r="351" spans="1:2" x14ac:dyDescent="0.25">
      <c r="A351" s="60">
        <v>42878</v>
      </c>
      <c r="B351" s="57">
        <v>34.200000000000003</v>
      </c>
    </row>
    <row r="352" spans="1:2" x14ac:dyDescent="0.25">
      <c r="A352" s="60">
        <v>42879</v>
      </c>
      <c r="B352" s="57">
        <v>33.869999999999997</v>
      </c>
    </row>
    <row r="353" spans="1:2" x14ac:dyDescent="0.25">
      <c r="A353" s="60">
        <v>42880</v>
      </c>
      <c r="B353" s="57">
        <v>34.270000000000003</v>
      </c>
    </row>
    <row r="354" spans="1:2" x14ac:dyDescent="0.25">
      <c r="A354" s="60">
        <v>42881</v>
      </c>
      <c r="B354" s="57">
        <v>34.590000000000003</v>
      </c>
    </row>
    <row r="355" spans="1:2" x14ac:dyDescent="0.25">
      <c r="A355" s="60">
        <v>42884</v>
      </c>
      <c r="B355" s="57">
        <v>34.51</v>
      </c>
    </row>
    <row r="356" spans="1:2" x14ac:dyDescent="0.25">
      <c r="A356" s="60">
        <v>42885</v>
      </c>
      <c r="B356" s="57">
        <v>34.619999999999997</v>
      </c>
    </row>
    <row r="357" spans="1:2" x14ac:dyDescent="0.25">
      <c r="A357" s="60">
        <v>42886</v>
      </c>
      <c r="B357" s="57">
        <v>34.909999999999997</v>
      </c>
    </row>
    <row r="358" spans="1:2" x14ac:dyDescent="0.25">
      <c r="A358" s="60">
        <v>42887</v>
      </c>
      <c r="B358" s="57">
        <v>35.21</v>
      </c>
    </row>
    <row r="359" spans="1:2" x14ac:dyDescent="0.25">
      <c r="A359" s="60">
        <v>42888</v>
      </c>
      <c r="B359" s="57">
        <v>35.46</v>
      </c>
    </row>
    <row r="360" spans="1:2" x14ac:dyDescent="0.25">
      <c r="A360" s="60">
        <v>42891</v>
      </c>
      <c r="B360" s="57">
        <v>35.56</v>
      </c>
    </row>
    <row r="361" spans="1:2" x14ac:dyDescent="0.25">
      <c r="A361" s="60">
        <v>42892</v>
      </c>
      <c r="B361" s="57">
        <v>35.450000000000003</v>
      </c>
    </row>
    <row r="362" spans="1:2" x14ac:dyDescent="0.25">
      <c r="A362" s="60">
        <v>42893</v>
      </c>
      <c r="B362" s="57">
        <v>35.56</v>
      </c>
    </row>
    <row r="363" spans="1:2" x14ac:dyDescent="0.25">
      <c r="A363" s="60">
        <v>42894</v>
      </c>
      <c r="B363" s="57">
        <v>35.58</v>
      </c>
    </row>
    <row r="364" spans="1:2" x14ac:dyDescent="0.25">
      <c r="A364" s="60">
        <v>42895</v>
      </c>
      <c r="B364" s="57">
        <v>35.65</v>
      </c>
    </row>
    <row r="365" spans="1:2" x14ac:dyDescent="0.25">
      <c r="A365" s="60">
        <v>42898</v>
      </c>
      <c r="B365" s="57">
        <v>35.479999999999997</v>
      </c>
    </row>
    <row r="366" spans="1:2" x14ac:dyDescent="0.25">
      <c r="A366" s="60">
        <v>42899</v>
      </c>
      <c r="B366" s="57">
        <v>35.369999999999997</v>
      </c>
    </row>
    <row r="367" spans="1:2" x14ac:dyDescent="0.25">
      <c r="A367" s="60">
        <v>42900</v>
      </c>
      <c r="B367" s="57">
        <v>35.369999999999997</v>
      </c>
    </row>
    <row r="368" spans="1:2" x14ac:dyDescent="0.25">
      <c r="A368" s="60">
        <v>42901</v>
      </c>
      <c r="B368" s="57">
        <v>35.43</v>
      </c>
    </row>
    <row r="369" spans="1:2" x14ac:dyDescent="0.25">
      <c r="A369" s="60">
        <v>42902</v>
      </c>
      <c r="B369" s="57">
        <v>35.53</v>
      </c>
    </row>
    <row r="370" spans="1:2" x14ac:dyDescent="0.25">
      <c r="A370" s="60">
        <v>42905</v>
      </c>
      <c r="B370" s="57">
        <v>35.659999999999997</v>
      </c>
    </row>
    <row r="371" spans="1:2" x14ac:dyDescent="0.25">
      <c r="A371" s="60">
        <v>42906</v>
      </c>
      <c r="B371" s="57">
        <v>35.75</v>
      </c>
    </row>
    <row r="372" spans="1:2" x14ac:dyDescent="0.25">
      <c r="A372" s="60">
        <v>42907</v>
      </c>
      <c r="B372" s="57">
        <v>35.770000000000003</v>
      </c>
    </row>
    <row r="373" spans="1:2" x14ac:dyDescent="0.25">
      <c r="A373" s="60">
        <v>42908</v>
      </c>
      <c r="B373" s="57">
        <v>35.770000000000003</v>
      </c>
    </row>
    <row r="374" spans="1:2" x14ac:dyDescent="0.25">
      <c r="A374" s="60">
        <v>42909</v>
      </c>
      <c r="B374" s="57">
        <v>35.49</v>
      </c>
    </row>
    <row r="375" spans="1:2" x14ac:dyDescent="0.25">
      <c r="A375" s="60">
        <v>42914</v>
      </c>
      <c r="B375" s="57">
        <v>35.380000000000003</v>
      </c>
    </row>
    <row r="376" spans="1:2" x14ac:dyDescent="0.25">
      <c r="A376" s="60">
        <v>42915</v>
      </c>
      <c r="B376" s="57">
        <v>35.58</v>
      </c>
    </row>
    <row r="377" spans="1:2" x14ac:dyDescent="0.25">
      <c r="A377" s="60">
        <v>42916</v>
      </c>
      <c r="B377" s="57">
        <v>35.799999999999997</v>
      </c>
    </row>
    <row r="378" spans="1:2" x14ac:dyDescent="0.25">
      <c r="A378" s="60">
        <v>42919</v>
      </c>
      <c r="B378" s="57">
        <v>36.11</v>
      </c>
    </row>
    <row r="379" spans="1:2" x14ac:dyDescent="0.25">
      <c r="A379" s="60">
        <v>42920</v>
      </c>
      <c r="B379" s="57">
        <v>36.090000000000003</v>
      </c>
    </row>
    <row r="380" spans="1:2" x14ac:dyDescent="0.25">
      <c r="A380" s="60">
        <v>42921</v>
      </c>
      <c r="B380" s="57">
        <v>36.25</v>
      </c>
    </row>
    <row r="381" spans="1:2" x14ac:dyDescent="0.25">
      <c r="A381" s="60">
        <v>42922</v>
      </c>
      <c r="B381" s="57">
        <v>36.31</v>
      </c>
    </row>
    <row r="382" spans="1:2" x14ac:dyDescent="0.25">
      <c r="A382" s="60">
        <v>42923</v>
      </c>
      <c r="B382" s="57">
        <v>36.29</v>
      </c>
    </row>
    <row r="383" spans="1:2" x14ac:dyDescent="0.25">
      <c r="A383" s="60">
        <v>42926</v>
      </c>
      <c r="B383" s="57">
        <v>36.520000000000003</v>
      </c>
    </row>
    <row r="384" spans="1:2" x14ac:dyDescent="0.25">
      <c r="A384" s="60">
        <v>42927</v>
      </c>
      <c r="B384" s="57">
        <v>36.44</v>
      </c>
    </row>
    <row r="385" spans="1:2" x14ac:dyDescent="0.25">
      <c r="A385" s="60">
        <v>42928</v>
      </c>
      <c r="B385" s="57">
        <v>36.65</v>
      </c>
    </row>
    <row r="386" spans="1:2" x14ac:dyDescent="0.25">
      <c r="A386" s="60">
        <v>42929</v>
      </c>
      <c r="B386" s="57">
        <v>36.86</v>
      </c>
    </row>
    <row r="387" spans="1:2" x14ac:dyDescent="0.25">
      <c r="A387" s="60">
        <v>42930</v>
      </c>
      <c r="B387" s="57">
        <v>36.869999999999997</v>
      </c>
    </row>
    <row r="388" spans="1:2" x14ac:dyDescent="0.25">
      <c r="A388" s="60">
        <v>42933</v>
      </c>
      <c r="B388" s="57">
        <v>36.96</v>
      </c>
    </row>
    <row r="389" spans="1:2" x14ac:dyDescent="0.25">
      <c r="A389" s="60">
        <v>42934</v>
      </c>
      <c r="B389" s="57">
        <v>36.85</v>
      </c>
    </row>
    <row r="390" spans="1:2" x14ac:dyDescent="0.25">
      <c r="A390" s="56">
        <v>42935</v>
      </c>
      <c r="B390" s="58">
        <v>37.08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9"/>
  <sheetViews>
    <sheetView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7" width="12" bestFit="1" customWidth="1"/>
    <col min="8" max="8" width="15.7109375" bestFit="1" customWidth="1"/>
    <col min="9" max="9" width="12.28515625" bestFit="1" customWidth="1"/>
    <col min="10" max="10" width="10.28515625" bestFit="1" customWidth="1"/>
    <col min="13" max="13" width="12" bestFit="1" customWidth="1"/>
    <col min="16" max="16" width="11.42578125" bestFit="1" customWidth="1"/>
    <col min="20" max="21" width="15.5703125" bestFit="1" customWidth="1"/>
  </cols>
  <sheetData>
    <row r="1" spans="1:21" x14ac:dyDescent="0.25">
      <c r="B1" t="s">
        <v>7</v>
      </c>
      <c r="C1" s="17">
        <f>TableABSLBF[[#Totals],[Units]]</f>
        <v>1748.252</v>
      </c>
      <c r="E1" t="s">
        <v>9</v>
      </c>
      <c r="F1">
        <v>29.84</v>
      </c>
      <c r="H1" t="s">
        <v>8</v>
      </c>
      <c r="I1" s="18">
        <f>ROUND(C1*F1,0)</f>
        <v>52168</v>
      </c>
      <c r="K1" t="s">
        <v>11</v>
      </c>
      <c r="M1" s="18">
        <f>TableABSLBF[[#Totals],[Investment]]</f>
        <v>50000</v>
      </c>
      <c r="O1" t="s">
        <v>10</v>
      </c>
      <c r="P1" s="18">
        <f>I1-M1</f>
        <v>2168</v>
      </c>
      <c r="R1" t="s">
        <v>53</v>
      </c>
      <c r="T1" t="s">
        <v>67</v>
      </c>
      <c r="U1" s="53" t="str">
        <f ca="1">TEXT(T2,"dd-mm-yy")</f>
        <v>12-04-18</v>
      </c>
    </row>
    <row r="2" spans="1:21" x14ac:dyDescent="0.25">
      <c r="P2" s="23">
        <f>P1/M1</f>
        <v>4.3360000000000003E-2</v>
      </c>
      <c r="R2" t="s">
        <v>51</v>
      </c>
      <c r="T2" s="53">
        <f ca="1">NOW()</f>
        <v>43202.513581597224</v>
      </c>
    </row>
    <row r="3" spans="1:21" x14ac:dyDescent="0.25">
      <c r="A3" s="5" t="s">
        <v>2</v>
      </c>
      <c r="B3" s="5">
        <v>1017532076</v>
      </c>
      <c r="C3" s="5" t="s">
        <v>77</v>
      </c>
      <c r="D3" s="5">
        <v>125597</v>
      </c>
      <c r="E3" s="5"/>
    </row>
    <row r="4" spans="1:21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  <c r="T4" t="s">
        <v>68</v>
      </c>
      <c r="U4" s="54">
        <f ca="1">U1-TableABSLBF[Date]</f>
        <v>168</v>
      </c>
    </row>
    <row r="5" spans="1:21" x14ac:dyDescent="0.25">
      <c r="A5" s="7">
        <v>1</v>
      </c>
      <c r="B5" s="3">
        <v>43034</v>
      </c>
      <c r="C5" s="4">
        <v>50000</v>
      </c>
      <c r="D5" s="1">
        <v>28.6</v>
      </c>
      <c r="E5" s="15">
        <f>ROUND(C5/D5,3)</f>
        <v>1748.252</v>
      </c>
      <c r="T5" t="s">
        <v>69</v>
      </c>
      <c r="U5" s="23">
        <f ca="1">(P2/U4)*365</f>
        <v>9.4204761904761902E-2</v>
      </c>
    </row>
    <row r="6" spans="1:21" x14ac:dyDescent="0.25">
      <c r="A6" s="11" t="s">
        <v>6</v>
      </c>
      <c r="B6" s="14"/>
      <c r="C6" s="13">
        <f>SUBTOTAL(109,TableABSLBF[Investment])</f>
        <v>50000</v>
      </c>
      <c r="D6" s="14"/>
      <c r="E6" s="16">
        <f>SUBTOTAL(109,TableABSLBF[Units])</f>
        <v>1748.252</v>
      </c>
    </row>
    <row r="7" spans="1:21" x14ac:dyDescent="0.25">
      <c r="A7" s="1"/>
      <c r="B7" s="1"/>
      <c r="C7" s="4"/>
      <c r="D7" s="1"/>
      <c r="E7" s="1"/>
      <c r="J7" s="17"/>
    </row>
    <row r="8" spans="1:21" x14ac:dyDescent="0.25">
      <c r="A8" s="32"/>
      <c r="B8" s="32"/>
      <c r="C8" s="33"/>
      <c r="D8" s="32"/>
      <c r="E8" s="32"/>
    </row>
    <row r="9" spans="1:21" x14ac:dyDescent="0.25">
      <c r="A9" s="32"/>
      <c r="B9" s="32"/>
      <c r="C9" s="33"/>
      <c r="D9" s="32"/>
      <c r="E9" s="3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V36"/>
  <sheetViews>
    <sheetView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7" width="12" bestFit="1" customWidth="1"/>
    <col min="8" max="8" width="15.7109375" bestFit="1" customWidth="1"/>
    <col min="9" max="9" width="12.28515625" bestFit="1" customWidth="1"/>
    <col min="10" max="10" width="10.28515625" bestFit="1" customWidth="1"/>
    <col min="13" max="13" width="12" bestFit="1" customWidth="1"/>
    <col min="16" max="16" width="12.28515625" bestFit="1" customWidth="1"/>
    <col min="21" max="21" width="15.5703125" bestFit="1" customWidth="1"/>
    <col min="22" max="22" width="9.5703125" bestFit="1" customWidth="1"/>
  </cols>
  <sheetData>
    <row r="1" spans="1:22" x14ac:dyDescent="0.25">
      <c r="B1" t="s">
        <v>7</v>
      </c>
      <c r="C1" s="17">
        <f>Table1312[[#Totals],[Units]]</f>
        <v>574.34400000000005</v>
      </c>
      <c r="E1" t="s">
        <v>9</v>
      </c>
      <c r="F1">
        <v>74.186999999999998</v>
      </c>
      <c r="H1" t="s">
        <v>8</v>
      </c>
      <c r="I1" s="18">
        <f>ROUND(C1*F1,2)</f>
        <v>42608.86</v>
      </c>
      <c r="K1" t="s">
        <v>11</v>
      </c>
      <c r="M1" s="18">
        <f>Table1312[[#Totals],[Investment]]</f>
        <v>40000</v>
      </c>
      <c r="O1" t="s">
        <v>10</v>
      </c>
      <c r="P1" s="18">
        <f>I1-M1</f>
        <v>2608.8600000000006</v>
      </c>
      <c r="R1" t="s">
        <v>52</v>
      </c>
      <c r="T1" t="s">
        <v>70</v>
      </c>
      <c r="U1" s="53">
        <f ca="1">NOW()</f>
        <v>43202.513581597224</v>
      </c>
      <c r="V1" t="str">
        <f ca="1">TEXT(U1,"dd-mm-yy")</f>
        <v>12-04-18</v>
      </c>
    </row>
    <row r="2" spans="1:22" x14ac:dyDescent="0.25">
      <c r="P2" s="23">
        <f>P1/M1</f>
        <v>6.5221500000000016E-2</v>
      </c>
      <c r="R2" t="s">
        <v>51</v>
      </c>
      <c r="T2" t="s">
        <v>71</v>
      </c>
      <c r="V2" t="e">
        <f ca="1">V1-Table1312[Date]</f>
        <v>#VALUE!</v>
      </c>
    </row>
    <row r="3" spans="1:22" x14ac:dyDescent="0.25">
      <c r="A3" s="5" t="s">
        <v>2</v>
      </c>
      <c r="B3" s="5">
        <v>1017532076</v>
      </c>
      <c r="C3" s="5" t="s">
        <v>77</v>
      </c>
      <c r="D3" s="5">
        <v>119659</v>
      </c>
      <c r="E3" s="5"/>
      <c r="T3" t="s">
        <v>69</v>
      </c>
      <c r="V3" s="23" t="e">
        <f ca="1">(P2/V2)*365</f>
        <v>#VALUE!</v>
      </c>
    </row>
    <row r="4" spans="1:22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</row>
    <row r="5" spans="1:22" x14ac:dyDescent="0.25">
      <c r="A5" s="7">
        <v>1</v>
      </c>
      <c r="B5" s="3">
        <v>43076</v>
      </c>
      <c r="C5" s="4">
        <v>20000</v>
      </c>
      <c r="D5" s="1">
        <v>66.674099999999996</v>
      </c>
      <c r="E5" s="15">
        <f>ROUND(C5/D5,3)</f>
        <v>299.96699999999998</v>
      </c>
    </row>
    <row r="6" spans="1:22" x14ac:dyDescent="0.25">
      <c r="A6" s="11">
        <v>2</v>
      </c>
      <c r="B6" s="12">
        <v>43108</v>
      </c>
      <c r="C6" s="13">
        <v>20000</v>
      </c>
      <c r="D6" s="14">
        <v>72.892399999999995</v>
      </c>
      <c r="E6" s="16">
        <f>ROUND(C6/D6,3)</f>
        <v>274.37700000000001</v>
      </c>
    </row>
    <row r="7" spans="1:22" x14ac:dyDescent="0.25">
      <c r="A7" s="11" t="s">
        <v>6</v>
      </c>
      <c r="B7" s="14"/>
      <c r="C7" s="13">
        <f>SUBTOTAL(109,Table1312[Investment])</f>
        <v>40000</v>
      </c>
      <c r="D7" s="14"/>
      <c r="E7" s="16">
        <f>SUBTOTAL(109,Table1312[Units])</f>
        <v>574.34400000000005</v>
      </c>
      <c r="J7" s="17"/>
    </row>
    <row r="8" spans="1:22" x14ac:dyDescent="0.25">
      <c r="A8" s="32"/>
      <c r="B8" s="32"/>
      <c r="C8" s="33"/>
      <c r="D8" s="32"/>
      <c r="E8" s="32"/>
    </row>
    <row r="9" spans="1:22" x14ac:dyDescent="0.25">
      <c r="A9" s="32"/>
      <c r="B9" s="32"/>
      <c r="C9" s="33"/>
      <c r="D9" s="32"/>
      <c r="E9" s="32"/>
    </row>
    <row r="10" spans="1:22" x14ac:dyDescent="0.25">
      <c r="A10" s="32"/>
      <c r="B10" s="32"/>
      <c r="C10" s="33"/>
      <c r="D10" s="32"/>
      <c r="E10" s="32"/>
    </row>
    <row r="11" spans="1:22" x14ac:dyDescent="0.25">
      <c r="A11" s="32"/>
      <c r="B11" s="32"/>
      <c r="C11" s="33"/>
      <c r="D11" s="32"/>
      <c r="E11" s="32"/>
    </row>
    <row r="12" spans="1:22" x14ac:dyDescent="0.25">
      <c r="A12" s="32"/>
      <c r="B12" s="32"/>
      <c r="C12" s="33"/>
      <c r="D12" s="32"/>
      <c r="E12" s="32"/>
    </row>
    <row r="13" spans="1:22" x14ac:dyDescent="0.25">
      <c r="A13" s="32"/>
      <c r="B13" s="32"/>
      <c r="C13" s="33"/>
      <c r="D13" s="32"/>
      <c r="E13" s="32"/>
    </row>
    <row r="14" spans="1:22" x14ac:dyDescent="0.25">
      <c r="A14" s="32"/>
      <c r="B14" s="32"/>
      <c r="C14" s="33"/>
      <c r="D14" s="32"/>
      <c r="E14" s="32"/>
    </row>
    <row r="15" spans="1:22" x14ac:dyDescent="0.25">
      <c r="A15" s="32"/>
      <c r="B15" s="32"/>
      <c r="C15" s="33"/>
      <c r="D15" s="32"/>
      <c r="E15" s="32"/>
    </row>
    <row r="16" spans="1:22" x14ac:dyDescent="0.25">
      <c r="A16" s="32"/>
      <c r="B16" s="32"/>
      <c r="C16" s="33"/>
      <c r="D16" s="32"/>
      <c r="E16" s="32"/>
    </row>
    <row r="17" spans="1:5" x14ac:dyDescent="0.25">
      <c r="A17" s="32"/>
      <c r="B17" s="32"/>
      <c r="C17" s="33"/>
      <c r="D17" s="32"/>
      <c r="E17" s="32"/>
    </row>
    <row r="18" spans="1:5" x14ac:dyDescent="0.25">
      <c r="A18" s="32"/>
      <c r="B18" s="32"/>
      <c r="C18" s="33"/>
      <c r="D18" s="32"/>
      <c r="E18" s="32"/>
    </row>
    <row r="19" spans="1:5" x14ac:dyDescent="0.25">
      <c r="A19" s="32"/>
      <c r="B19" s="32"/>
      <c r="C19" s="33"/>
      <c r="D19" s="32"/>
      <c r="E19" s="32"/>
    </row>
    <row r="20" spans="1:5" x14ac:dyDescent="0.25">
      <c r="A20" s="32"/>
      <c r="B20" s="32"/>
      <c r="C20" s="33"/>
      <c r="D20" s="32"/>
      <c r="E20" s="32"/>
    </row>
    <row r="21" spans="1:5" x14ac:dyDescent="0.25">
      <c r="A21" s="32"/>
      <c r="B21" s="32"/>
      <c r="C21" s="33"/>
      <c r="D21" s="32"/>
      <c r="E21" s="32"/>
    </row>
    <row r="22" spans="1:5" x14ac:dyDescent="0.25">
      <c r="A22" s="32"/>
      <c r="B22" s="32"/>
      <c r="C22" s="33"/>
      <c r="D22" s="32"/>
      <c r="E22" s="32"/>
    </row>
    <row r="23" spans="1:5" x14ac:dyDescent="0.25">
      <c r="A23" s="32"/>
      <c r="B23" s="32"/>
      <c r="C23" s="33"/>
      <c r="D23" s="32"/>
      <c r="E23" s="32"/>
    </row>
    <row r="24" spans="1:5" x14ac:dyDescent="0.25">
      <c r="A24" s="32"/>
      <c r="B24" s="32"/>
      <c r="C24" s="33"/>
      <c r="D24" s="32"/>
      <c r="E24" s="32"/>
    </row>
    <row r="25" spans="1:5" x14ac:dyDescent="0.25">
      <c r="A25" s="32"/>
      <c r="B25" s="32"/>
      <c r="C25" s="33"/>
      <c r="D25" s="32"/>
      <c r="E25" s="32"/>
    </row>
    <row r="26" spans="1:5" x14ac:dyDescent="0.25">
      <c r="A26" s="32"/>
      <c r="B26" s="32"/>
      <c r="C26" s="33"/>
      <c r="D26" s="32"/>
      <c r="E26" s="32"/>
    </row>
    <row r="27" spans="1:5" x14ac:dyDescent="0.25">
      <c r="A27" s="32"/>
      <c r="B27" s="32"/>
      <c r="C27" s="33"/>
      <c r="D27" s="32"/>
      <c r="E27" s="32"/>
    </row>
    <row r="28" spans="1:5" x14ac:dyDescent="0.25">
      <c r="A28" s="32"/>
      <c r="B28" s="32"/>
      <c r="C28" s="33"/>
      <c r="D28" s="32"/>
      <c r="E28" s="32"/>
    </row>
    <row r="29" spans="1:5" x14ac:dyDescent="0.25">
      <c r="A29" s="32"/>
      <c r="B29" s="32"/>
      <c r="C29" s="33"/>
      <c r="D29" s="32"/>
      <c r="E29" s="32"/>
    </row>
    <row r="30" spans="1:5" x14ac:dyDescent="0.25">
      <c r="A30" s="32"/>
      <c r="B30" s="32"/>
      <c r="C30" s="33"/>
      <c r="D30" s="32"/>
      <c r="E30" s="32"/>
    </row>
    <row r="31" spans="1:5" x14ac:dyDescent="0.25">
      <c r="A31" s="32"/>
      <c r="B31" s="32"/>
      <c r="C31" s="33"/>
      <c r="D31" s="32"/>
      <c r="E31" s="32"/>
    </row>
    <row r="32" spans="1:5" x14ac:dyDescent="0.25">
      <c r="A32" s="32"/>
      <c r="B32" s="32"/>
      <c r="C32" s="33"/>
      <c r="D32" s="32"/>
      <c r="E32" s="32"/>
    </row>
    <row r="33" spans="1:5" x14ac:dyDescent="0.25">
      <c r="A33" s="32"/>
      <c r="B33" s="32"/>
      <c r="C33" s="33"/>
      <c r="D33" s="32"/>
      <c r="E33" s="32"/>
    </row>
    <row r="34" spans="1:5" x14ac:dyDescent="0.25">
      <c r="A34" s="32"/>
      <c r="B34" s="32"/>
      <c r="C34" s="33"/>
      <c r="D34" s="32"/>
      <c r="E34" s="32"/>
    </row>
    <row r="35" spans="1:5" x14ac:dyDescent="0.25">
      <c r="A35" s="32"/>
      <c r="B35" s="32"/>
      <c r="C35" s="33"/>
      <c r="D35" s="32"/>
      <c r="E35" s="32"/>
    </row>
    <row r="36" spans="1:5" x14ac:dyDescent="0.25">
      <c r="A36" s="32"/>
      <c r="B36" s="32"/>
      <c r="C36" s="33"/>
      <c r="D36" s="32"/>
      <c r="E36" s="3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U9"/>
  <sheetViews>
    <sheetView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7" width="12" bestFit="1" customWidth="1"/>
    <col min="8" max="8" width="15.7109375" bestFit="1" customWidth="1"/>
    <col min="9" max="9" width="12.28515625" bestFit="1" customWidth="1"/>
    <col min="10" max="10" width="10.28515625" bestFit="1" customWidth="1"/>
    <col min="13" max="13" width="12" bestFit="1" customWidth="1"/>
    <col min="16" max="16" width="11.42578125" bestFit="1" customWidth="1"/>
    <col min="20" max="21" width="15.5703125" bestFit="1" customWidth="1"/>
  </cols>
  <sheetData>
    <row r="1" spans="1:21" x14ac:dyDescent="0.25">
      <c r="B1" t="s">
        <v>7</v>
      </c>
      <c r="C1" s="17">
        <f>TableABSLBF11[[#Totals],[Units]]</f>
        <v>5268.7039999999997</v>
      </c>
      <c r="E1" t="s">
        <v>9</v>
      </c>
      <c r="F1">
        <v>20.38</v>
      </c>
      <c r="H1" t="s">
        <v>8</v>
      </c>
      <c r="I1" s="18">
        <f>ROUND(C1*F1,0)</f>
        <v>107376</v>
      </c>
      <c r="K1" t="s">
        <v>11</v>
      </c>
      <c r="M1" s="18">
        <f>TableABSLBF11[[#Totals],[Investment]]</f>
        <v>100000</v>
      </c>
      <c r="O1" t="s">
        <v>10</v>
      </c>
      <c r="P1" s="18">
        <f>I1-M1</f>
        <v>7376</v>
      </c>
      <c r="R1" t="s">
        <v>53</v>
      </c>
      <c r="T1" t="s">
        <v>67</v>
      </c>
      <c r="U1" s="53" t="str">
        <f ca="1">TEXT(T2,"dd-mm-yy")</f>
        <v>12-04-18</v>
      </c>
    </row>
    <row r="2" spans="1:21" x14ac:dyDescent="0.25">
      <c r="P2" s="23">
        <f>P1/M1</f>
        <v>7.3760000000000006E-2</v>
      </c>
      <c r="R2" t="s">
        <v>51</v>
      </c>
      <c r="T2" s="53">
        <f ca="1">NOW()</f>
        <v>43202.513581597224</v>
      </c>
    </row>
    <row r="3" spans="1:21" x14ac:dyDescent="0.25">
      <c r="A3" s="5" t="s">
        <v>2</v>
      </c>
      <c r="B3" s="5" t="s">
        <v>76</v>
      </c>
      <c r="C3" s="5" t="s">
        <v>77</v>
      </c>
      <c r="D3" s="5">
        <v>119413</v>
      </c>
      <c r="E3" s="5"/>
    </row>
    <row r="4" spans="1:21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  <c r="T4" t="s">
        <v>68</v>
      </c>
      <c r="U4" s="54">
        <f ca="1">U1-TableABSLBF11[Date]</f>
        <v>156</v>
      </c>
    </row>
    <row r="5" spans="1:21" x14ac:dyDescent="0.25">
      <c r="A5" s="7">
        <v>1</v>
      </c>
      <c r="B5" s="3">
        <v>43046</v>
      </c>
      <c r="C5" s="4">
        <v>100000</v>
      </c>
      <c r="D5" s="1">
        <v>18.98</v>
      </c>
      <c r="E5" s="15">
        <f>ROUND(C5/D5,3)</f>
        <v>5268.7039999999997</v>
      </c>
      <c r="T5" t="s">
        <v>69</v>
      </c>
      <c r="U5" s="23">
        <f ca="1">(P2/U4)*365</f>
        <v>0.17257948717948721</v>
      </c>
    </row>
    <row r="6" spans="1:21" x14ac:dyDescent="0.25">
      <c r="A6" s="11" t="s">
        <v>6</v>
      </c>
      <c r="B6" s="14"/>
      <c r="C6" s="13">
        <f>SUBTOTAL(109,TableABSLBF11[Investment])</f>
        <v>100000</v>
      </c>
      <c r="D6" s="14"/>
      <c r="E6" s="16">
        <f>SUBTOTAL(109,TableABSLBF11[Units])</f>
        <v>5268.7039999999997</v>
      </c>
    </row>
    <row r="7" spans="1:21" x14ac:dyDescent="0.25">
      <c r="A7" s="1"/>
      <c r="B7" s="1"/>
      <c r="C7" s="4"/>
      <c r="D7" s="1"/>
      <c r="E7" s="1"/>
      <c r="J7" s="17"/>
    </row>
    <row r="8" spans="1:21" x14ac:dyDescent="0.25">
      <c r="A8" s="32"/>
      <c r="B8" s="32"/>
      <c r="C8" s="33"/>
      <c r="D8" s="32"/>
      <c r="E8" s="32"/>
    </row>
    <row r="9" spans="1:21" x14ac:dyDescent="0.25">
      <c r="A9" s="32"/>
      <c r="B9" s="32"/>
      <c r="C9" s="33"/>
      <c r="D9" s="32"/>
      <c r="E9" s="3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2:X26"/>
  <sheetViews>
    <sheetView tabSelected="1"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28.85546875" bestFit="1" customWidth="1"/>
    <col min="3" max="3" width="12.28515625" bestFit="1" customWidth="1"/>
    <col min="4" max="4" width="16" bestFit="1" customWidth="1"/>
    <col min="5" max="5" width="17.42578125" bestFit="1" customWidth="1"/>
    <col min="6" max="6" width="13.28515625" bestFit="1" customWidth="1"/>
    <col min="7" max="7" width="10" bestFit="1" customWidth="1"/>
    <col min="8" max="8" width="12.28515625" bestFit="1" customWidth="1"/>
  </cols>
  <sheetData>
    <row r="2" spans="1:24" x14ac:dyDescent="0.25">
      <c r="A2" t="s">
        <v>13</v>
      </c>
      <c r="B2">
        <v>26116959</v>
      </c>
      <c r="V2" s="22">
        <v>8.5000000000000006E-2</v>
      </c>
    </row>
    <row r="3" spans="1:24" x14ac:dyDescent="0.25">
      <c r="A3" t="s">
        <v>14</v>
      </c>
      <c r="B3" t="s">
        <v>15</v>
      </c>
    </row>
    <row r="4" spans="1:24" x14ac:dyDescent="0.25">
      <c r="A4" t="s">
        <v>43</v>
      </c>
      <c r="B4">
        <v>44013353001</v>
      </c>
    </row>
    <row r="5" spans="1:24" x14ac:dyDescent="0.25">
      <c r="A5" t="s">
        <v>16</v>
      </c>
      <c r="B5" s="18">
        <v>250000</v>
      </c>
      <c r="T5">
        <v>0</v>
      </c>
      <c r="U5">
        <v>100</v>
      </c>
      <c r="W5">
        <f>U5+V5</f>
        <v>100</v>
      </c>
    </row>
    <row r="6" spans="1:24" x14ac:dyDescent="0.25">
      <c r="A6" t="s">
        <v>29</v>
      </c>
      <c r="B6" s="18">
        <f>H13</f>
        <v>373674.25970693998</v>
      </c>
      <c r="T6">
        <v>1</v>
      </c>
      <c r="U6">
        <v>100</v>
      </c>
      <c r="V6">
        <f>W5*$V$2</f>
        <v>8.5</v>
      </c>
      <c r="W6">
        <f>W5+U6+V6</f>
        <v>208.5</v>
      </c>
    </row>
    <row r="7" spans="1:24" x14ac:dyDescent="0.25">
      <c r="A7" t="s">
        <v>30</v>
      </c>
      <c r="B7" s="18">
        <f>B6-B5</f>
        <v>123674.25970693998</v>
      </c>
      <c r="T7">
        <v>2</v>
      </c>
      <c r="U7">
        <v>100</v>
      </c>
      <c r="V7">
        <f>W6*$V$2</f>
        <v>17.7225</v>
      </c>
      <c r="W7">
        <f>W6+U7+V7</f>
        <v>326.22250000000003</v>
      </c>
    </row>
    <row r="8" spans="1:24" x14ac:dyDescent="0.25">
      <c r="A8" t="s">
        <v>31</v>
      </c>
      <c r="B8" s="22">
        <f>B7/B5</f>
        <v>0.49469703882775989</v>
      </c>
      <c r="F8" t="s">
        <v>32</v>
      </c>
      <c r="G8">
        <v>247.83</v>
      </c>
      <c r="R8">
        <v>3370.8</v>
      </c>
      <c r="T8">
        <v>3</v>
      </c>
      <c r="U8">
        <v>100</v>
      </c>
      <c r="V8">
        <f t="shared" ref="V8:V15" si="0">W7*$V$2</f>
        <v>27.728912500000003</v>
      </c>
      <c r="W8">
        <f t="shared" ref="W8:W15" si="1">W7+U8+V8</f>
        <v>453.9514125</v>
      </c>
    </row>
    <row r="9" spans="1:24" x14ac:dyDescent="0.25">
      <c r="R9">
        <f>R8/12</f>
        <v>280.90000000000003</v>
      </c>
      <c r="T9">
        <v>4</v>
      </c>
      <c r="U9">
        <v>100</v>
      </c>
      <c r="V9">
        <f t="shared" si="0"/>
        <v>38.5858700625</v>
      </c>
      <c r="W9">
        <f t="shared" si="1"/>
        <v>592.53728256250008</v>
      </c>
    </row>
    <row r="10" spans="1:24" x14ac:dyDescent="0.25">
      <c r="A10" s="19" t="s">
        <v>17</v>
      </c>
      <c r="B10" s="19" t="s">
        <v>24</v>
      </c>
      <c r="C10" s="19" t="s">
        <v>18</v>
      </c>
      <c r="D10" s="19" t="s">
        <v>19</v>
      </c>
      <c r="E10" s="19" t="s">
        <v>36</v>
      </c>
      <c r="F10" s="19" t="s">
        <v>33</v>
      </c>
      <c r="G10" s="19" t="s">
        <v>34</v>
      </c>
      <c r="H10" s="19" t="s">
        <v>35</v>
      </c>
      <c r="K10" t="s">
        <v>23</v>
      </c>
      <c r="R10">
        <f>R9/G8</f>
        <v>1.1334382439575517</v>
      </c>
      <c r="T10">
        <v>5</v>
      </c>
      <c r="V10">
        <f t="shared" si="0"/>
        <v>50.365669017812507</v>
      </c>
      <c r="W10">
        <f t="shared" si="1"/>
        <v>642.90295158031256</v>
      </c>
    </row>
    <row r="11" spans="1:24" x14ac:dyDescent="0.25">
      <c r="A11" s="1" t="s">
        <v>20</v>
      </c>
      <c r="B11" s="1" t="s">
        <v>28</v>
      </c>
      <c r="C11" s="1">
        <v>2373.9164999999998</v>
      </c>
      <c r="D11" s="1">
        <v>20.502700000000001</v>
      </c>
      <c r="E11" s="4">
        <f>C11*D11</f>
        <v>48671.697824549999</v>
      </c>
      <c r="F11" s="1"/>
      <c r="G11" s="1"/>
      <c r="H11" s="4">
        <f>E11</f>
        <v>48671.697824549999</v>
      </c>
      <c r="K11" t="s">
        <v>25</v>
      </c>
      <c r="T11">
        <v>6</v>
      </c>
      <c r="V11">
        <f t="shared" si="0"/>
        <v>54.646750884326572</v>
      </c>
      <c r="W11">
        <f t="shared" si="1"/>
        <v>697.54970246463915</v>
      </c>
      <c r="X11" s="23">
        <f>W11/SUM(U5:U9)-1</f>
        <v>0.3950994049292782</v>
      </c>
    </row>
    <row r="12" spans="1:24" x14ac:dyDescent="0.25">
      <c r="A12" s="1" t="s">
        <v>21</v>
      </c>
      <c r="B12" s="1" t="s">
        <v>26</v>
      </c>
      <c r="C12" s="1">
        <v>18496.847699999998</v>
      </c>
      <c r="D12" s="1">
        <v>16.734000000000002</v>
      </c>
      <c r="E12" s="4">
        <f>C12*D12</f>
        <v>309526.2494118</v>
      </c>
      <c r="F12" s="1">
        <v>16.734000000000002</v>
      </c>
      <c r="G12" s="1">
        <f>F12*1.05</f>
        <v>17.570700000000002</v>
      </c>
      <c r="H12" s="4">
        <f>MAX(D12,G12)*C12</f>
        <v>325002.56188239</v>
      </c>
      <c r="K12" t="s">
        <v>27</v>
      </c>
      <c r="R12">
        <f>I12*C12</f>
        <v>0</v>
      </c>
      <c r="T12">
        <v>7</v>
      </c>
      <c r="V12">
        <f t="shared" si="0"/>
        <v>59.291724709494332</v>
      </c>
      <c r="W12">
        <f t="shared" si="1"/>
        <v>756.84142717413351</v>
      </c>
    </row>
    <row r="13" spans="1:24" x14ac:dyDescent="0.25">
      <c r="A13" s="20"/>
      <c r="B13" s="20"/>
      <c r="C13" s="20"/>
      <c r="D13" s="20" t="s">
        <v>22</v>
      </c>
      <c r="E13" s="21">
        <f>SUM(E11:E12)</f>
        <v>358197.94723634998</v>
      </c>
      <c r="F13" s="20"/>
      <c r="G13" s="20"/>
      <c r="H13" s="21">
        <f>SUM(H11:H12)</f>
        <v>373674.25970693998</v>
      </c>
      <c r="T13">
        <v>8</v>
      </c>
      <c r="V13">
        <f t="shared" si="0"/>
        <v>64.33152130980136</v>
      </c>
      <c r="W13">
        <f t="shared" si="1"/>
        <v>821.17294848393487</v>
      </c>
    </row>
    <row r="14" spans="1:24" x14ac:dyDescent="0.25">
      <c r="H14" s="18">
        <f>H13-E13</f>
        <v>15476.312470589997</v>
      </c>
      <c r="T14">
        <v>9</v>
      </c>
      <c r="V14">
        <f t="shared" si="0"/>
        <v>69.799700621134463</v>
      </c>
      <c r="W14">
        <f t="shared" si="1"/>
        <v>890.97264910506931</v>
      </c>
    </row>
    <row r="15" spans="1:24" x14ac:dyDescent="0.25">
      <c r="T15">
        <v>10</v>
      </c>
      <c r="V15">
        <f t="shared" si="0"/>
        <v>75.7326751739309</v>
      </c>
      <c r="W15">
        <f t="shared" si="1"/>
        <v>966.70532427900025</v>
      </c>
    </row>
    <row r="16" spans="1:24" x14ac:dyDescent="0.25">
      <c r="J16">
        <f>50000-3370.8</f>
        <v>46629.2</v>
      </c>
    </row>
    <row r="17" spans="1:11" x14ac:dyDescent="0.25">
      <c r="J17">
        <v>0.8</v>
      </c>
      <c r="K17">
        <v>0.2</v>
      </c>
    </row>
    <row r="18" spans="1:11" x14ac:dyDescent="0.25">
      <c r="J18">
        <f>J16*J17</f>
        <v>37303.360000000001</v>
      </c>
      <c r="K18">
        <f>J16*K17</f>
        <v>9325.84</v>
      </c>
    </row>
    <row r="19" spans="1:11" x14ac:dyDescent="0.25">
      <c r="J19">
        <v>14.06</v>
      </c>
      <c r="K19">
        <v>16.829999999999998</v>
      </c>
    </row>
    <row r="20" spans="1:11" x14ac:dyDescent="0.25">
      <c r="B20">
        <v>18323.195299999999</v>
      </c>
      <c r="J20">
        <f>J18/J19</f>
        <v>2653.1550497866288</v>
      </c>
      <c r="K20">
        <f>K18/K19</f>
        <v>554.12002376708267</v>
      </c>
    </row>
    <row r="21" spans="1:11" x14ac:dyDescent="0.25">
      <c r="B21">
        <v>2756.674</v>
      </c>
    </row>
    <row r="22" spans="1:11" x14ac:dyDescent="0.25">
      <c r="J22">
        <v>2653.93</v>
      </c>
      <c r="K22">
        <v>553.96</v>
      </c>
    </row>
    <row r="23" spans="1:11" x14ac:dyDescent="0.25">
      <c r="J23">
        <f>J18/J22</f>
        <v>14.055894465942961</v>
      </c>
      <c r="K23">
        <f>K18/K22</f>
        <v>16.834861722868077</v>
      </c>
    </row>
    <row r="24" spans="1:11" x14ac:dyDescent="0.25">
      <c r="A24" t="s">
        <v>49</v>
      </c>
      <c r="B24" t="s">
        <v>48</v>
      </c>
      <c r="C24" t="s">
        <v>44</v>
      </c>
      <c r="D24">
        <v>68.400000000000006</v>
      </c>
    </row>
    <row r="25" spans="1:11" x14ac:dyDescent="0.25">
      <c r="B25" t="s">
        <v>47</v>
      </c>
      <c r="C25" t="s">
        <v>45</v>
      </c>
      <c r="D25">
        <v>124.8</v>
      </c>
    </row>
    <row r="26" spans="1:11" x14ac:dyDescent="0.25">
      <c r="B26" t="s">
        <v>32</v>
      </c>
      <c r="C26" t="s">
        <v>46</v>
      </c>
      <c r="D26">
        <v>21.66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R36"/>
  <sheetViews>
    <sheetView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5.7109375" bestFit="1" customWidth="1"/>
    <col min="4" max="4" width="9.5703125" bestFit="1" customWidth="1"/>
    <col min="5" max="7" width="12" bestFit="1" customWidth="1"/>
    <col min="8" max="8" width="15.7109375" bestFit="1" customWidth="1"/>
    <col min="9" max="9" width="12.28515625" bestFit="1" customWidth="1"/>
    <col min="10" max="10" width="10.28515625" bestFit="1" customWidth="1"/>
    <col min="13" max="13" width="12" bestFit="1" customWidth="1"/>
    <col min="16" max="16" width="12.28515625" bestFit="1" customWidth="1"/>
  </cols>
  <sheetData>
    <row r="1" spans="1:18" x14ac:dyDescent="0.25">
      <c r="B1" t="s">
        <v>7</v>
      </c>
      <c r="C1" s="17">
        <f>Table136[[#Totals],[Units]]</f>
        <v>0</v>
      </c>
      <c r="E1" t="s">
        <v>9</v>
      </c>
      <c r="F1">
        <v>29.85</v>
      </c>
      <c r="H1" t="s">
        <v>8</v>
      </c>
      <c r="I1" s="18">
        <f>M1+P1</f>
        <v>59098.5</v>
      </c>
      <c r="K1" t="s">
        <v>11</v>
      </c>
      <c r="M1" s="18">
        <f>C5</f>
        <v>50000</v>
      </c>
      <c r="O1" t="s">
        <v>10</v>
      </c>
      <c r="P1" s="18">
        <f>-Table136[[#Totals],[Investment]]</f>
        <v>9098.5</v>
      </c>
      <c r="R1" t="s">
        <v>54</v>
      </c>
    </row>
    <row r="2" spans="1:18" x14ac:dyDescent="0.25">
      <c r="P2" s="23">
        <f>P1/M1</f>
        <v>0.18196999999999999</v>
      </c>
      <c r="R2" t="s">
        <v>55</v>
      </c>
    </row>
    <row r="3" spans="1:18" x14ac:dyDescent="0.25">
      <c r="A3" s="5" t="s">
        <v>2</v>
      </c>
      <c r="B3" s="5"/>
      <c r="C3" s="5"/>
      <c r="D3" s="5"/>
      <c r="E3" s="5"/>
    </row>
    <row r="4" spans="1:18" x14ac:dyDescent="0.25">
      <c r="A4" s="8" t="s">
        <v>0</v>
      </c>
      <c r="B4" s="9" t="s">
        <v>1</v>
      </c>
      <c r="C4" s="9" t="s">
        <v>5</v>
      </c>
      <c r="D4" s="9" t="s">
        <v>3</v>
      </c>
      <c r="E4" s="10" t="s">
        <v>4</v>
      </c>
      <c r="F4" s="52" t="s">
        <v>66</v>
      </c>
    </row>
    <row r="5" spans="1:18" x14ac:dyDescent="0.25">
      <c r="A5" s="7">
        <v>1</v>
      </c>
      <c r="B5" s="3">
        <v>42755</v>
      </c>
      <c r="C5" s="4">
        <v>50000</v>
      </c>
      <c r="D5" s="1">
        <v>25.214099999999998</v>
      </c>
      <c r="E5" s="15">
        <f>ROUND(C5/D5,0)</f>
        <v>1983</v>
      </c>
    </row>
    <row r="6" spans="1:18" x14ac:dyDescent="0.25">
      <c r="A6" s="11">
        <v>2</v>
      </c>
      <c r="B6" s="12">
        <v>42853</v>
      </c>
      <c r="C6" s="13">
        <v>-44850</v>
      </c>
      <c r="D6" s="14">
        <v>29.9</v>
      </c>
      <c r="E6" s="16">
        <f>ROUND(C6/D6,0)</f>
        <v>-1500</v>
      </c>
      <c r="F6" t="s">
        <v>65</v>
      </c>
    </row>
    <row r="7" spans="1:18" x14ac:dyDescent="0.25">
      <c r="A7" s="44">
        <v>3</v>
      </c>
      <c r="B7" s="45">
        <v>42877</v>
      </c>
      <c r="C7" s="46">
        <v>-14248.5</v>
      </c>
      <c r="D7" s="47">
        <v>29.5</v>
      </c>
      <c r="E7" s="48">
        <f>ROUND(C7/D7,0)</f>
        <v>-483</v>
      </c>
      <c r="F7" t="s">
        <v>65</v>
      </c>
      <c r="J7" s="17"/>
    </row>
    <row r="8" spans="1:18" x14ac:dyDescent="0.25">
      <c r="A8" s="11" t="s">
        <v>6</v>
      </c>
      <c r="B8" s="14"/>
      <c r="C8" s="13">
        <f>SUBTOTAL(109,Table136[Investment])</f>
        <v>-9098.5</v>
      </c>
      <c r="D8" s="14"/>
      <c r="E8" s="16">
        <f>SUBTOTAL(109,Table136[Units])</f>
        <v>0</v>
      </c>
      <c r="F8" s="51"/>
    </row>
    <row r="9" spans="1:18" x14ac:dyDescent="0.25">
      <c r="A9" s="32"/>
      <c r="B9" s="32"/>
      <c r="C9" s="33"/>
      <c r="D9" s="32"/>
      <c r="E9" s="32"/>
    </row>
    <row r="10" spans="1:18" x14ac:dyDescent="0.25">
      <c r="A10" s="32"/>
      <c r="B10" s="32"/>
      <c r="C10" s="33"/>
      <c r="D10" s="32"/>
      <c r="E10" s="32"/>
    </row>
    <row r="11" spans="1:18" x14ac:dyDescent="0.25">
      <c r="A11" s="32"/>
      <c r="B11" s="32"/>
      <c r="C11" s="33"/>
      <c r="D11" s="32"/>
      <c r="E11" s="32"/>
    </row>
    <row r="12" spans="1:18" x14ac:dyDescent="0.25">
      <c r="A12" s="32"/>
      <c r="B12" s="32"/>
      <c r="C12" s="33"/>
      <c r="D12" s="32"/>
      <c r="E12" s="32"/>
    </row>
    <row r="13" spans="1:18" x14ac:dyDescent="0.25">
      <c r="A13" s="32"/>
      <c r="B13" s="32"/>
      <c r="C13" s="33"/>
      <c r="D13" s="32"/>
      <c r="E13" s="32"/>
    </row>
    <row r="14" spans="1:18" x14ac:dyDescent="0.25">
      <c r="A14" s="32"/>
      <c r="B14" s="32"/>
      <c r="C14" s="33"/>
      <c r="D14" s="32"/>
      <c r="E14" s="32"/>
    </row>
    <row r="15" spans="1:18" x14ac:dyDescent="0.25">
      <c r="A15" s="32"/>
      <c r="B15" s="32"/>
      <c r="C15" s="33"/>
      <c r="D15" s="32"/>
      <c r="E15" s="32"/>
    </row>
    <row r="16" spans="1:18" x14ac:dyDescent="0.25">
      <c r="A16" s="32"/>
      <c r="B16" s="32"/>
      <c r="C16" s="33"/>
      <c r="D16" s="32"/>
      <c r="E16" s="32"/>
    </row>
    <row r="17" spans="1:5" x14ac:dyDescent="0.25">
      <c r="A17" s="32"/>
      <c r="B17" s="32"/>
      <c r="C17" s="33"/>
      <c r="D17" s="32"/>
      <c r="E17" s="32"/>
    </row>
    <row r="18" spans="1:5" x14ac:dyDescent="0.25">
      <c r="A18" s="32"/>
      <c r="B18" s="32"/>
      <c r="C18" s="33"/>
      <c r="D18" s="32"/>
      <c r="E18" s="32"/>
    </row>
    <row r="19" spans="1:5" x14ac:dyDescent="0.25">
      <c r="A19" s="32"/>
      <c r="B19" s="32"/>
      <c r="C19" s="33"/>
      <c r="D19" s="32"/>
      <c r="E19" s="32"/>
    </row>
    <row r="20" spans="1:5" x14ac:dyDescent="0.25">
      <c r="A20" s="32"/>
      <c r="B20" s="32"/>
      <c r="C20" s="33"/>
      <c r="D20" s="32"/>
      <c r="E20" s="32"/>
    </row>
    <row r="21" spans="1:5" x14ac:dyDescent="0.25">
      <c r="A21" s="32"/>
      <c r="B21" s="32"/>
      <c r="C21" s="33"/>
      <c r="D21" s="32"/>
      <c r="E21" s="32"/>
    </row>
    <row r="22" spans="1:5" x14ac:dyDescent="0.25">
      <c r="A22" s="32"/>
      <c r="B22" s="32"/>
      <c r="C22" s="33"/>
      <c r="D22" s="32"/>
      <c r="E22" s="32"/>
    </row>
    <row r="23" spans="1:5" x14ac:dyDescent="0.25">
      <c r="A23" s="32"/>
      <c r="B23" s="32"/>
      <c r="C23" s="33"/>
      <c r="D23" s="32"/>
      <c r="E23" s="32"/>
    </row>
    <row r="24" spans="1:5" x14ac:dyDescent="0.25">
      <c r="A24" s="32"/>
      <c r="B24" s="32"/>
      <c r="C24" s="33"/>
      <c r="D24" s="32"/>
      <c r="E24" s="32"/>
    </row>
    <row r="25" spans="1:5" x14ac:dyDescent="0.25">
      <c r="A25" s="32"/>
      <c r="B25" s="32"/>
      <c r="C25" s="33"/>
      <c r="D25" s="32"/>
      <c r="E25" s="32"/>
    </row>
    <row r="26" spans="1:5" x14ac:dyDescent="0.25">
      <c r="A26" s="32"/>
      <c r="B26" s="32"/>
      <c r="C26" s="33"/>
      <c r="D26" s="32"/>
      <c r="E26" s="32"/>
    </row>
    <row r="27" spans="1:5" x14ac:dyDescent="0.25">
      <c r="A27" s="32"/>
      <c r="B27" s="32"/>
      <c r="C27" s="33"/>
      <c r="D27" s="32"/>
      <c r="E27" s="32"/>
    </row>
    <row r="28" spans="1:5" x14ac:dyDescent="0.25">
      <c r="A28" s="32"/>
      <c r="B28" s="32"/>
      <c r="C28" s="33"/>
      <c r="D28" s="32"/>
      <c r="E28" s="32"/>
    </row>
    <row r="29" spans="1:5" x14ac:dyDescent="0.25">
      <c r="A29" s="32"/>
      <c r="B29" s="32"/>
      <c r="C29" s="33"/>
      <c r="D29" s="32"/>
      <c r="E29" s="32"/>
    </row>
    <row r="30" spans="1:5" x14ac:dyDescent="0.25">
      <c r="A30" s="32"/>
      <c r="B30" s="32"/>
      <c r="C30" s="33"/>
      <c r="D30" s="32"/>
      <c r="E30" s="32"/>
    </row>
    <row r="31" spans="1:5" x14ac:dyDescent="0.25">
      <c r="A31" s="32"/>
      <c r="B31" s="32"/>
      <c r="C31" s="33"/>
      <c r="D31" s="32"/>
      <c r="E31" s="32"/>
    </row>
    <row r="32" spans="1:5" x14ac:dyDescent="0.25">
      <c r="A32" s="32"/>
      <c r="B32" s="32"/>
      <c r="C32" s="33"/>
      <c r="D32" s="32"/>
      <c r="E32" s="32"/>
    </row>
    <row r="33" spans="1:5" x14ac:dyDescent="0.25">
      <c r="A33" s="32"/>
      <c r="B33" s="32"/>
      <c r="C33" s="33"/>
      <c r="D33" s="32"/>
      <c r="E33" s="32"/>
    </row>
    <row r="34" spans="1:5" x14ac:dyDescent="0.25">
      <c r="A34" s="32"/>
      <c r="B34" s="32"/>
      <c r="C34" s="33"/>
      <c r="D34" s="32"/>
      <c r="E34" s="32"/>
    </row>
    <row r="35" spans="1:5" x14ac:dyDescent="0.25">
      <c r="A35" s="32"/>
      <c r="B35" s="32"/>
      <c r="C35" s="33"/>
      <c r="D35" s="32"/>
      <c r="E35" s="32"/>
    </row>
    <row r="36" spans="1:5" x14ac:dyDescent="0.25">
      <c r="A36" s="32"/>
      <c r="B36" s="32"/>
      <c r="C36" s="33"/>
      <c r="D36" s="32"/>
      <c r="E36" s="3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"/>
  <sheetViews>
    <sheetView workbookViewId="0">
      <selection activeCell="E7" sqref="E7"/>
    </sheetView>
  </sheetViews>
  <sheetFormatPr defaultRowHeight="15" x14ac:dyDescent="0.25"/>
  <cols>
    <col min="2" max="2" width="12.7109375" bestFit="1" customWidth="1"/>
    <col min="3" max="3" width="10" customWidth="1"/>
    <col min="4" max="4" width="10.140625" customWidth="1"/>
    <col min="5" max="5" width="10" customWidth="1"/>
    <col min="9" max="9" width="10.42578125" bestFit="1" customWidth="1"/>
  </cols>
  <sheetData>
    <row r="1" spans="1:14" x14ac:dyDescent="0.25">
      <c r="A1" t="s">
        <v>59</v>
      </c>
      <c r="B1">
        <v>35716148640</v>
      </c>
      <c r="D1" t="s">
        <v>57</v>
      </c>
      <c r="E1" s="22">
        <v>7.9000000000000001E-2</v>
      </c>
      <c r="G1" t="s">
        <v>11</v>
      </c>
      <c r="I1">
        <f>Table6[[#Totals],[Deposit]]</f>
        <v>70000</v>
      </c>
      <c r="L1" t="s">
        <v>58</v>
      </c>
      <c r="M1">
        <f>Table6[[#Totals],[Balance]]</f>
        <v>73688</v>
      </c>
    </row>
    <row r="2" spans="1:14" x14ac:dyDescent="0.25">
      <c r="A2" t="s">
        <v>60</v>
      </c>
      <c r="B2" t="s">
        <v>61</v>
      </c>
      <c r="C2" t="s">
        <v>62</v>
      </c>
      <c r="D2" t="s">
        <v>64</v>
      </c>
      <c r="E2" s="41">
        <f>E1/12</f>
        <v>6.5833333333333334E-3</v>
      </c>
    </row>
    <row r="4" spans="1:14" x14ac:dyDescent="0.25">
      <c r="A4" s="37" t="s">
        <v>0</v>
      </c>
      <c r="B4" s="38" t="s">
        <v>1</v>
      </c>
      <c r="C4" s="38" t="s">
        <v>56</v>
      </c>
      <c r="D4" s="38" t="s">
        <v>57</v>
      </c>
      <c r="E4" s="39" t="s">
        <v>58</v>
      </c>
    </row>
    <row r="5" spans="1:14" x14ac:dyDescent="0.25">
      <c r="A5" s="7">
        <v>1</v>
      </c>
      <c r="B5" s="3">
        <v>42479</v>
      </c>
      <c r="C5" s="1">
        <v>50000</v>
      </c>
      <c r="D5" s="1">
        <v>0</v>
      </c>
      <c r="E5" s="36">
        <f>Table6[[#This Row],[Deposit]]+Table6[[#This Row],[Interest]]</f>
        <v>50000</v>
      </c>
    </row>
    <row r="6" spans="1:14" x14ac:dyDescent="0.25">
      <c r="A6" s="7">
        <v>2</v>
      </c>
      <c r="B6" s="3">
        <v>42825</v>
      </c>
      <c r="C6" s="1"/>
      <c r="D6" s="1">
        <v>3688</v>
      </c>
      <c r="E6" s="36">
        <f>Table6[[#This Row],[Deposit]]+Table6[[#This Row],[Interest]]</f>
        <v>3688</v>
      </c>
      <c r="I6" s="42"/>
      <c r="J6" s="41"/>
      <c r="M6" s="41"/>
      <c r="N6" s="43"/>
    </row>
    <row r="7" spans="1:14" x14ac:dyDescent="0.25">
      <c r="A7">
        <v>3</v>
      </c>
      <c r="B7" s="3">
        <v>43067</v>
      </c>
      <c r="C7">
        <v>20000</v>
      </c>
      <c r="E7" s="36">
        <f>Table6[[#This Row],[Deposit]]+Table6[[#This Row],[Interest]]</f>
        <v>20000</v>
      </c>
    </row>
    <row r="8" spans="1:14" x14ac:dyDescent="0.25">
      <c r="A8" s="40" t="s">
        <v>6</v>
      </c>
      <c r="B8" s="40"/>
      <c r="C8" s="40">
        <f>SUBTOTAL(109,Table6[Deposit])</f>
        <v>70000</v>
      </c>
      <c r="D8" s="40"/>
      <c r="E8" s="40">
        <f>SUBTOTAL(109,Table6[Balance])</f>
        <v>73688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S24"/>
  <sheetViews>
    <sheetView topLeftCell="B1" workbookViewId="0">
      <selection activeCell="G8" sqref="G8"/>
    </sheetView>
  </sheetViews>
  <sheetFormatPr defaultRowHeight="15" x14ac:dyDescent="0.25"/>
  <cols>
    <col min="2" max="2" width="21.5703125" bestFit="1" customWidth="1"/>
    <col min="3" max="3" width="14.28515625" bestFit="1" customWidth="1"/>
    <col min="6" max="7" width="13.28515625" bestFit="1" customWidth="1"/>
  </cols>
  <sheetData>
    <row r="2" spans="2:16" x14ac:dyDescent="0.25">
      <c r="B2" s="24" t="s">
        <v>40</v>
      </c>
      <c r="C2" s="24"/>
    </row>
    <row r="3" spans="2:16" x14ac:dyDescent="0.25">
      <c r="B3" s="1" t="s">
        <v>37</v>
      </c>
      <c r="C3" s="25">
        <f>SUM('Axis LT Growth'!N1,Franklin!M1,'BSL Tax Plan'!M1,'ICICI PRU'!M1,'ABSL Banking'!M1,'L&amp;T Infra'!M1,'ABSL Pure Value'!M1)</f>
        <v>334300</v>
      </c>
      <c r="F3" s="30"/>
      <c r="K3" s="22"/>
    </row>
    <row r="4" spans="2:16" x14ac:dyDescent="0.25">
      <c r="B4" s="1" t="s">
        <v>8</v>
      </c>
      <c r="C4" s="25">
        <f>SUM('Axis LT Growth'!J1,Franklin!I1,'BSL Tax Plan'!I1,'ICICI PRU'!I1,'ABSL Banking'!I1,'L&amp;T Infra'!I1,'ABSL Pure Value'!I1)</f>
        <v>396735.07999999996</v>
      </c>
    </row>
    <row r="5" spans="2:16" x14ac:dyDescent="0.25">
      <c r="B5" s="1" t="s">
        <v>38</v>
      </c>
      <c r="C5" s="25">
        <f>C4-C3</f>
        <v>62435.079999999958</v>
      </c>
    </row>
    <row r="6" spans="2:16" x14ac:dyDescent="0.25">
      <c r="B6" s="1" t="s">
        <v>39</v>
      </c>
      <c r="C6" s="26">
        <f>C5/C3</f>
        <v>0.18676362548609021</v>
      </c>
      <c r="G6" s="31"/>
    </row>
    <row r="7" spans="2:16" x14ac:dyDescent="0.25">
      <c r="P7" s="23"/>
    </row>
    <row r="8" spans="2:16" x14ac:dyDescent="0.25">
      <c r="B8" s="27" t="s">
        <v>41</v>
      </c>
      <c r="C8" s="27"/>
    </row>
    <row r="9" spans="2:16" x14ac:dyDescent="0.25">
      <c r="B9" s="1" t="s">
        <v>37</v>
      </c>
      <c r="C9" s="25">
        <f>'SBI Life ULIP'!B5</f>
        <v>250000</v>
      </c>
    </row>
    <row r="10" spans="2:16" x14ac:dyDescent="0.25">
      <c r="B10" s="1" t="s">
        <v>8</v>
      </c>
      <c r="C10" s="25">
        <f>'SBI Life ULIP'!B6</f>
        <v>373674.25970693998</v>
      </c>
    </row>
    <row r="11" spans="2:16" x14ac:dyDescent="0.25">
      <c r="B11" s="1" t="s">
        <v>38</v>
      </c>
      <c r="C11" s="25">
        <f>C10-C9</f>
        <v>123674.25970693998</v>
      </c>
    </row>
    <row r="12" spans="2:16" x14ac:dyDescent="0.25">
      <c r="B12" s="1" t="s">
        <v>39</v>
      </c>
      <c r="C12" s="26">
        <f>C11/C9</f>
        <v>0.49469703882775989</v>
      </c>
    </row>
    <row r="14" spans="2:16" x14ac:dyDescent="0.25">
      <c r="B14" s="27" t="s">
        <v>63</v>
      </c>
      <c r="C14" s="27"/>
    </row>
    <row r="15" spans="2:16" x14ac:dyDescent="0.25">
      <c r="B15" s="1" t="s">
        <v>37</v>
      </c>
      <c r="C15" s="25">
        <f>'SBI PPF'!I1</f>
        <v>70000</v>
      </c>
    </row>
    <row r="16" spans="2:16" x14ac:dyDescent="0.25">
      <c r="B16" s="1" t="s">
        <v>8</v>
      </c>
      <c r="C16" s="25">
        <f>'SBI PPF'!M1</f>
        <v>73688</v>
      </c>
    </row>
    <row r="17" spans="2:19" x14ac:dyDescent="0.25">
      <c r="B17" s="1" t="s">
        <v>38</v>
      </c>
      <c r="C17" s="25">
        <f>C16-C15</f>
        <v>3688</v>
      </c>
    </row>
    <row r="18" spans="2:19" x14ac:dyDescent="0.25">
      <c r="B18" s="1" t="s">
        <v>39</v>
      </c>
      <c r="C18" s="26">
        <f>C17/C15</f>
        <v>5.2685714285714287E-2</v>
      </c>
      <c r="F18" s="22"/>
    </row>
    <row r="20" spans="2:19" x14ac:dyDescent="0.25">
      <c r="B20" s="28" t="s">
        <v>42</v>
      </c>
      <c r="C20" s="28"/>
      <c r="S20" s="31"/>
    </row>
    <row r="21" spans="2:19" x14ac:dyDescent="0.25">
      <c r="B21" s="1" t="s">
        <v>37</v>
      </c>
      <c r="C21" s="25">
        <f>SUM(C3,C9,C15)</f>
        <v>654300</v>
      </c>
      <c r="G21" s="30"/>
    </row>
    <row r="22" spans="2:19" x14ac:dyDescent="0.25">
      <c r="B22" s="1" t="s">
        <v>8</v>
      </c>
      <c r="C22" s="25">
        <f>SUM(C4,C10,C16)</f>
        <v>844097.33970693988</v>
      </c>
      <c r="N22" s="31"/>
      <c r="O22" s="34"/>
    </row>
    <row r="23" spans="2:19" x14ac:dyDescent="0.25">
      <c r="B23" s="1" t="s">
        <v>38</v>
      </c>
      <c r="C23" s="25">
        <f>C22-C21</f>
        <v>189797.33970693988</v>
      </c>
      <c r="F23" s="30"/>
    </row>
    <row r="24" spans="2:19" x14ac:dyDescent="0.25">
      <c r="B24" s="1" t="s">
        <v>39</v>
      </c>
      <c r="C24" s="26">
        <f>C23/C21</f>
        <v>0.2900769367368789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Axis LT Growth</vt:lpstr>
      <vt:lpstr>ICICI PRU</vt:lpstr>
      <vt:lpstr>Franklin</vt:lpstr>
      <vt:lpstr>BSL Tax Plan</vt:lpstr>
      <vt:lpstr>ABSL Banking</vt:lpstr>
      <vt:lpstr>ABSL Pure Value</vt:lpstr>
      <vt:lpstr>L&amp;T Infra</vt:lpstr>
      <vt:lpstr>SBI Life ULIP</vt:lpstr>
      <vt:lpstr>CPSE ETF</vt:lpstr>
      <vt:lpstr>SBI PPF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Tegar</dc:creator>
  <cp:lastModifiedBy>Atul Tegar</cp:lastModifiedBy>
  <dcterms:created xsi:type="dcterms:W3CDTF">2016-01-15T03:01:14Z</dcterms:created>
  <dcterms:modified xsi:type="dcterms:W3CDTF">2018-04-12T06:49:51Z</dcterms:modified>
</cp:coreProperties>
</file>