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tegar\Documents\Personal\"/>
    </mc:Choice>
  </mc:AlternateContent>
  <bookViews>
    <workbookView xWindow="0" yWindow="0" windowWidth="19200" windowHeight="11595" activeTab="6"/>
  </bookViews>
  <sheets>
    <sheet name="Sheet1" sheetId="1" r:id="rId1"/>
    <sheet name="OCT 17" sheetId="2" r:id="rId2"/>
    <sheet name="NOV 17" sheetId="3" r:id="rId3"/>
    <sheet name="DEC 17" sheetId="4" r:id="rId4"/>
    <sheet name="JAN 18" sheetId="5" r:id="rId5"/>
    <sheet name="FEB 18" sheetId="6" r:id="rId6"/>
    <sheet name="APR 18" sheetId="7" r:id="rId7"/>
  </sheets>
  <definedNames>
    <definedName name="Account_Name" localSheetId="6">Accounts[Accounts]</definedName>
    <definedName name="Account_Name" localSheetId="3">Accounts[Accounts]</definedName>
    <definedName name="Account_Name" localSheetId="5">Accounts[Accounts]</definedName>
    <definedName name="Account_Name" localSheetId="4">Accounts[Accounts]</definedName>
    <definedName name="Account_Name" localSheetId="2">Accounts[Accounts]</definedName>
    <definedName name="Account_Name">Accounts[Accounts]</definedName>
    <definedName name="Expense_Head" localSheetId="6">ExpenseHead[Expense Head]</definedName>
    <definedName name="Expense_Head" localSheetId="3">ExpenseHead[Expense Head]</definedName>
    <definedName name="Expense_Head" localSheetId="5">ExpenseHead[Expense Head]</definedName>
    <definedName name="Expense_Head" localSheetId="4">ExpenseHead[Expense Head]</definedName>
    <definedName name="Expense_Head" localSheetId="2">ExpenseHead[Expense Head]</definedName>
    <definedName name="Expense_Head">ExpenseHead[Expense Head]</definedName>
  </definedNames>
  <calcPr calcId="152511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9" i="7" l="1"/>
  <c r="K59" i="7"/>
  <c r="K58" i="7"/>
  <c r="F44" i="7"/>
  <c r="E44" i="7"/>
  <c r="C43" i="7"/>
  <c r="C42" i="7"/>
  <c r="C41" i="7"/>
  <c r="C40" i="7"/>
  <c r="C39" i="7"/>
  <c r="C38" i="7"/>
  <c r="C37" i="7"/>
  <c r="C36" i="7"/>
  <c r="C35" i="7"/>
  <c r="N34" i="7"/>
  <c r="M34" i="7"/>
  <c r="L34" i="7"/>
  <c r="C34" i="7"/>
  <c r="T33" i="7"/>
  <c r="S33" i="7"/>
  <c r="R33" i="7"/>
  <c r="N33" i="7"/>
  <c r="M33" i="7"/>
  <c r="L33" i="7"/>
  <c r="C33" i="7"/>
  <c r="T32" i="7"/>
  <c r="S32" i="7"/>
  <c r="R32" i="7"/>
  <c r="N32" i="7"/>
  <c r="M32" i="7"/>
  <c r="L32" i="7"/>
  <c r="C32" i="7"/>
  <c r="T31" i="7"/>
  <c r="S31" i="7"/>
  <c r="R31" i="7"/>
  <c r="R34" i="7" s="1"/>
  <c r="N31" i="7"/>
  <c r="M31" i="7"/>
  <c r="L31" i="7"/>
  <c r="C31" i="7"/>
  <c r="C30" i="7"/>
  <c r="C29" i="7"/>
  <c r="C28" i="7"/>
  <c r="R27" i="7"/>
  <c r="C27" i="7"/>
  <c r="N26" i="7"/>
  <c r="S26" i="7" s="1"/>
  <c r="C26" i="7"/>
  <c r="T25" i="7"/>
  <c r="S25" i="7"/>
  <c r="N25" i="7"/>
  <c r="C25" i="7"/>
  <c r="N24" i="7"/>
  <c r="C24" i="7"/>
  <c r="M23" i="7"/>
  <c r="N23" i="7" s="1"/>
  <c r="C23" i="7"/>
  <c r="N22" i="7"/>
  <c r="C22" i="7"/>
  <c r="C21" i="7"/>
  <c r="C20" i="7"/>
  <c r="W9" i="7"/>
  <c r="F8" i="7"/>
  <c r="E8" i="7"/>
  <c r="I6" i="7"/>
  <c r="F1" i="7"/>
  <c r="I24" i="7" s="1"/>
  <c r="M35" i="7" l="1"/>
  <c r="O32" i="7"/>
  <c r="O33" i="7"/>
  <c r="I7" i="7"/>
  <c r="T34" i="7"/>
  <c r="U33" i="7"/>
  <c r="U31" i="7"/>
  <c r="U32" i="7"/>
  <c r="T22" i="7"/>
  <c r="N35" i="7"/>
  <c r="O34" i="7"/>
  <c r="S24" i="7"/>
  <c r="I30" i="7"/>
  <c r="I20" i="7"/>
  <c r="N27" i="7"/>
  <c r="T23" i="7"/>
  <c r="I36" i="7"/>
  <c r="I23" i="7"/>
  <c r="I21" i="7"/>
  <c r="I37" i="7"/>
  <c r="I41" i="7"/>
  <c r="I22" i="7"/>
  <c r="T26" i="7"/>
  <c r="I38" i="7"/>
  <c r="I42" i="7"/>
  <c r="T24" i="7"/>
  <c r="I35" i="7"/>
  <c r="L35" i="7"/>
  <c r="I27" i="7"/>
  <c r="I29" i="7"/>
  <c r="O31" i="7"/>
  <c r="I33" i="7"/>
  <c r="S34" i="7"/>
  <c r="I39" i="7"/>
  <c r="I43" i="7"/>
  <c r="I34" i="7"/>
  <c r="I40" i="7"/>
  <c r="I26" i="7"/>
  <c r="I31" i="7"/>
  <c r="I25" i="7"/>
  <c r="I28" i="7"/>
  <c r="I32" i="7"/>
  <c r="F44" i="6"/>
  <c r="E44" i="6"/>
  <c r="C43" i="6"/>
  <c r="C42" i="6"/>
  <c r="C41" i="6"/>
  <c r="C40" i="6"/>
  <c r="C39" i="6"/>
  <c r="C38" i="6"/>
  <c r="C37" i="6"/>
  <c r="C36" i="6"/>
  <c r="C35" i="6"/>
  <c r="N34" i="6"/>
  <c r="M34" i="6"/>
  <c r="L34" i="6"/>
  <c r="C34" i="6"/>
  <c r="T33" i="6"/>
  <c r="S33" i="6"/>
  <c r="R33" i="6"/>
  <c r="N33" i="6"/>
  <c r="M33" i="6"/>
  <c r="L33" i="6"/>
  <c r="C33" i="6"/>
  <c r="T32" i="6"/>
  <c r="S32" i="6"/>
  <c r="R32" i="6"/>
  <c r="N32" i="6"/>
  <c r="M32" i="6"/>
  <c r="L32" i="6"/>
  <c r="C32" i="6"/>
  <c r="T31" i="6"/>
  <c r="S31" i="6"/>
  <c r="R31" i="6"/>
  <c r="N31" i="6"/>
  <c r="M31" i="6"/>
  <c r="L31" i="6"/>
  <c r="C31" i="6"/>
  <c r="C30" i="6"/>
  <c r="C29" i="6"/>
  <c r="C28" i="6"/>
  <c r="R27" i="6"/>
  <c r="C27" i="6"/>
  <c r="T26" i="6"/>
  <c r="N26" i="6"/>
  <c r="S26" i="6" s="1"/>
  <c r="C26" i="6"/>
  <c r="N25" i="6"/>
  <c r="T25" i="6" s="1"/>
  <c r="C25" i="6"/>
  <c r="N24" i="6"/>
  <c r="C24" i="6"/>
  <c r="M23" i="6"/>
  <c r="N23" i="6" s="1"/>
  <c r="C23" i="6"/>
  <c r="N22" i="6"/>
  <c r="C22" i="6"/>
  <c r="C21" i="6"/>
  <c r="C20" i="6"/>
  <c r="W9" i="6"/>
  <c r="F8" i="6"/>
  <c r="E8" i="6"/>
  <c r="I7" i="6"/>
  <c r="I6" i="6"/>
  <c r="F1" i="6"/>
  <c r="I36" i="6" s="1"/>
  <c r="U34" i="7" l="1"/>
  <c r="S23" i="7"/>
  <c r="T27" i="7"/>
  <c r="O35" i="7"/>
  <c r="S22" i="7"/>
  <c r="I40" i="6"/>
  <c r="I42" i="6"/>
  <c r="I41" i="6"/>
  <c r="I39" i="6"/>
  <c r="I37" i="6"/>
  <c r="I35" i="6"/>
  <c r="I34" i="6"/>
  <c r="I28" i="6"/>
  <c r="I33" i="6"/>
  <c r="I29" i="6"/>
  <c r="I27" i="6"/>
  <c r="I25" i="6"/>
  <c r="I26" i="6"/>
  <c r="I23" i="6"/>
  <c r="I24" i="6"/>
  <c r="O32" i="6"/>
  <c r="O34" i="6"/>
  <c r="I22" i="6"/>
  <c r="T24" i="6"/>
  <c r="I20" i="6"/>
  <c r="I21" i="6"/>
  <c r="L35" i="6"/>
  <c r="O33" i="6"/>
  <c r="M35" i="6"/>
  <c r="O31" i="6"/>
  <c r="S34" i="6"/>
  <c r="U33" i="6"/>
  <c r="R34" i="6"/>
  <c r="T34" i="6"/>
  <c r="T23" i="6"/>
  <c r="S24" i="6"/>
  <c r="N27" i="6"/>
  <c r="I31" i="6"/>
  <c r="U31" i="6"/>
  <c r="I32" i="6"/>
  <c r="U32" i="6"/>
  <c r="I38" i="6"/>
  <c r="N35" i="6"/>
  <c r="S25" i="6"/>
  <c r="I43" i="6"/>
  <c r="T22" i="6"/>
  <c r="I30" i="6"/>
  <c r="S27" i="7" l="1"/>
  <c r="S23" i="6"/>
  <c r="O35" i="6"/>
  <c r="S22" i="6"/>
  <c r="T27" i="6"/>
  <c r="U34" i="6"/>
  <c r="F44" i="5"/>
  <c r="E44" i="5"/>
  <c r="C43" i="5"/>
  <c r="C42" i="5"/>
  <c r="C41" i="5"/>
  <c r="C40" i="5"/>
  <c r="C39" i="5"/>
  <c r="C38" i="5"/>
  <c r="C37" i="5"/>
  <c r="C36" i="5"/>
  <c r="C35" i="5"/>
  <c r="N34" i="5"/>
  <c r="M34" i="5"/>
  <c r="L34" i="5"/>
  <c r="C34" i="5"/>
  <c r="T33" i="5"/>
  <c r="S33" i="5"/>
  <c r="R33" i="5"/>
  <c r="N33" i="5"/>
  <c r="M33" i="5"/>
  <c r="L33" i="5"/>
  <c r="C33" i="5"/>
  <c r="T32" i="5"/>
  <c r="S32" i="5"/>
  <c r="R32" i="5"/>
  <c r="N32" i="5"/>
  <c r="M32" i="5"/>
  <c r="L32" i="5"/>
  <c r="C32" i="5"/>
  <c r="T31" i="5"/>
  <c r="S31" i="5"/>
  <c r="R31" i="5"/>
  <c r="R34" i="5" s="1"/>
  <c r="N31" i="5"/>
  <c r="M31" i="5"/>
  <c r="L31" i="5"/>
  <c r="C31" i="5"/>
  <c r="C30" i="5"/>
  <c r="C29" i="5"/>
  <c r="C28" i="5"/>
  <c r="R27" i="5"/>
  <c r="C27" i="5"/>
  <c r="T26" i="5"/>
  <c r="S26" i="5"/>
  <c r="N26" i="5"/>
  <c r="C26" i="5"/>
  <c r="T25" i="5"/>
  <c r="N25" i="5"/>
  <c r="S25" i="5" s="1"/>
  <c r="C25" i="5"/>
  <c r="N24" i="5"/>
  <c r="C24" i="5"/>
  <c r="N23" i="5"/>
  <c r="M23" i="5"/>
  <c r="C23" i="5"/>
  <c r="N22" i="5"/>
  <c r="C22" i="5"/>
  <c r="C21" i="5"/>
  <c r="I20" i="5"/>
  <c r="C20" i="5"/>
  <c r="W9" i="5"/>
  <c r="F8" i="5"/>
  <c r="E8" i="5"/>
  <c r="I6" i="5"/>
  <c r="F1" i="5"/>
  <c r="I24" i="5" s="1"/>
  <c r="S27" i="6" l="1"/>
  <c r="N27" i="5"/>
  <c r="T34" i="5"/>
  <c r="S34" i="5"/>
  <c r="U33" i="5"/>
  <c r="U32" i="5"/>
  <c r="I39" i="5"/>
  <c r="I38" i="5"/>
  <c r="I37" i="5"/>
  <c r="I35" i="5"/>
  <c r="I34" i="5"/>
  <c r="I33" i="5"/>
  <c r="I32" i="5"/>
  <c r="I31" i="5"/>
  <c r="I30" i="5"/>
  <c r="I29" i="5"/>
  <c r="M35" i="5"/>
  <c r="N35" i="5"/>
  <c r="I27" i="5"/>
  <c r="I40" i="5"/>
  <c r="I41" i="5"/>
  <c r="I42" i="5"/>
  <c r="I25" i="5"/>
  <c r="I23" i="5"/>
  <c r="I22" i="5"/>
  <c r="O31" i="5"/>
  <c r="O32" i="5"/>
  <c r="O34" i="5"/>
  <c r="T22" i="5"/>
  <c r="O33" i="5"/>
  <c r="S24" i="5" s="1"/>
  <c r="I21" i="5"/>
  <c r="T23" i="5"/>
  <c r="T24" i="5"/>
  <c r="I36" i="5"/>
  <c r="U31" i="5"/>
  <c r="I26" i="5"/>
  <c r="I7" i="5"/>
  <c r="L35" i="5"/>
  <c r="I28" i="5"/>
  <c r="I43" i="5"/>
  <c r="E44" i="4"/>
  <c r="C43" i="4"/>
  <c r="C42" i="4"/>
  <c r="C41" i="4"/>
  <c r="C40" i="4"/>
  <c r="C39" i="4"/>
  <c r="C38" i="4"/>
  <c r="C37" i="4"/>
  <c r="C36" i="4"/>
  <c r="C35" i="4"/>
  <c r="N34" i="4"/>
  <c r="M34" i="4"/>
  <c r="L34" i="4"/>
  <c r="C34" i="4"/>
  <c r="T33" i="4"/>
  <c r="S33" i="4"/>
  <c r="R33" i="4"/>
  <c r="N33" i="4"/>
  <c r="M33" i="4"/>
  <c r="L33" i="4"/>
  <c r="C33" i="4"/>
  <c r="T32" i="4"/>
  <c r="S32" i="4"/>
  <c r="R32" i="4"/>
  <c r="N32" i="4"/>
  <c r="M32" i="4"/>
  <c r="L32" i="4"/>
  <c r="C32" i="4"/>
  <c r="T31" i="4"/>
  <c r="S31" i="4"/>
  <c r="R31" i="4"/>
  <c r="N31" i="4"/>
  <c r="M31" i="4"/>
  <c r="L31" i="4"/>
  <c r="C31" i="4"/>
  <c r="C30" i="4"/>
  <c r="C29" i="4"/>
  <c r="F44" i="4"/>
  <c r="C28" i="4"/>
  <c r="R27" i="4"/>
  <c r="C27" i="4"/>
  <c r="T26" i="4"/>
  <c r="S26" i="4"/>
  <c r="N26" i="4"/>
  <c r="C26" i="4"/>
  <c r="N25" i="4"/>
  <c r="T25" i="4" s="1"/>
  <c r="C25" i="4"/>
  <c r="N24" i="4"/>
  <c r="C24" i="4"/>
  <c r="M23" i="4"/>
  <c r="N23" i="4" s="1"/>
  <c r="C23" i="4"/>
  <c r="N22" i="4"/>
  <c r="C22" i="4"/>
  <c r="C21" i="4"/>
  <c r="C20" i="4"/>
  <c r="W9" i="4"/>
  <c r="F8" i="4"/>
  <c r="E8" i="4"/>
  <c r="F1" i="4"/>
  <c r="I23" i="4" s="1"/>
  <c r="S23" i="5" l="1"/>
  <c r="S22" i="5"/>
  <c r="U34" i="5"/>
  <c r="O35" i="5"/>
  <c r="T27" i="5"/>
  <c r="R34" i="4"/>
  <c r="I7" i="4"/>
  <c r="S34" i="4"/>
  <c r="U32" i="4"/>
  <c r="U31" i="4"/>
  <c r="T34" i="4"/>
  <c r="U33" i="4"/>
  <c r="I36" i="4"/>
  <c r="I39" i="4"/>
  <c r="I31" i="4"/>
  <c r="I42" i="4"/>
  <c r="O34" i="4"/>
  <c r="I40" i="4"/>
  <c r="O31" i="4"/>
  <c r="I34" i="4"/>
  <c r="I30" i="4"/>
  <c r="I29" i="4"/>
  <c r="I26" i="4"/>
  <c r="I28" i="4"/>
  <c r="I27" i="4"/>
  <c r="I20" i="4"/>
  <c r="O33" i="4"/>
  <c r="I25" i="4"/>
  <c r="I22" i="4"/>
  <c r="N35" i="4"/>
  <c r="M35" i="4"/>
  <c r="T23" i="4"/>
  <c r="T22" i="4"/>
  <c r="O32" i="4"/>
  <c r="I38" i="4"/>
  <c r="I32" i="4"/>
  <c r="I6" i="4"/>
  <c r="I21" i="4"/>
  <c r="I24" i="4"/>
  <c r="T24" i="4"/>
  <c r="I35" i="4"/>
  <c r="I37" i="4"/>
  <c r="I41" i="4"/>
  <c r="S25" i="4"/>
  <c r="I33" i="4"/>
  <c r="I43" i="4"/>
  <c r="L35" i="4"/>
  <c r="N27" i="4"/>
  <c r="F28" i="3"/>
  <c r="S27" i="5" l="1"/>
  <c r="U34" i="4"/>
  <c r="S22" i="4"/>
  <c r="S24" i="4"/>
  <c r="O35" i="4"/>
  <c r="S23" i="4"/>
  <c r="T27" i="4"/>
  <c r="E8" i="3"/>
  <c r="F8" i="3"/>
  <c r="S27" i="4" l="1"/>
  <c r="E44" i="3"/>
  <c r="C43" i="3"/>
  <c r="C42" i="3"/>
  <c r="C41" i="3"/>
  <c r="C40" i="3"/>
  <c r="C39" i="3"/>
  <c r="C38" i="3"/>
  <c r="C37" i="3"/>
  <c r="M31" i="3"/>
  <c r="C36" i="3"/>
  <c r="C35" i="3"/>
  <c r="C34" i="3"/>
  <c r="N34" i="3"/>
  <c r="M34" i="3"/>
  <c r="L34" i="3"/>
  <c r="C33" i="3"/>
  <c r="T33" i="3"/>
  <c r="S33" i="3"/>
  <c r="R33" i="3"/>
  <c r="N33" i="3"/>
  <c r="M33" i="3"/>
  <c r="L33" i="3"/>
  <c r="C32" i="3"/>
  <c r="T32" i="3"/>
  <c r="S32" i="3"/>
  <c r="R32" i="3"/>
  <c r="N32" i="3"/>
  <c r="M32" i="3"/>
  <c r="L32" i="3"/>
  <c r="C31" i="3"/>
  <c r="T31" i="3"/>
  <c r="S31" i="3"/>
  <c r="R31" i="3"/>
  <c r="N31" i="3"/>
  <c r="L31" i="3"/>
  <c r="C30" i="3"/>
  <c r="C29" i="3"/>
  <c r="C28" i="3"/>
  <c r="C27" i="3"/>
  <c r="R27" i="3"/>
  <c r="F44" i="3"/>
  <c r="C26" i="3"/>
  <c r="N26" i="3"/>
  <c r="S26" i="3" s="1"/>
  <c r="C25" i="3"/>
  <c r="N25" i="3"/>
  <c r="S25" i="3" s="1"/>
  <c r="C24" i="3"/>
  <c r="N24" i="3"/>
  <c r="C23" i="3"/>
  <c r="M23" i="3"/>
  <c r="N23" i="3" s="1"/>
  <c r="I22" i="3"/>
  <c r="C22" i="3"/>
  <c r="N22" i="3"/>
  <c r="C21" i="3"/>
  <c r="C20" i="3"/>
  <c r="W9" i="3"/>
  <c r="F1" i="3"/>
  <c r="I38" i="3" s="1"/>
  <c r="I43" i="3" l="1"/>
  <c r="I42" i="3"/>
  <c r="I6" i="3"/>
  <c r="I7" i="3"/>
  <c r="T24" i="3"/>
  <c r="S34" i="3"/>
  <c r="R34" i="3"/>
  <c r="I32" i="3"/>
  <c r="I33" i="3"/>
  <c r="N27" i="3"/>
  <c r="N35" i="3"/>
  <c r="I31" i="3"/>
  <c r="I30" i="3"/>
  <c r="I29" i="3"/>
  <c r="I27" i="3"/>
  <c r="I28" i="3"/>
  <c r="I26" i="3"/>
  <c r="I25" i="3"/>
  <c r="I24" i="3"/>
  <c r="I20" i="3"/>
  <c r="I23" i="3"/>
  <c r="I21" i="3"/>
  <c r="I40" i="3"/>
  <c r="M35" i="3"/>
  <c r="O32" i="3"/>
  <c r="O33" i="3"/>
  <c r="O34" i="3"/>
  <c r="U32" i="3"/>
  <c r="U33" i="3"/>
  <c r="T34" i="3"/>
  <c r="I35" i="3"/>
  <c r="T23" i="3"/>
  <c r="O31" i="3"/>
  <c r="I39" i="3"/>
  <c r="T26" i="3"/>
  <c r="U31" i="3"/>
  <c r="L35" i="3"/>
  <c r="T25" i="3"/>
  <c r="I37" i="3"/>
  <c r="I41" i="3"/>
  <c r="I34" i="3"/>
  <c r="T22" i="3"/>
  <c r="I36" i="3"/>
  <c r="C49" i="2"/>
  <c r="F45" i="2"/>
  <c r="L34" i="2"/>
  <c r="M34" i="2"/>
  <c r="N34" i="2"/>
  <c r="C48" i="2"/>
  <c r="C47" i="2"/>
  <c r="F37" i="2"/>
  <c r="C46" i="2"/>
  <c r="S24" i="3" l="1"/>
  <c r="S22" i="3"/>
  <c r="S23" i="3"/>
  <c r="T27" i="3"/>
  <c r="O35" i="3"/>
  <c r="U34" i="3"/>
  <c r="O34" i="2"/>
  <c r="E45" i="2"/>
  <c r="S27" i="3" l="1"/>
  <c r="F27" i="2"/>
  <c r="M23" i="2" l="1"/>
  <c r="C45" i="2" l="1"/>
  <c r="F29" i="2" l="1"/>
  <c r="C44" i="2"/>
  <c r="C43" i="2"/>
  <c r="C42" i="2" l="1"/>
  <c r="R27" i="2"/>
  <c r="R33" i="2"/>
  <c r="S33" i="2"/>
  <c r="T33" i="2"/>
  <c r="L33" i="2"/>
  <c r="M33" i="2"/>
  <c r="N33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U33" i="2" l="1"/>
  <c r="O33" i="2"/>
  <c r="E50" i="2" l="1"/>
  <c r="F50" i="2"/>
  <c r="R32" i="2"/>
  <c r="S32" i="2"/>
  <c r="T32" i="2"/>
  <c r="L32" i="2"/>
  <c r="M32" i="2"/>
  <c r="N32" i="2"/>
  <c r="T31" i="2"/>
  <c r="S31" i="2"/>
  <c r="R31" i="2"/>
  <c r="W9" i="2"/>
  <c r="N31" i="2"/>
  <c r="M31" i="2"/>
  <c r="S34" i="2" l="1"/>
  <c r="R34" i="2"/>
  <c r="T34" i="2"/>
  <c r="U32" i="2"/>
  <c r="O32" i="2"/>
  <c r="L31" i="2" l="1"/>
  <c r="U31" i="2" l="1"/>
  <c r="L35" i="2"/>
  <c r="M35" i="2"/>
  <c r="N35" i="2"/>
  <c r="N26" i="2"/>
  <c r="N25" i="2"/>
  <c r="N24" i="2"/>
  <c r="N23" i="2"/>
  <c r="N22" i="2"/>
  <c r="T22" i="2" s="1"/>
  <c r="F1" i="2"/>
  <c r="I49" i="2" s="1"/>
  <c r="C21" i="2"/>
  <c r="M8" i="1"/>
  <c r="I47" i="2" l="1"/>
  <c r="I48" i="2"/>
  <c r="I46" i="2"/>
  <c r="I9" i="2"/>
  <c r="I45" i="2"/>
  <c r="I8" i="2"/>
  <c r="I43" i="2"/>
  <c r="I44" i="2"/>
  <c r="I7" i="2"/>
  <c r="I42" i="2"/>
  <c r="T23" i="2"/>
  <c r="S23" i="2"/>
  <c r="T24" i="2"/>
  <c r="S24" i="2"/>
  <c r="S25" i="2"/>
  <c r="T25" i="2"/>
  <c r="S26" i="2"/>
  <c r="T26" i="2"/>
  <c r="I40" i="2"/>
  <c r="I41" i="2"/>
  <c r="I38" i="2"/>
  <c r="I39" i="2"/>
  <c r="I36" i="2"/>
  <c r="I37" i="2"/>
  <c r="I34" i="2"/>
  <c r="I35" i="2"/>
  <c r="I32" i="2"/>
  <c r="I33" i="2"/>
  <c r="I30" i="2"/>
  <c r="I31" i="2"/>
  <c r="I28" i="2"/>
  <c r="I29" i="2"/>
  <c r="I26" i="2"/>
  <c r="I27" i="2"/>
  <c r="I24" i="2"/>
  <c r="I25" i="2"/>
  <c r="I22" i="2"/>
  <c r="I23" i="2"/>
  <c r="I21" i="2"/>
  <c r="U34" i="2"/>
  <c r="O31" i="2"/>
  <c r="S22" i="2" s="1"/>
  <c r="N27" i="2"/>
  <c r="I6" i="2"/>
  <c r="T27" i="2" l="1"/>
  <c r="S27" i="2"/>
  <c r="O35" i="2"/>
</calcChain>
</file>

<file path=xl/sharedStrings.xml><?xml version="1.0" encoding="utf-8"?>
<sst xmlns="http://schemas.openxmlformats.org/spreadsheetml/2006/main" count="1106" uniqueCount="115">
  <si>
    <t>Accounts</t>
  </si>
  <si>
    <t>Type</t>
  </si>
  <si>
    <t>Atul Axis</t>
  </si>
  <si>
    <t>Esha Axis</t>
  </si>
  <si>
    <t>Saving</t>
  </si>
  <si>
    <t>Axis CC</t>
  </si>
  <si>
    <t>Credit Card</t>
  </si>
  <si>
    <t>Citibank CC</t>
  </si>
  <si>
    <t>S. No.</t>
  </si>
  <si>
    <t>Expense Head</t>
  </si>
  <si>
    <t>Category</t>
  </si>
  <si>
    <t>Due Date</t>
  </si>
  <si>
    <t>Projected / Budgeted Cost</t>
  </si>
  <si>
    <t>Actual Cost</t>
  </si>
  <si>
    <t>Paid from Account</t>
  </si>
  <si>
    <t>Cash</t>
  </si>
  <si>
    <t>Status</t>
  </si>
  <si>
    <t>Days for Payment</t>
  </si>
  <si>
    <t>Air Ticket</t>
  </si>
  <si>
    <t>TRANSPORTATION</t>
  </si>
  <si>
    <t>Axis Mutual Fund</t>
  </si>
  <si>
    <t>SAVINGS/INVESTMENT</t>
  </si>
  <si>
    <t>Bus/Taxi Fare</t>
  </si>
  <si>
    <t>Car Petrol</t>
  </si>
  <si>
    <t>Car Servicing</t>
  </si>
  <si>
    <t>HOUSING</t>
  </si>
  <si>
    <t>Clothing</t>
  </si>
  <si>
    <t>PERSONAL</t>
  </si>
  <si>
    <t>Credit Card Bill</t>
  </si>
  <si>
    <t>LOANS</t>
  </si>
  <si>
    <t>Dairy Product (Milk etc.)</t>
  </si>
  <si>
    <t>Dining Out</t>
  </si>
  <si>
    <t>FOOD</t>
  </si>
  <si>
    <t>Dry Cleaning</t>
  </si>
  <si>
    <t>DTH</t>
  </si>
  <si>
    <t>Electricity Bill</t>
  </si>
  <si>
    <t>Events</t>
  </si>
  <si>
    <t>ENTERTAINMENT</t>
  </si>
  <si>
    <t>Exam Fees</t>
  </si>
  <si>
    <t>Fixed Deposit</t>
  </si>
  <si>
    <t>Gifts</t>
  </si>
  <si>
    <t>GIFTS AND DONATION</t>
  </si>
  <si>
    <t>Groceries</t>
  </si>
  <si>
    <t>Hair/Nails</t>
  </si>
  <si>
    <t>Health Checkup</t>
  </si>
  <si>
    <t>HEALTH</t>
  </si>
  <si>
    <t>House Maintenance</t>
  </si>
  <si>
    <t>House Rent</t>
  </si>
  <si>
    <t>Institute Fees</t>
  </si>
  <si>
    <t>Insurance Car</t>
  </si>
  <si>
    <t>INSURANCE</t>
  </si>
  <si>
    <t>Insurance Scooter</t>
  </si>
  <si>
    <t>Internet Charges</t>
  </si>
  <si>
    <t>Investment A/C</t>
  </si>
  <si>
    <t>Laundry/Ironing</t>
  </si>
  <si>
    <t>Life Insurance</t>
  </si>
  <si>
    <t>LPG</t>
  </si>
  <si>
    <t>Maid</t>
  </si>
  <si>
    <t>Medicines</t>
  </si>
  <si>
    <t>Miscellaneous Housing</t>
  </si>
  <si>
    <t>Miscellaneous Personal</t>
  </si>
  <si>
    <t>Mobile Bill Atul</t>
  </si>
  <si>
    <t>Mobile Bill Esha</t>
  </si>
  <si>
    <t>Mobile Bill - Others</t>
  </si>
  <si>
    <t>Movies</t>
  </si>
  <si>
    <t>Mutual Funds</t>
  </si>
  <si>
    <t>Newspaper/Magazine</t>
  </si>
  <si>
    <t>Personal</t>
  </si>
  <si>
    <t>PPF</t>
  </si>
  <si>
    <t>Recurring Deposit</t>
  </si>
  <si>
    <t>Saving A/c Atul</t>
  </si>
  <si>
    <t>Saving A/c Esha</t>
  </si>
  <si>
    <t>Scooter Petrol</t>
  </si>
  <si>
    <t>Scooter Servicing</t>
  </si>
  <si>
    <t>Servant</t>
  </si>
  <si>
    <t>Supplies</t>
  </si>
  <si>
    <t>Train</t>
  </si>
  <si>
    <t>Vegetables &amp; Fruits</t>
  </si>
  <si>
    <t>Vehicle Payment</t>
  </si>
  <si>
    <t>Video/DVD</t>
  </si>
  <si>
    <t>Waste Removal</t>
  </si>
  <si>
    <t>Water &amp; Sewer</t>
  </si>
  <si>
    <t>Pending</t>
  </si>
  <si>
    <t>Today's Date</t>
  </si>
  <si>
    <t>Done</t>
  </si>
  <si>
    <t>Partial-Done</t>
  </si>
  <si>
    <t>Month</t>
  </si>
  <si>
    <t>EXPENSES</t>
  </si>
  <si>
    <t>INCOME</t>
  </si>
  <si>
    <t>Account</t>
  </si>
  <si>
    <t>Opening Balance</t>
  </si>
  <si>
    <t>Salary</t>
  </si>
  <si>
    <t>Others</t>
  </si>
  <si>
    <t>Total</t>
  </si>
  <si>
    <t>Projected Balance</t>
  </si>
  <si>
    <t>Current Balance</t>
  </si>
  <si>
    <t>ACCOUNT TRANSFER</t>
  </si>
  <si>
    <t>From Account</t>
  </si>
  <si>
    <t>To Account</t>
  </si>
  <si>
    <t>Projected / Budgeted Amount</t>
  </si>
  <si>
    <t>Actual Amount</t>
  </si>
  <si>
    <t>ECS</t>
  </si>
  <si>
    <t>Payment By Status</t>
  </si>
  <si>
    <t>Transfer By Status</t>
  </si>
  <si>
    <t>Grand Total</t>
  </si>
  <si>
    <t>BALANCE</t>
  </si>
  <si>
    <t>Projected</t>
  </si>
  <si>
    <t>Actual</t>
  </si>
  <si>
    <t>Aarav</t>
  </si>
  <si>
    <t>PayTM</t>
  </si>
  <si>
    <t>Wallet</t>
  </si>
  <si>
    <t>Lifecell</t>
  </si>
  <si>
    <t>Duggu Axis</t>
  </si>
  <si>
    <t>Atul ICICI</t>
  </si>
  <si>
    <t>Atul SBI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</si>
</sst>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2" borderId="0" xfId="0" applyFont="1" applyFill="1"/>
    <xf numFmtId="17" fontId="3" fillId="2" borderId="0" xfId="0" applyNumberFormat="1" applyFont="1" applyFill="1"/>
    <xf numFmtId="14" fontId="3" fillId="2" borderId="0" xfId="0" applyNumberFormat="1" applyFont="1" applyFill="1"/>
    <xf numFmtId="0" fontId="0" fillId="0" borderId="0" xfId="0" applyAlignment="1">
      <alignment wrapText="1"/>
    </xf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231"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9" formatCode="dd/mm/yyyy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9" formatCode="dd/mm/yyyy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color rgb="FFFF0000"/>
      </font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9" formatCode="dd/mm/yyyy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9" formatCode="dd/mm/yyyy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color rgb="FFFF0000"/>
      </font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9" formatCode="dd/mm/yyyy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9" formatCode="dd/mm/yyyy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color rgb="FFFF0000"/>
      </font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9" formatCode="dd/mm/yyyy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9" formatCode="dd/mm/yyyy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color rgb="FFFF0000"/>
      </font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9" formatCode="dd/mm/yyyy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9" formatCode="dd/mm/yyyy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color rgb="FFFF0000"/>
      </font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9" formatCode="dd/mm/yyyy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9" formatCode="dd/mm/yyyy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Budget 3.xlsx]OCT 17!PivotTable2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vs Actual</a:t>
            </a:r>
            <a:endParaRPr lang="en-US"/>
          </a:p>
        </c:rich>
      </c:tx>
      <c:layout>
        <c:manualLayout>
          <c:xMode val="edge"/>
          <c:yMode val="edge"/>
          <c:x val="0.52039518775568072"/>
          <c:y val="3.963963963963963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'OCT 17'!$L$38</c:f>
              <c:strCache>
                <c:ptCount val="1"/>
                <c:pt idx="0">
                  <c:v>Projected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'OCT 17'!$K$39:$K$46</c:f>
              <c:strCache>
                <c:ptCount val="7"/>
                <c:pt idx="0">
                  <c:v>HOUSING</c:v>
                </c:pt>
                <c:pt idx="1">
                  <c:v>SAVINGS/INVESTMENT</c:v>
                </c:pt>
                <c:pt idx="2">
                  <c:v>LOANS</c:v>
                </c:pt>
                <c:pt idx="3">
                  <c:v>FOOD</c:v>
                </c:pt>
                <c:pt idx="4">
                  <c:v>TRANSPORTATION</c:v>
                </c:pt>
                <c:pt idx="5">
                  <c:v>PERSONAL</c:v>
                </c:pt>
                <c:pt idx="6">
                  <c:v>HEALTH</c:v>
                </c:pt>
              </c:strCache>
            </c:strRef>
          </c:cat>
          <c:val>
            <c:numRef>
              <c:f>'OCT 17'!$L$39:$L$46</c:f>
              <c:numCache>
                <c:formatCode>_(* #,##0.00_);_(* \(#,##0.00\);_(* "-"??_);_(@_)</c:formatCode>
                <c:ptCount val="7"/>
                <c:pt idx="0">
                  <c:v>20807</c:v>
                </c:pt>
                <c:pt idx="1">
                  <c:v>24000</c:v>
                </c:pt>
                <c:pt idx="2">
                  <c:v>6089</c:v>
                </c:pt>
                <c:pt idx="3">
                  <c:v>2000</c:v>
                </c:pt>
                <c:pt idx="4">
                  <c:v>6863.6</c:v>
                </c:pt>
                <c:pt idx="5">
                  <c:v>16500</c:v>
                </c:pt>
                <c:pt idx="6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'OCT 17'!$M$38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'OCT 17'!$K$39:$K$46</c:f>
              <c:strCache>
                <c:ptCount val="7"/>
                <c:pt idx="0">
                  <c:v>HOUSING</c:v>
                </c:pt>
                <c:pt idx="1">
                  <c:v>SAVINGS/INVESTMENT</c:v>
                </c:pt>
                <c:pt idx="2">
                  <c:v>LOANS</c:v>
                </c:pt>
                <c:pt idx="3">
                  <c:v>FOOD</c:v>
                </c:pt>
                <c:pt idx="4">
                  <c:v>TRANSPORTATION</c:v>
                </c:pt>
                <c:pt idx="5">
                  <c:v>PERSONAL</c:v>
                </c:pt>
                <c:pt idx="6">
                  <c:v>HEALTH</c:v>
                </c:pt>
              </c:strCache>
            </c:strRef>
          </c:cat>
          <c:val>
            <c:numRef>
              <c:f>'OCT 17'!$M$39:$M$46</c:f>
              <c:numCache>
                <c:formatCode>_(* #,##0.00_);_(* \(#,##0.00\);_(* "-"??_);_(@_)</c:formatCode>
                <c:ptCount val="7"/>
                <c:pt idx="0">
                  <c:v>17475</c:v>
                </c:pt>
                <c:pt idx="1">
                  <c:v>24000</c:v>
                </c:pt>
                <c:pt idx="2">
                  <c:v>6752.04</c:v>
                </c:pt>
                <c:pt idx="3">
                  <c:v>3592.7</c:v>
                </c:pt>
                <c:pt idx="4">
                  <c:v>6864.75</c:v>
                </c:pt>
                <c:pt idx="5">
                  <c:v>45112.25</c:v>
                </c:pt>
                <c:pt idx="6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30162049311819"/>
          <c:y val="0.2883049699432732"/>
          <c:w val="0.26614480051492928"/>
          <c:h val="0.613354217819546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Budget 3.xlsx]NOV 17!PivotTable2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vs Actual</a:t>
            </a:r>
            <a:endParaRPr lang="en-US"/>
          </a:p>
        </c:rich>
      </c:tx>
      <c:layout>
        <c:manualLayout>
          <c:xMode val="edge"/>
          <c:yMode val="edge"/>
          <c:x val="0.52039518775568072"/>
          <c:y val="3.963963963963963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'NOV 17'!$L$38</c:f>
              <c:strCache>
                <c:ptCount val="1"/>
                <c:pt idx="0">
                  <c:v>Projected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'NOV 17'!$K$39:$K$46</c:f>
              <c:strCache>
                <c:ptCount val="7"/>
                <c:pt idx="0">
                  <c:v>HOUSING</c:v>
                </c:pt>
                <c:pt idx="1">
                  <c:v>SAVINGS/INVESTMENT</c:v>
                </c:pt>
                <c:pt idx="2">
                  <c:v>LOANS</c:v>
                </c:pt>
                <c:pt idx="3">
                  <c:v>FOOD</c:v>
                </c:pt>
                <c:pt idx="4">
                  <c:v>TRANSPORTATION</c:v>
                </c:pt>
                <c:pt idx="5">
                  <c:v>PERSONAL</c:v>
                </c:pt>
                <c:pt idx="6">
                  <c:v>HEALTH</c:v>
                </c:pt>
              </c:strCache>
            </c:strRef>
          </c:cat>
          <c:val>
            <c:numRef>
              <c:f>'NOV 17'!$L$39:$L$46</c:f>
              <c:numCache>
                <c:formatCode>_(* #,##0.00_);_(* \(#,##0.00\);_(* "-"??_);_(@_)</c:formatCode>
                <c:ptCount val="7"/>
                <c:pt idx="0">
                  <c:v>21957</c:v>
                </c:pt>
                <c:pt idx="1">
                  <c:v>54000</c:v>
                </c:pt>
                <c:pt idx="2">
                  <c:v>12396.62</c:v>
                </c:pt>
                <c:pt idx="3">
                  <c:v>4000</c:v>
                </c:pt>
                <c:pt idx="4">
                  <c:v>1250</c:v>
                </c:pt>
                <c:pt idx="5">
                  <c:v>1500</c:v>
                </c:pt>
                <c:pt idx="6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'NOV 17'!$M$38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'NOV 17'!$K$39:$K$46</c:f>
              <c:strCache>
                <c:ptCount val="7"/>
                <c:pt idx="0">
                  <c:v>HOUSING</c:v>
                </c:pt>
                <c:pt idx="1">
                  <c:v>SAVINGS/INVESTMENT</c:v>
                </c:pt>
                <c:pt idx="2">
                  <c:v>LOANS</c:v>
                </c:pt>
                <c:pt idx="3">
                  <c:v>FOOD</c:v>
                </c:pt>
                <c:pt idx="4">
                  <c:v>TRANSPORTATION</c:v>
                </c:pt>
                <c:pt idx="5">
                  <c:v>PERSONAL</c:v>
                </c:pt>
                <c:pt idx="6">
                  <c:v>HEALTH</c:v>
                </c:pt>
              </c:strCache>
            </c:strRef>
          </c:cat>
          <c:val>
            <c:numRef>
              <c:f>'NOV 17'!$M$39:$M$46</c:f>
              <c:numCache>
                <c:formatCode>_(* #,##0.00_);_(* \(#,##0.00\);_(* "-"??_);_(@_)</c:formatCode>
                <c:ptCount val="7"/>
                <c:pt idx="0">
                  <c:v>18727</c:v>
                </c:pt>
                <c:pt idx="1">
                  <c:v>52000</c:v>
                </c:pt>
                <c:pt idx="2">
                  <c:v>12396.62</c:v>
                </c:pt>
                <c:pt idx="3">
                  <c:v>8000.81</c:v>
                </c:pt>
                <c:pt idx="4">
                  <c:v>1000</c:v>
                </c:pt>
                <c:pt idx="5">
                  <c:v>2655.6099999999997</c:v>
                </c:pt>
                <c:pt idx="6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30162049311819"/>
          <c:y val="0.2883049699432732"/>
          <c:w val="0.26614480051492928"/>
          <c:h val="0.613354217819546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Budget 3.xlsx]DEC 17!PivotTable2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vs Actual</a:t>
            </a:r>
            <a:endParaRPr lang="en-US"/>
          </a:p>
        </c:rich>
      </c:tx>
      <c:layout>
        <c:manualLayout>
          <c:xMode val="edge"/>
          <c:yMode val="edge"/>
          <c:x val="0.52039518775568072"/>
          <c:y val="3.963963963963963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'DEC 17'!$L$38</c:f>
              <c:strCache>
                <c:ptCount val="1"/>
                <c:pt idx="0">
                  <c:v>Projected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'DEC 17'!$K$39:$K$46</c:f>
              <c:strCache>
                <c:ptCount val="7"/>
                <c:pt idx="0">
                  <c:v>HOUSING</c:v>
                </c:pt>
                <c:pt idx="1">
                  <c:v>SAVINGS/INVESTMENT</c:v>
                </c:pt>
                <c:pt idx="2">
                  <c:v>LOANS</c:v>
                </c:pt>
                <c:pt idx="3">
                  <c:v>FOOD</c:v>
                </c:pt>
                <c:pt idx="4">
                  <c:v>TRANSPORTATION</c:v>
                </c:pt>
                <c:pt idx="5">
                  <c:v>PERSONAL</c:v>
                </c:pt>
                <c:pt idx="6">
                  <c:v>HEALTH</c:v>
                </c:pt>
              </c:strCache>
            </c:strRef>
          </c:cat>
          <c:val>
            <c:numRef>
              <c:f>'DEC 17'!$L$39:$L$46</c:f>
              <c:numCache>
                <c:formatCode>_(* #,##0.00_);_(* \(#,##0.00\);_(* "-"??_);_(@_)</c:formatCode>
                <c:ptCount val="7"/>
                <c:pt idx="0">
                  <c:v>23207</c:v>
                </c:pt>
                <c:pt idx="1">
                  <c:v>24000</c:v>
                </c:pt>
                <c:pt idx="2">
                  <c:v>11393.14</c:v>
                </c:pt>
                <c:pt idx="3">
                  <c:v>2000</c:v>
                </c:pt>
                <c:pt idx="4">
                  <c:v>1500</c:v>
                </c:pt>
                <c:pt idx="5">
                  <c:v>1300</c:v>
                </c:pt>
                <c:pt idx="6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'DEC 17'!$M$38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'DEC 17'!$K$39:$K$46</c:f>
              <c:strCache>
                <c:ptCount val="7"/>
                <c:pt idx="0">
                  <c:v>HOUSING</c:v>
                </c:pt>
                <c:pt idx="1">
                  <c:v>SAVINGS/INVESTMENT</c:v>
                </c:pt>
                <c:pt idx="2">
                  <c:v>LOANS</c:v>
                </c:pt>
                <c:pt idx="3">
                  <c:v>FOOD</c:v>
                </c:pt>
                <c:pt idx="4">
                  <c:v>TRANSPORTATION</c:v>
                </c:pt>
                <c:pt idx="5">
                  <c:v>PERSONAL</c:v>
                </c:pt>
                <c:pt idx="6">
                  <c:v>HEALTH</c:v>
                </c:pt>
              </c:strCache>
            </c:strRef>
          </c:cat>
          <c:val>
            <c:numRef>
              <c:f>'DEC 17'!$M$39:$M$46</c:f>
              <c:numCache>
                <c:formatCode>_(* #,##0.00_);_(* \(#,##0.00\);_(* "-"??_);_(@_)</c:formatCode>
                <c:ptCount val="7"/>
                <c:pt idx="0">
                  <c:v>21757</c:v>
                </c:pt>
                <c:pt idx="1">
                  <c:v>25000</c:v>
                </c:pt>
                <c:pt idx="2">
                  <c:v>11393.14</c:v>
                </c:pt>
                <c:pt idx="3">
                  <c:v>2990.13</c:v>
                </c:pt>
                <c:pt idx="4">
                  <c:v>250</c:v>
                </c:pt>
                <c:pt idx="5">
                  <c:v>1068.8400000000001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30162049311819"/>
          <c:y val="0.2883049699432732"/>
          <c:w val="0.26614480051492928"/>
          <c:h val="0.613354217819546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Budget 3.xlsx]JAN 18!PivotTable2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vs Actual</a:t>
            </a:r>
            <a:endParaRPr lang="en-US"/>
          </a:p>
        </c:rich>
      </c:tx>
      <c:layout>
        <c:manualLayout>
          <c:xMode val="edge"/>
          <c:yMode val="edge"/>
          <c:x val="0.52039518775568072"/>
          <c:y val="3.963963963963963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'JAN 18'!$L$38</c:f>
              <c:strCache>
                <c:ptCount val="1"/>
                <c:pt idx="0">
                  <c:v>Projected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'JAN 18'!$K$39:$K$47</c:f>
              <c:strCache>
                <c:ptCount val="8"/>
                <c:pt idx="0">
                  <c:v>HOUSING</c:v>
                </c:pt>
                <c:pt idx="1">
                  <c:v>SAVINGS/INVESTMENT</c:v>
                </c:pt>
                <c:pt idx="2">
                  <c:v>LOANS</c:v>
                </c:pt>
                <c:pt idx="3">
                  <c:v>FOOD</c:v>
                </c:pt>
                <c:pt idx="4">
                  <c:v>TRANSPORTATION</c:v>
                </c:pt>
                <c:pt idx="5">
                  <c:v>PERSONAL</c:v>
                </c:pt>
                <c:pt idx="6">
                  <c:v>HEALTH</c:v>
                </c:pt>
                <c:pt idx="7">
                  <c:v>INSURANCE</c:v>
                </c:pt>
              </c:strCache>
            </c:strRef>
          </c:cat>
          <c:val>
            <c:numRef>
              <c:f>'JAN 18'!$L$39:$L$47</c:f>
              <c:numCache>
                <c:formatCode>_(* #,##0.00_);_(* \(#,##0.00\);_(* "-"??_);_(@_)</c:formatCode>
                <c:ptCount val="8"/>
                <c:pt idx="0">
                  <c:v>21507</c:v>
                </c:pt>
                <c:pt idx="1">
                  <c:v>24000</c:v>
                </c:pt>
                <c:pt idx="2">
                  <c:v>12541</c:v>
                </c:pt>
                <c:pt idx="3">
                  <c:v>3938</c:v>
                </c:pt>
                <c:pt idx="4">
                  <c:v>2500</c:v>
                </c:pt>
                <c:pt idx="5">
                  <c:v>8450</c:v>
                </c:pt>
                <c:pt idx="6">
                  <c:v>1000</c:v>
                </c:pt>
                <c:pt idx="7">
                  <c:v>7848</c:v>
                </c:pt>
              </c:numCache>
            </c:numRef>
          </c:val>
        </c:ser>
        <c:ser>
          <c:idx val="1"/>
          <c:order val="1"/>
          <c:tx>
            <c:strRef>
              <c:f>'JAN 18'!$M$38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'JAN 18'!$K$39:$K$47</c:f>
              <c:strCache>
                <c:ptCount val="8"/>
                <c:pt idx="0">
                  <c:v>HOUSING</c:v>
                </c:pt>
                <c:pt idx="1">
                  <c:v>SAVINGS/INVESTMENT</c:v>
                </c:pt>
                <c:pt idx="2">
                  <c:v>LOANS</c:v>
                </c:pt>
                <c:pt idx="3">
                  <c:v>FOOD</c:v>
                </c:pt>
                <c:pt idx="4">
                  <c:v>TRANSPORTATION</c:v>
                </c:pt>
                <c:pt idx="5">
                  <c:v>PERSONAL</c:v>
                </c:pt>
                <c:pt idx="6">
                  <c:v>HEALTH</c:v>
                </c:pt>
                <c:pt idx="7">
                  <c:v>INSURANCE</c:v>
                </c:pt>
              </c:strCache>
            </c:strRef>
          </c:cat>
          <c:val>
            <c:numRef>
              <c:f>'JAN 18'!$M$39:$M$47</c:f>
              <c:numCache>
                <c:formatCode>_(* #,##0.00_);_(* \(#,##0.00\);_(* "-"??_);_(@_)</c:formatCode>
                <c:ptCount val="8"/>
                <c:pt idx="0">
                  <c:v>19960</c:v>
                </c:pt>
                <c:pt idx="1">
                  <c:v>24000</c:v>
                </c:pt>
                <c:pt idx="2">
                  <c:v>12541</c:v>
                </c:pt>
                <c:pt idx="3">
                  <c:v>5057.78</c:v>
                </c:pt>
                <c:pt idx="4">
                  <c:v>2750</c:v>
                </c:pt>
                <c:pt idx="5">
                  <c:v>7398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30162049311819"/>
          <c:y val="0.2883049699432732"/>
          <c:w val="0.26614480051492928"/>
          <c:h val="0.613354217819546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Budget 3.xlsx]FEB 18!PivotTable2</c:name>
    <c:fmtId val="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vs Actual</a:t>
            </a:r>
            <a:endParaRPr lang="en-US"/>
          </a:p>
        </c:rich>
      </c:tx>
      <c:layout>
        <c:manualLayout>
          <c:xMode val="edge"/>
          <c:yMode val="edge"/>
          <c:x val="0.52039518775568072"/>
          <c:y val="3.963963963963963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'FEB 18'!$L$38</c:f>
              <c:strCache>
                <c:ptCount val="1"/>
                <c:pt idx="0">
                  <c:v>Projected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'FEB 18'!$K$39:$K$47</c:f>
              <c:strCache>
                <c:ptCount val="8"/>
                <c:pt idx="0">
                  <c:v>HOUSING</c:v>
                </c:pt>
                <c:pt idx="1">
                  <c:v>SAVINGS/INVESTMENT</c:v>
                </c:pt>
                <c:pt idx="2">
                  <c:v>LOANS</c:v>
                </c:pt>
                <c:pt idx="3">
                  <c:v>FOOD</c:v>
                </c:pt>
                <c:pt idx="4">
                  <c:v>TRANSPORTATION</c:v>
                </c:pt>
                <c:pt idx="5">
                  <c:v>PERSONAL</c:v>
                </c:pt>
                <c:pt idx="6">
                  <c:v>HEALTH</c:v>
                </c:pt>
                <c:pt idx="7">
                  <c:v>INSURANCE</c:v>
                </c:pt>
              </c:strCache>
            </c:strRef>
          </c:cat>
          <c:val>
            <c:numRef>
              <c:f>'FEB 18'!$L$39:$L$47</c:f>
              <c:numCache>
                <c:formatCode>_(* #,##0.00_);_(* \(#,##0.00\);_(* "-"??_);_(@_)</c:formatCode>
                <c:ptCount val="8"/>
                <c:pt idx="0">
                  <c:v>21807</c:v>
                </c:pt>
                <c:pt idx="1">
                  <c:v>24000</c:v>
                </c:pt>
                <c:pt idx="2">
                  <c:v>10733.029999999999</c:v>
                </c:pt>
                <c:pt idx="3">
                  <c:v>3000</c:v>
                </c:pt>
                <c:pt idx="4">
                  <c:v>1500</c:v>
                </c:pt>
                <c:pt idx="5">
                  <c:v>1100</c:v>
                </c:pt>
              </c:numCache>
            </c:numRef>
          </c:val>
        </c:ser>
        <c:ser>
          <c:idx val="1"/>
          <c:order val="1"/>
          <c:tx>
            <c:strRef>
              <c:f>'FEB 18'!$M$38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'FEB 18'!$K$39:$K$47</c:f>
              <c:strCache>
                <c:ptCount val="8"/>
                <c:pt idx="0">
                  <c:v>HOUSING</c:v>
                </c:pt>
                <c:pt idx="1">
                  <c:v>SAVINGS/INVESTMENT</c:v>
                </c:pt>
                <c:pt idx="2">
                  <c:v>LOANS</c:v>
                </c:pt>
                <c:pt idx="3">
                  <c:v>FOOD</c:v>
                </c:pt>
                <c:pt idx="4">
                  <c:v>TRANSPORTATION</c:v>
                </c:pt>
                <c:pt idx="5">
                  <c:v>PERSONAL</c:v>
                </c:pt>
                <c:pt idx="6">
                  <c:v>HEALTH</c:v>
                </c:pt>
                <c:pt idx="7">
                  <c:v>INSURANCE</c:v>
                </c:pt>
              </c:strCache>
            </c:strRef>
          </c:cat>
          <c:val>
            <c:numRef>
              <c:f>'FEB 18'!$M$39:$M$47</c:f>
              <c:numCache>
                <c:formatCode>_(* #,##0.00_);_(* \(#,##0.00\);_(* "-"??_);_(@_)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30162049311819"/>
          <c:y val="0.2883049699432732"/>
          <c:w val="0.26614480051492928"/>
          <c:h val="0.613354217819546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Budget 3.xlsx]APR 18!PivotTable2</c:name>
    <c:fmtId val="4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vs Actual</a:t>
            </a:r>
            <a:endParaRPr lang="en-US"/>
          </a:p>
        </c:rich>
      </c:tx>
      <c:layout>
        <c:manualLayout>
          <c:xMode val="edge"/>
          <c:yMode val="edge"/>
          <c:x val="0.52039518775568072"/>
          <c:y val="3.963963963963963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'APR 18'!$L$38</c:f>
              <c:strCache>
                <c:ptCount val="1"/>
                <c:pt idx="0">
                  <c:v>Projected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'APR 18'!$K$39:$K$47</c:f>
              <c:strCache>
                <c:ptCount val="8"/>
                <c:pt idx="0">
                  <c:v>HOUSING</c:v>
                </c:pt>
                <c:pt idx="1">
                  <c:v>SAVINGS/INVESTMENT</c:v>
                </c:pt>
                <c:pt idx="2">
                  <c:v>LOANS</c:v>
                </c:pt>
                <c:pt idx="3">
                  <c:v>FOOD</c:v>
                </c:pt>
                <c:pt idx="4">
                  <c:v>TRANSPORTATION</c:v>
                </c:pt>
                <c:pt idx="5">
                  <c:v>PERSONAL</c:v>
                </c:pt>
                <c:pt idx="6">
                  <c:v>HEALTH</c:v>
                </c:pt>
                <c:pt idx="7">
                  <c:v>INSURANCE</c:v>
                </c:pt>
              </c:strCache>
            </c:strRef>
          </c:cat>
          <c:val>
            <c:numRef>
              <c:f>'APR 18'!$L$39:$L$47</c:f>
              <c:numCache>
                <c:formatCode>_(* #,##0.00_);_(* \(#,##0.00\);_(* "-"??_);_(@_)</c:formatCode>
                <c:ptCount val="8"/>
                <c:pt idx="0">
                  <c:v>21707</c:v>
                </c:pt>
                <c:pt idx="1">
                  <c:v>4000</c:v>
                </c:pt>
                <c:pt idx="2">
                  <c:v>8513.39</c:v>
                </c:pt>
                <c:pt idx="3">
                  <c:v>3000</c:v>
                </c:pt>
                <c:pt idx="4">
                  <c:v>500</c:v>
                </c:pt>
                <c:pt idx="5">
                  <c:v>1100</c:v>
                </c:pt>
              </c:numCache>
            </c:numRef>
          </c:val>
        </c:ser>
        <c:ser>
          <c:idx val="1"/>
          <c:order val="1"/>
          <c:tx>
            <c:strRef>
              <c:f>'APR 18'!$M$38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'APR 18'!$K$39:$K$47</c:f>
              <c:strCache>
                <c:ptCount val="8"/>
                <c:pt idx="0">
                  <c:v>HOUSING</c:v>
                </c:pt>
                <c:pt idx="1">
                  <c:v>SAVINGS/INVESTMENT</c:v>
                </c:pt>
                <c:pt idx="2">
                  <c:v>LOANS</c:v>
                </c:pt>
                <c:pt idx="3">
                  <c:v>FOOD</c:v>
                </c:pt>
                <c:pt idx="4">
                  <c:v>TRANSPORTATION</c:v>
                </c:pt>
                <c:pt idx="5">
                  <c:v>PERSONAL</c:v>
                </c:pt>
                <c:pt idx="6">
                  <c:v>HEALTH</c:v>
                </c:pt>
                <c:pt idx="7">
                  <c:v>INSURANCE</c:v>
                </c:pt>
              </c:strCache>
            </c:strRef>
          </c:cat>
          <c:val>
            <c:numRef>
              <c:f>'APR 18'!$M$39:$M$47</c:f>
              <c:numCache>
                <c:formatCode>_(* #,##0.00_);_(* \(#,##0.00\);_(* "-"??_);_(@_)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30162049311819"/>
          <c:y val="0.2883049699432732"/>
          <c:w val="0.26614480051492928"/>
          <c:h val="0.613354217819546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9525</xdr:rowOff>
    </xdr:from>
    <xdr:to>
      <xdr:col>18</xdr:col>
      <xdr:colOff>1133475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9525</xdr:rowOff>
    </xdr:from>
    <xdr:to>
      <xdr:col>18</xdr:col>
      <xdr:colOff>1133475</xdr:colOff>
      <xdr:row>18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9525</xdr:rowOff>
    </xdr:from>
    <xdr:to>
      <xdr:col>18</xdr:col>
      <xdr:colOff>1133475</xdr:colOff>
      <xdr:row>18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9525</xdr:rowOff>
    </xdr:from>
    <xdr:to>
      <xdr:col>18</xdr:col>
      <xdr:colOff>1133475</xdr:colOff>
      <xdr:row>18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9525</xdr:rowOff>
    </xdr:from>
    <xdr:to>
      <xdr:col>18</xdr:col>
      <xdr:colOff>1133475</xdr:colOff>
      <xdr:row>18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9525</xdr:rowOff>
    </xdr:from>
    <xdr:to>
      <xdr:col>18</xdr:col>
      <xdr:colOff>1133475</xdr:colOff>
      <xdr:row>18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tul Tegar" refreshedDate="43102.413119560188" createdVersion="5" refreshedVersion="5" minRefreshableVersion="3" recordCount="24">
  <cacheSource type="worksheet">
    <worksheetSource name="Expenses18"/>
  </cacheSource>
  <cacheFields count="9">
    <cacheField name="S. No." numFmtId="0">
      <sharedItems containsSemiMixedTypes="0" containsString="0" containsNumber="1" containsInteger="1" minValue="1" maxValue="24"/>
    </cacheField>
    <cacheField name="Expense Head" numFmtId="0">
      <sharedItems/>
    </cacheField>
    <cacheField name="Category" numFmtId="0">
      <sharedItems count="7">
        <s v="HOUSING"/>
        <s v="LOANS"/>
        <s v="SAVINGS/INVESTMENT"/>
        <s v="FOOD"/>
        <s v="TRANSPORTATION"/>
        <s v="PERSONAL"/>
        <s v="HEALTH"/>
      </sharedItems>
    </cacheField>
    <cacheField name="Due Date" numFmtId="14">
      <sharedItems containsSemiMixedTypes="0" containsNonDate="0" containsDate="1" containsString="0" minDate="2017-11-01T00:00:00" maxDate="2017-11-25T00:00:00"/>
    </cacheField>
    <cacheField name="Projected / Budgeted Cost" numFmtId="43">
      <sharedItems containsString="0" containsBlank="1" containsNumber="1" minValue="0" maxValue="50000"/>
    </cacheField>
    <cacheField name="Actual Cost" numFmtId="43">
      <sharedItems containsString="0" containsBlank="1" containsNumber="1" minValue="120.62" maxValue="50000"/>
    </cacheField>
    <cacheField name="Paid from Account" numFmtId="0">
      <sharedItems/>
    </cacheField>
    <cacheField name="Status" numFmtId="0">
      <sharedItems/>
    </cacheField>
    <cacheField name="Days for Payment" numFmtId="0">
      <sharedItems containsMixedTypes="1" containsNumber="1" containsInteger="1" minValue="-61" maxValue="-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tul Tegar" refreshedDate="43102.413119560188" createdVersion="5" refreshedVersion="5" minRefreshableVersion="3" recordCount="24">
  <cacheSource type="worksheet">
    <worksheetSource name="Expenses1816"/>
  </cacheSource>
  <cacheFields count="9">
    <cacheField name="S. No." numFmtId="0">
      <sharedItems containsSemiMixedTypes="0" containsString="0" containsNumber="1" containsInteger="1" minValue="1" maxValue="24"/>
    </cacheField>
    <cacheField name="Expense Head" numFmtId="0">
      <sharedItems/>
    </cacheField>
    <cacheField name="Category" numFmtId="0">
      <sharedItems count="7">
        <s v="HOUSING"/>
        <s v="LOANS"/>
        <s v="SAVINGS/INVESTMENT"/>
        <s v="FOOD"/>
        <s v="TRANSPORTATION"/>
        <s v="PERSONAL"/>
        <s v="HEALTH"/>
      </sharedItems>
    </cacheField>
    <cacheField name="Due Date" numFmtId="14">
      <sharedItems containsSemiMixedTypes="0" containsNonDate="0" containsDate="1" containsString="0" minDate="2017-12-01T00:00:00" maxDate="2017-12-23T00:00:00"/>
    </cacheField>
    <cacheField name="Projected / Budgeted Cost" numFmtId="43">
      <sharedItems containsString="0" containsBlank="1" containsNumber="1" minValue="0" maxValue="20000"/>
    </cacheField>
    <cacheField name="Actual Cost" numFmtId="43">
      <sharedItems containsString="0" containsBlank="1" containsNumber="1" minValue="250" maxValue="20000"/>
    </cacheField>
    <cacheField name="Paid from Account" numFmtId="0">
      <sharedItems/>
    </cacheField>
    <cacheField name="Status" numFmtId="0">
      <sharedItems/>
    </cacheField>
    <cacheField name="Days for Payment" numFmtId="0">
      <sharedItems containsMixedTypes="1" containsNumber="1" containsInteger="1" minValue="-28" maxValue="-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tul Tegar" refreshedDate="43102.413119791665" createdVersion="5" refreshedVersion="5" minRefreshableVersion="3" recordCount="29">
  <cacheSource type="worksheet">
    <worksheetSource name="Expenses1"/>
  </cacheSource>
  <cacheFields count="9">
    <cacheField name="S. No." numFmtId="0">
      <sharedItems containsSemiMixedTypes="0" containsString="0" containsNumber="1" containsInteger="1" minValue="1" maxValue="29"/>
    </cacheField>
    <cacheField name="Expense Head" numFmtId="0">
      <sharedItems/>
    </cacheField>
    <cacheField name="Category" numFmtId="0">
      <sharedItems count="7">
        <s v="HOUSING"/>
        <s v="LOANS"/>
        <s v="SAVINGS/INVESTMENT"/>
        <s v="FOOD"/>
        <s v="TRANSPORTATION"/>
        <s v="PERSONAL"/>
        <s v="HEALTH"/>
      </sharedItems>
    </cacheField>
    <cacheField name="Due Date" numFmtId="14">
      <sharedItems containsSemiMixedTypes="0" containsNonDate="0" containsDate="1" containsString="0" minDate="2017-09-30T00:00:00" maxDate="2017-10-25T00:00:00"/>
    </cacheField>
    <cacheField name="Projected / Budgeted Cost" numFmtId="43">
      <sharedItems containsString="0" containsBlank="1" containsNumber="1" minValue="89" maxValue="20000"/>
    </cacheField>
    <cacheField name="Actual Cost" numFmtId="43">
      <sharedItems containsString="0" containsBlank="1" containsNumber="1" minValue="88.99" maxValue="30370"/>
    </cacheField>
    <cacheField name="Paid from Account" numFmtId="0">
      <sharedItems/>
    </cacheField>
    <cacheField name="Status" numFmtId="0">
      <sharedItems/>
    </cacheField>
    <cacheField name="Days for Payment" numFmtId="0">
      <sharedItems containsMixedTypes="1" containsNumber="1" containsInteger="1" minValue="-92" maxValue="-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tul Tegar" refreshedDate="43115.376410763885" createdVersion="5" refreshedVersion="5" minRefreshableVersion="3" recordCount="24">
  <cacheSource type="worksheet">
    <worksheetSource name="Expenses_Jan"/>
  </cacheSource>
  <cacheFields count="9">
    <cacheField name="S. No." numFmtId="0">
      <sharedItems containsSemiMixedTypes="0" containsString="0" containsNumber="1" containsInteger="1" minValue="1" maxValue="24"/>
    </cacheField>
    <cacheField name="Expense Head" numFmtId="0">
      <sharedItems/>
    </cacheField>
    <cacheField name="Category" numFmtId="0">
      <sharedItems count="8">
        <s v="HOUSING"/>
        <s v="LOANS"/>
        <s v="SAVINGS/INVESTMENT"/>
        <s v="PERSONAL"/>
        <s v="FOOD"/>
        <s v="TRANSPORTATION"/>
        <s v="HEALTH"/>
        <s v="INSURANCE"/>
      </sharedItems>
    </cacheField>
    <cacheField name="Due Date" numFmtId="14">
      <sharedItems containsSemiMixedTypes="0" containsNonDate="0" containsDate="1" containsString="0" minDate="2018-01-01T00:00:00" maxDate="2018-01-29T00:00:00"/>
    </cacheField>
    <cacheField name="Projected / Budgeted Cost" numFmtId="43">
      <sharedItems containsSemiMixedTypes="0" containsString="0" containsNumber="1" containsInteger="1" minValue="0" maxValue="20000"/>
    </cacheField>
    <cacheField name="Actual Cost" numFmtId="43">
      <sharedItems containsString="0" containsBlank="1" containsNumber="1" minValue="250" maxValue="20000"/>
    </cacheField>
    <cacheField name="Paid from Account" numFmtId="0">
      <sharedItems/>
    </cacheField>
    <cacheField name="Status" numFmtId="0">
      <sharedItems/>
    </cacheField>
    <cacheField name="Days for Payment" numFmtId="0">
      <sharedItems containsMixedTypes="1" containsNumber="1" containsInteger="1" minValue="-10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tul Tegar" refreshedDate="43131.655456944442" createdVersion="5" refreshedVersion="5" minRefreshableVersion="3" recordCount="24">
  <cacheSource type="worksheet">
    <worksheetSource name="Expenses_Feb"/>
  </cacheSource>
  <cacheFields count="9">
    <cacheField name="S. No." numFmtId="0">
      <sharedItems containsSemiMixedTypes="0" containsString="0" containsNumber="1" containsInteger="1" minValue="1" maxValue="24"/>
    </cacheField>
    <cacheField name="Expense Head" numFmtId="0">
      <sharedItems/>
    </cacheField>
    <cacheField name="Category" numFmtId="0">
      <sharedItems count="8">
        <s v="HOUSING"/>
        <s v="LOANS"/>
        <s v="SAVINGS/INVESTMENT"/>
        <s v="PERSONAL"/>
        <s v="FOOD"/>
        <s v="TRANSPORTATION"/>
        <s v="HEALTH"/>
        <s v="INSURANCE"/>
      </sharedItems>
    </cacheField>
    <cacheField name="Due Date" numFmtId="14">
      <sharedItems containsSemiMixedTypes="0" containsNonDate="0" containsDate="1" containsString="0" minDate="2018-01-02T00:00:00" maxDate="2018-02-25T00:00:00"/>
    </cacheField>
    <cacheField name="Projected / Budgeted Cost" numFmtId="43">
      <sharedItems containsString="0" containsBlank="1" containsNumber="1" minValue="0" maxValue="20000"/>
    </cacheField>
    <cacheField name="Actual Cost" numFmtId="43">
      <sharedItems containsNonDate="0" containsString="0" containsBlank="1"/>
    </cacheField>
    <cacheField name="Paid from Account" numFmtId="0">
      <sharedItems/>
    </cacheField>
    <cacheField name="Status" numFmtId="0">
      <sharedItems/>
    </cacheField>
    <cacheField name="Days for Payment" numFmtId="0">
      <sharedItems containsSemiMixedTypes="0" containsString="0" containsNumber="1" containsInteger="1" minValue="-29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tul Tegar" refreshedDate="43188.43772303241" createdVersion="5" refreshedVersion="5" minRefreshableVersion="3" recordCount="24">
  <cacheSource type="worksheet">
    <worksheetSource name="Expenses_Apr"/>
  </cacheSource>
  <cacheFields count="9">
    <cacheField name="S. No." numFmtId="0">
      <sharedItems containsSemiMixedTypes="0" containsString="0" containsNumber="1" containsInteger="1" minValue="1" maxValue="24"/>
    </cacheField>
    <cacheField name="Expense Head" numFmtId="0">
      <sharedItems/>
    </cacheField>
    <cacheField name="Category" numFmtId="0">
      <sharedItems count="8">
        <s v="HOUSING"/>
        <s v="LOANS"/>
        <s v="SAVINGS/INVESTMENT"/>
        <s v="PERSONAL"/>
        <s v="FOOD"/>
        <s v="TRANSPORTATION"/>
        <s v="HEALTH"/>
        <s v="INSURANCE"/>
      </sharedItems>
    </cacheField>
    <cacheField name="Due Date" numFmtId="14">
      <sharedItems containsSemiMixedTypes="0" containsNonDate="0" containsDate="1" containsString="0" minDate="2018-04-01T00:00:00" maxDate="2018-04-29T00:00:00"/>
    </cacheField>
    <cacheField name="Projected / Budgeted Cost" numFmtId="43">
      <sharedItems containsString="0" containsBlank="1" containsNumber="1" minValue="0" maxValue="16500"/>
    </cacheField>
    <cacheField name="Actual Cost" numFmtId="43">
      <sharedItems containsNonDate="0" containsString="0" containsBlank="1"/>
    </cacheField>
    <cacheField name="Paid from Account" numFmtId="0">
      <sharedItems/>
    </cacheField>
    <cacheField name="Status" numFmtId="0">
      <sharedItems/>
    </cacheField>
    <cacheField name="Days for Payment" numFmtId="0">
      <sharedItems containsSemiMixedTypes="0" containsString="0" containsNumber="1" containsInteger="1" minValue="3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1"/>
    <s v="House Rent"/>
    <x v="0"/>
    <d v="2017-11-01T00:00:00"/>
    <n v="16500"/>
    <n v="16500"/>
    <s v="Atul Axis"/>
    <s v="Done"/>
    <s v=""/>
  </r>
  <r>
    <n v="2"/>
    <s v="Credit Card Bill"/>
    <x v="1"/>
    <d v="2017-11-03T00:00:00"/>
    <n v="0"/>
    <m/>
    <s v="Atul Axis"/>
    <s v="Pending"/>
    <n v="-60"/>
  </r>
  <r>
    <n v="3"/>
    <s v="Axis Mutual Fund"/>
    <x v="2"/>
    <d v="2017-11-01T00:00:00"/>
    <n v="2000"/>
    <n v="2000"/>
    <s v="Atul Axis"/>
    <s v="Done"/>
    <s v=""/>
  </r>
  <r>
    <n v="4"/>
    <s v="Axis Mutual Fund"/>
    <x v="2"/>
    <d v="2017-11-15T00:00:00"/>
    <n v="2000"/>
    <m/>
    <s v="Atul Axis"/>
    <s v="Pending"/>
    <n v="-48"/>
  </r>
  <r>
    <n v="5"/>
    <s v="Recurring Deposit"/>
    <x v="2"/>
    <d v="2017-11-05T00:00:00"/>
    <n v="0"/>
    <m/>
    <s v="Esha Axis"/>
    <s v="Pending"/>
    <n v="-58"/>
  </r>
  <r>
    <n v="6"/>
    <s v="Groceries"/>
    <x v="3"/>
    <d v="2017-11-05T00:00:00"/>
    <n v="4000"/>
    <n v="8000.81"/>
    <s v="Atul Axis"/>
    <s v="Done"/>
    <s v=""/>
  </r>
  <r>
    <n v="7"/>
    <s v="Car Petrol"/>
    <x v="4"/>
    <d v="2017-11-02T00:00:00"/>
    <n v="1000"/>
    <n v="1000"/>
    <s v="Atul Axis"/>
    <s v="Done"/>
    <s v=""/>
  </r>
  <r>
    <n v="8"/>
    <s v="DTH"/>
    <x v="0"/>
    <d v="2017-11-05T00:00:00"/>
    <n v="500"/>
    <n v="500"/>
    <s v="Atul Axis"/>
    <s v="Done"/>
    <s v=""/>
  </r>
  <r>
    <n v="9"/>
    <s v="Clothing"/>
    <x v="5"/>
    <d v="2017-11-05T00:00:00"/>
    <n v="0"/>
    <n v="1052"/>
    <s v="Atul Axis"/>
    <s v="Done"/>
    <s v=""/>
  </r>
  <r>
    <n v="10"/>
    <s v="Electricity Bill"/>
    <x v="0"/>
    <d v="2017-11-10T00:00:00"/>
    <n v="650"/>
    <n v="390"/>
    <s v="Atul Axis"/>
    <s v="Done"/>
    <s v=""/>
  </r>
  <r>
    <n v="11"/>
    <s v="Mobile Bill Atul"/>
    <x v="5"/>
    <d v="2017-11-19T00:00:00"/>
    <n v="1000"/>
    <n v="793.06"/>
    <s v="Atul Axis"/>
    <s v="Done"/>
    <s v=""/>
  </r>
  <r>
    <n v="12"/>
    <s v="Mobile Bill Esha"/>
    <x v="5"/>
    <d v="2017-11-19T00:00:00"/>
    <n v="500"/>
    <n v="689.93"/>
    <s v="Atul Axis"/>
    <s v="Done"/>
    <s v=""/>
  </r>
  <r>
    <n v="13"/>
    <s v="Internet Charges"/>
    <x v="0"/>
    <d v="2017-11-24T00:00:00"/>
    <n v="707"/>
    <m/>
    <s v="Atul Axis"/>
    <s v="Pending"/>
    <n v="-39"/>
  </r>
  <r>
    <n v="14"/>
    <s v="Scooter Petrol"/>
    <x v="4"/>
    <d v="2017-11-04T00:00:00"/>
    <n v="250"/>
    <m/>
    <s v="Atul Axis"/>
    <s v="Pending"/>
    <n v="-59"/>
  </r>
  <r>
    <n v="15"/>
    <s v="Vegetables &amp; Fruits"/>
    <x v="0"/>
    <d v="2017-11-02T00:00:00"/>
    <n v="500"/>
    <n v="600"/>
    <s v="Cash"/>
    <s v="Done"/>
    <s v=""/>
  </r>
  <r>
    <n v="16"/>
    <s v="Maid"/>
    <x v="0"/>
    <d v="2017-11-02T00:00:00"/>
    <n v="1200"/>
    <m/>
    <s v="Cash"/>
    <s v="Pending"/>
    <n v="-61"/>
  </r>
  <r>
    <n v="17"/>
    <s v="Health Checkup"/>
    <x v="6"/>
    <d v="2017-11-10T00:00:00"/>
    <n v="1000"/>
    <n v="900"/>
    <s v="Atul Axis"/>
    <s v="Done"/>
    <s v=""/>
  </r>
  <r>
    <n v="18"/>
    <s v="Dairy Product (Milk etc.)"/>
    <x v="0"/>
    <d v="2017-11-02T00:00:00"/>
    <n v="800"/>
    <m/>
    <s v="Cash"/>
    <s v="Pending"/>
    <n v="-61"/>
  </r>
  <r>
    <n v="19"/>
    <s v="Car Servicing"/>
    <x v="0"/>
    <d v="2017-11-05T00:00:00"/>
    <n v="500"/>
    <m/>
    <s v="Cash"/>
    <s v="Pending"/>
    <n v="-58"/>
  </r>
  <r>
    <n v="20"/>
    <s v="LPG"/>
    <x v="0"/>
    <d v="2017-11-02T00:00:00"/>
    <n v="600"/>
    <n v="737"/>
    <s v="Cash"/>
    <s v="Done"/>
    <s v=""/>
  </r>
  <r>
    <n v="21"/>
    <s v="Credit Card Bill"/>
    <x v="1"/>
    <d v="2017-11-09T00:00:00"/>
    <n v="12396.62"/>
    <n v="12396.62"/>
    <s v="Atul Axis"/>
    <s v="Done"/>
    <s v=""/>
  </r>
  <r>
    <n v="22"/>
    <s v="Investment A/C"/>
    <x v="2"/>
    <d v="2017-11-02T00:00:00"/>
    <n v="50000"/>
    <n v="50000"/>
    <s v="Atul Axis"/>
    <s v="Done"/>
    <s v=""/>
  </r>
  <r>
    <n v="23"/>
    <s v="Personal"/>
    <x v="5"/>
    <d v="2017-11-05T00:00:00"/>
    <n v="0"/>
    <n v="120.62"/>
    <s v="Atul Axis"/>
    <s v="Done"/>
    <s v=""/>
  </r>
  <r>
    <n v="24"/>
    <s v="Vegetables &amp; Fruits"/>
    <x v="0"/>
    <d v="2017-11-05T00:00:00"/>
    <m/>
    <m/>
    <s v="Atul Axis"/>
    <s v="Pending"/>
    <n v="-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1"/>
    <s v="House Rent"/>
    <x v="0"/>
    <d v="2017-12-01T00:00:00"/>
    <n v="16500"/>
    <n v="16500"/>
    <s v="Atul Axis"/>
    <s v="Done"/>
    <s v=""/>
  </r>
  <r>
    <n v="2"/>
    <s v="Credit Card Bill"/>
    <x v="1"/>
    <d v="2017-12-04T00:00:00"/>
    <n v="5837.14"/>
    <n v="5837.14"/>
    <s v="Atul Axis"/>
    <s v="Done"/>
    <s v=""/>
  </r>
  <r>
    <n v="3"/>
    <s v="Axis Mutual Fund"/>
    <x v="2"/>
    <d v="2017-12-01T00:00:00"/>
    <n v="2000"/>
    <n v="2000"/>
    <s v="Atul Axis"/>
    <s v="Done"/>
    <s v=""/>
  </r>
  <r>
    <n v="4"/>
    <s v="Axis Mutual Fund"/>
    <x v="2"/>
    <d v="2017-12-15T00:00:00"/>
    <n v="2000"/>
    <n v="2000"/>
    <s v="Atul Axis"/>
    <s v="Done"/>
    <s v=""/>
  </r>
  <r>
    <n v="5"/>
    <s v="Recurring Deposit"/>
    <x v="2"/>
    <d v="2017-12-15T00:00:00"/>
    <n v="0"/>
    <m/>
    <s v="Esha Axis"/>
    <s v="Pending"/>
    <n v="-18"/>
  </r>
  <r>
    <n v="6"/>
    <s v="Groceries"/>
    <x v="3"/>
    <d v="2017-12-02T00:00:00"/>
    <n v="2000"/>
    <n v="2990.13"/>
    <s v="Atul Axis"/>
    <s v="Done"/>
    <s v=""/>
  </r>
  <r>
    <n v="7"/>
    <s v="Car Petrol"/>
    <x v="4"/>
    <d v="2017-12-05T00:00:00"/>
    <n v="1000"/>
    <m/>
    <s v="Atul Axis"/>
    <s v="Pending"/>
    <n v="-28"/>
  </r>
  <r>
    <n v="8"/>
    <s v="DTH"/>
    <x v="0"/>
    <d v="2017-12-05T00:00:00"/>
    <n v="500"/>
    <n v="500"/>
    <s v="Atul Axis"/>
    <s v="Done"/>
    <s v=""/>
  </r>
  <r>
    <n v="9"/>
    <s v="Clothing"/>
    <x v="5"/>
    <d v="2017-12-05T00:00:00"/>
    <n v="0"/>
    <m/>
    <s v="Atul Axis"/>
    <s v="Pending"/>
    <n v="-28"/>
  </r>
  <r>
    <n v="10"/>
    <s v="Electricity Bill"/>
    <x v="0"/>
    <d v="2017-12-15T00:00:00"/>
    <n v="650"/>
    <n v="440"/>
    <s v="Atul Axis"/>
    <s v="Done"/>
    <s v=""/>
  </r>
  <r>
    <n v="11"/>
    <s v="Mobile Bill Atul"/>
    <x v="5"/>
    <d v="2017-12-19T00:00:00"/>
    <n v="700"/>
    <n v="594.48"/>
    <s v="Atul Axis"/>
    <s v="Done"/>
    <s v=""/>
  </r>
  <r>
    <n v="12"/>
    <s v="Mobile Bill Esha"/>
    <x v="5"/>
    <d v="2017-12-19T00:00:00"/>
    <n v="600"/>
    <n v="474.36"/>
    <s v="Atul Axis"/>
    <s v="Done"/>
    <s v=""/>
  </r>
  <r>
    <n v="13"/>
    <s v="Internet Charges"/>
    <x v="0"/>
    <d v="2017-12-22T00:00:00"/>
    <n v="707"/>
    <n v="707"/>
    <s v="Atul Axis"/>
    <s v="Done"/>
    <s v=""/>
  </r>
  <r>
    <n v="14"/>
    <s v="Scooter Petrol"/>
    <x v="4"/>
    <d v="2017-12-05T00:00:00"/>
    <n v="500"/>
    <n v="250"/>
    <s v="Atul Axis"/>
    <s v="Done"/>
    <s v=""/>
  </r>
  <r>
    <n v="15"/>
    <s v="Vegetables &amp; Fruits"/>
    <x v="0"/>
    <d v="2017-12-05T00:00:00"/>
    <n v="1000"/>
    <n v="550"/>
    <s v="Cash"/>
    <s v="Done"/>
    <s v=""/>
  </r>
  <r>
    <n v="16"/>
    <s v="Maid"/>
    <x v="0"/>
    <d v="2017-12-02T00:00:00"/>
    <n v="1200"/>
    <n v="500"/>
    <s v="Cash"/>
    <s v="Done"/>
    <s v=""/>
  </r>
  <r>
    <n v="17"/>
    <s v="Health Checkup"/>
    <x v="6"/>
    <d v="2017-12-15T00:00:00"/>
    <n v="1000"/>
    <m/>
    <s v="Atul Axis"/>
    <s v="Pending"/>
    <n v="-18"/>
  </r>
  <r>
    <n v="18"/>
    <s v="Dairy Product (Milk etc.)"/>
    <x v="0"/>
    <d v="2017-12-02T00:00:00"/>
    <n v="1400"/>
    <n v="1320"/>
    <s v="Cash"/>
    <s v="Done"/>
    <s v=""/>
  </r>
  <r>
    <n v="19"/>
    <s v="Car Servicing"/>
    <x v="0"/>
    <d v="2017-12-02T00:00:00"/>
    <n v="500"/>
    <n v="500"/>
    <s v="Cash"/>
    <s v="Done"/>
    <s v=""/>
  </r>
  <r>
    <n v="20"/>
    <s v="LPG"/>
    <x v="0"/>
    <d v="2017-12-10T00:00:00"/>
    <n v="750"/>
    <n v="740"/>
    <s v="Cash"/>
    <s v="Done"/>
    <s v=""/>
  </r>
  <r>
    <n v="21"/>
    <s v="Credit Card Bill"/>
    <x v="1"/>
    <d v="2017-12-08T00:00:00"/>
    <n v="5556"/>
    <n v="5556"/>
    <s v="Atul Axis"/>
    <s v="Done"/>
    <s v=""/>
  </r>
  <r>
    <n v="22"/>
    <s v="Investment A/C"/>
    <x v="2"/>
    <d v="2017-12-02T00:00:00"/>
    <m/>
    <n v="1000"/>
    <s v="Atul Axis"/>
    <s v="Done"/>
    <s v=""/>
  </r>
  <r>
    <n v="23"/>
    <s v="Mutual Funds"/>
    <x v="2"/>
    <d v="2017-12-07T00:00:00"/>
    <n v="20000"/>
    <n v="20000"/>
    <s v="Atul Axis"/>
    <s v="Done"/>
    <s v=""/>
  </r>
  <r>
    <n v="24"/>
    <s v="Vegetables &amp; Fruits"/>
    <x v="0"/>
    <d v="2017-12-05T00:00:00"/>
    <m/>
    <m/>
    <s v="Atul Axis"/>
    <s v="Pending"/>
    <n v="-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9">
  <r>
    <n v="1"/>
    <s v="House Rent"/>
    <x v="0"/>
    <d v="2017-10-01T00:00:00"/>
    <n v="15500"/>
    <n v="15500"/>
    <s v="Atul Axis"/>
    <s v="Done"/>
    <s v=""/>
  </r>
  <r>
    <n v="2"/>
    <s v="Credit Card Bill"/>
    <x v="1"/>
    <d v="2017-10-03T00:00:00"/>
    <n v="89"/>
    <n v="88.99"/>
    <s v="Atul Axis"/>
    <s v="Done"/>
    <s v=""/>
  </r>
  <r>
    <n v="3"/>
    <s v="Axis Mutual Fund"/>
    <x v="2"/>
    <d v="2017-10-01T00:00:00"/>
    <n v="2000"/>
    <n v="2000"/>
    <s v="Atul Axis"/>
    <s v="Done"/>
    <s v=""/>
  </r>
  <r>
    <n v="4"/>
    <s v="Axis Mutual Fund"/>
    <x v="2"/>
    <d v="2017-10-16T00:00:00"/>
    <n v="2000"/>
    <n v="2000"/>
    <s v="Atul Axis"/>
    <s v="Done"/>
    <s v=""/>
  </r>
  <r>
    <n v="5"/>
    <s v="Recurring Deposit"/>
    <x v="2"/>
    <d v="2017-10-05T00:00:00"/>
    <n v="20000"/>
    <n v="20000"/>
    <s v="Esha Axis"/>
    <s v="Done"/>
    <s v=""/>
  </r>
  <r>
    <n v="6"/>
    <s v="Groceries"/>
    <x v="3"/>
    <d v="2017-10-01T00:00:00"/>
    <n v="2000"/>
    <n v="3371.7"/>
    <s v="Atul Axis"/>
    <s v="Done"/>
    <s v=""/>
  </r>
  <r>
    <n v="7"/>
    <s v="Car Petrol"/>
    <x v="4"/>
    <d v="2017-10-05T00:00:00"/>
    <n v="1000"/>
    <n v="992.5"/>
    <s v="Atul Axis"/>
    <s v="Done"/>
    <s v=""/>
  </r>
  <r>
    <n v="8"/>
    <s v="DTH"/>
    <x v="0"/>
    <d v="2017-10-05T00:00:00"/>
    <n v="500"/>
    <n v="500"/>
    <s v="Atul Axis"/>
    <s v="Done"/>
    <s v=""/>
  </r>
  <r>
    <n v="9"/>
    <s v="Clothing"/>
    <x v="5"/>
    <d v="2017-10-01T00:00:00"/>
    <n v="5000"/>
    <n v="7251.01"/>
    <s v="Atul Axis"/>
    <s v="Done"/>
    <s v=""/>
  </r>
  <r>
    <n v="10"/>
    <s v="Electricity Bill"/>
    <x v="0"/>
    <d v="2017-10-15T00:00:00"/>
    <n v="500"/>
    <n v="560"/>
    <s v="Atul Axis"/>
    <s v="Done"/>
    <s v=""/>
  </r>
  <r>
    <n v="11"/>
    <s v="Mobile Bill Atul"/>
    <x v="5"/>
    <d v="2017-10-19T00:00:00"/>
    <n v="1000"/>
    <n v="1070.42"/>
    <s v="Atul Axis"/>
    <s v="Done"/>
    <s v=""/>
  </r>
  <r>
    <n v="12"/>
    <s v="Mobile Bill Esha"/>
    <x v="5"/>
    <d v="2017-10-19T00:00:00"/>
    <n v="500"/>
    <n v="470.82"/>
    <s v="Atul Axis"/>
    <s v="Done"/>
    <s v=""/>
  </r>
  <r>
    <n v="13"/>
    <s v="Internet Charges"/>
    <x v="0"/>
    <d v="2017-10-24T00:00:00"/>
    <n v="707"/>
    <n v="707"/>
    <s v="Atul Axis"/>
    <s v="Done"/>
    <s v=""/>
  </r>
  <r>
    <n v="14"/>
    <s v="Scooter Petrol"/>
    <x v="4"/>
    <d v="2017-10-01T00:00:00"/>
    <n v="250"/>
    <n v="250"/>
    <s v="Atul Axis"/>
    <s v="Done"/>
    <s v=""/>
  </r>
  <r>
    <n v="15"/>
    <s v="Vegetables &amp; Fruits"/>
    <x v="0"/>
    <d v="2017-10-02T00:00:00"/>
    <n v="500"/>
    <m/>
    <s v="Cash"/>
    <s v="Pending"/>
    <n v="-92"/>
  </r>
  <r>
    <n v="16"/>
    <s v="Maid"/>
    <x v="0"/>
    <d v="2017-10-02T00:00:00"/>
    <n v="1200"/>
    <m/>
    <s v="Cash"/>
    <s v="Pending"/>
    <n v="-92"/>
  </r>
  <r>
    <n v="17"/>
    <s v="Health Checkup"/>
    <x v="6"/>
    <d v="2017-10-10T00:00:00"/>
    <n v="1000"/>
    <n v="500"/>
    <s v="Atul Axis"/>
    <s v="Partial-Done"/>
    <n v="-84"/>
  </r>
  <r>
    <n v="18"/>
    <s v="Dairy Product (Milk etc.)"/>
    <x v="0"/>
    <d v="2017-10-02T00:00:00"/>
    <n v="800"/>
    <m/>
    <s v="Cash"/>
    <s v="Pending"/>
    <n v="-92"/>
  </r>
  <r>
    <n v="19"/>
    <s v="Car Servicing"/>
    <x v="0"/>
    <d v="2017-10-05T00:00:00"/>
    <n v="500"/>
    <m/>
    <s v="Cash"/>
    <s v="Pending"/>
    <n v="-89"/>
  </r>
  <r>
    <n v="20"/>
    <s v="LPG"/>
    <x v="0"/>
    <d v="2017-10-10T00:00:00"/>
    <n v="600"/>
    <m/>
    <s v="Cash"/>
    <s v="Pending"/>
    <n v="-84"/>
  </r>
  <r>
    <n v="21"/>
    <s v="Credit Card Bill"/>
    <x v="1"/>
    <d v="2017-10-10T00:00:00"/>
    <n v="6000"/>
    <n v="6663.05"/>
    <s v="Atul Axis"/>
    <s v="Done"/>
    <s v=""/>
  </r>
  <r>
    <n v="22"/>
    <s v="Investment A/C"/>
    <x v="2"/>
    <d v="2017-10-05T00:00:00"/>
    <m/>
    <m/>
    <s v="Atul Axis"/>
    <s v="Pending"/>
    <n v="-89"/>
  </r>
  <r>
    <n v="23"/>
    <s v="Personal"/>
    <x v="5"/>
    <d v="2017-10-01T00:00:00"/>
    <n v="10000"/>
    <n v="30370"/>
    <s v="Atul Axis"/>
    <s v="Done"/>
    <s v=""/>
  </r>
  <r>
    <n v="24"/>
    <s v="Vegetables &amp; Fruits"/>
    <x v="0"/>
    <d v="2017-09-30T00:00:00"/>
    <m/>
    <n v="208"/>
    <s v="Atul Axis"/>
    <s v="Done"/>
    <s v=""/>
  </r>
  <r>
    <n v="25"/>
    <s v="Train"/>
    <x v="4"/>
    <d v="2017-10-03T00:00:00"/>
    <n v="5613.6"/>
    <n v="5622.25"/>
    <s v="Atul Axis"/>
    <s v="Done"/>
    <s v=""/>
  </r>
  <r>
    <n v="26"/>
    <s v="Lifecell"/>
    <x v="5"/>
    <d v="2017-10-09T00:00:00"/>
    <m/>
    <n v="3500"/>
    <s v="Atul Axis"/>
    <s v="Done"/>
    <s v=""/>
  </r>
  <r>
    <n v="27"/>
    <s v="Dining Out"/>
    <x v="3"/>
    <d v="2017-10-07T00:00:00"/>
    <m/>
    <n v="221"/>
    <s v="PayTM"/>
    <s v="Done"/>
    <s v=""/>
  </r>
  <r>
    <n v="28"/>
    <s v="Clothing"/>
    <x v="5"/>
    <d v="2017-10-10T00:00:00"/>
    <m/>
    <n v="450"/>
    <s v="PayTM"/>
    <s v="Done"/>
    <s v=""/>
  </r>
  <r>
    <n v="29"/>
    <s v="Miscellaneous Personal"/>
    <x v="5"/>
    <d v="2017-10-14T00:00:00"/>
    <m/>
    <n v="2000"/>
    <s v="Axis CC"/>
    <s v="Done"/>
    <s v="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n v="1"/>
    <s v="House Rent"/>
    <x v="0"/>
    <d v="2018-01-02T00:00:00"/>
    <n v="16500"/>
    <n v="16500"/>
    <s v="Atul Axis"/>
    <s v="Done"/>
    <s v=""/>
  </r>
  <r>
    <n v="2"/>
    <s v="Credit Card Bill"/>
    <x v="1"/>
    <d v="2018-01-02T00:00:00"/>
    <n v="11044"/>
    <n v="11044"/>
    <s v="Atul Axis"/>
    <s v="Done"/>
    <s v=""/>
  </r>
  <r>
    <n v="3"/>
    <s v="Axis Mutual Fund"/>
    <x v="2"/>
    <d v="2018-01-01T00:00:00"/>
    <n v="2000"/>
    <n v="2000"/>
    <s v="Atul Axis"/>
    <s v="Done"/>
    <s v=""/>
  </r>
  <r>
    <n v="4"/>
    <s v="Axis Mutual Fund"/>
    <x v="2"/>
    <d v="2018-01-15T00:00:00"/>
    <n v="2000"/>
    <n v="2000"/>
    <s v="Atul Axis"/>
    <s v="Done"/>
    <s v=""/>
  </r>
  <r>
    <n v="5"/>
    <s v="Personal"/>
    <x v="3"/>
    <d v="2018-01-15T00:00:00"/>
    <n v="1000"/>
    <n v="998"/>
    <s v="Atul Axis"/>
    <s v="Done"/>
    <s v=""/>
  </r>
  <r>
    <n v="6"/>
    <s v="Groceries"/>
    <x v="4"/>
    <d v="2018-01-05T00:00:00"/>
    <n v="3000"/>
    <n v="4119.78"/>
    <s v="Atul Axis"/>
    <s v="Done"/>
    <s v=""/>
  </r>
  <r>
    <n v="7"/>
    <s v="Car Petrol"/>
    <x v="5"/>
    <d v="2018-01-01T00:00:00"/>
    <n v="2000"/>
    <n v="2500"/>
    <s v="Atul Axis"/>
    <s v="Done"/>
    <s v=""/>
  </r>
  <r>
    <n v="8"/>
    <s v="DTH"/>
    <x v="0"/>
    <d v="2018-01-05T00:00:00"/>
    <n v="500"/>
    <n v="500"/>
    <s v="Atul Axis"/>
    <s v="Done"/>
    <s v=""/>
  </r>
  <r>
    <n v="9"/>
    <s v="Dining Out"/>
    <x v="4"/>
    <d v="2018-01-01T00:00:00"/>
    <n v="938"/>
    <n v="938"/>
    <s v="Atul Axis"/>
    <s v="Done"/>
    <s v=""/>
  </r>
  <r>
    <n v="10"/>
    <s v="Electricity Bill"/>
    <x v="0"/>
    <d v="2018-01-15T00:00:00"/>
    <n v="500"/>
    <n v="380"/>
    <s v="Atul Axis"/>
    <s v="Done"/>
    <s v=""/>
  </r>
  <r>
    <n v="11"/>
    <s v="Mobile Bill Atul"/>
    <x v="3"/>
    <d v="2018-01-19T00:00:00"/>
    <n v="550"/>
    <m/>
    <s v="Atul Axis"/>
    <s v="Pending"/>
    <n v="4"/>
  </r>
  <r>
    <n v="12"/>
    <s v="Mobile Bill Esha"/>
    <x v="3"/>
    <d v="2018-01-19T00:00:00"/>
    <n v="500"/>
    <m/>
    <s v="Atul Axis"/>
    <s v="Pending"/>
    <n v="4"/>
  </r>
  <r>
    <n v="13"/>
    <s v="Internet Charges"/>
    <x v="0"/>
    <d v="2018-01-22T00:00:00"/>
    <n v="707"/>
    <m/>
    <s v="Atul Axis"/>
    <s v="Pending"/>
    <n v="7"/>
  </r>
  <r>
    <n v="14"/>
    <s v="Scooter Petrol"/>
    <x v="5"/>
    <d v="2018-01-02T00:00:00"/>
    <n v="500"/>
    <n v="250"/>
    <s v="Atul Axis"/>
    <s v="Done"/>
    <s v=""/>
  </r>
  <r>
    <n v="15"/>
    <s v="Vegetables &amp; Fruits"/>
    <x v="0"/>
    <d v="2018-01-05T00:00:00"/>
    <n v="1000"/>
    <n v="400"/>
    <s v="Cash"/>
    <s v="Done"/>
    <s v=""/>
  </r>
  <r>
    <n v="16"/>
    <s v="Maid"/>
    <x v="0"/>
    <d v="2018-01-02T00:00:00"/>
    <n v="1000"/>
    <n v="800"/>
    <s v="Cash"/>
    <s v="Done"/>
    <s v=""/>
  </r>
  <r>
    <n v="17"/>
    <s v="Health Checkup"/>
    <x v="6"/>
    <d v="2018-01-15T00:00:00"/>
    <n v="1000"/>
    <m/>
    <s v="Atul Axis"/>
    <s v="Pending"/>
    <n v="0"/>
  </r>
  <r>
    <n v="18"/>
    <s v="Dairy Product (Milk etc.)"/>
    <x v="0"/>
    <d v="2018-01-05T00:00:00"/>
    <n v="800"/>
    <n v="880"/>
    <s v="Cash"/>
    <s v="Done"/>
    <s v=""/>
  </r>
  <r>
    <n v="19"/>
    <s v="Car Servicing"/>
    <x v="0"/>
    <d v="2018-01-05T00:00:00"/>
    <n v="500"/>
    <n v="500"/>
    <s v="Cash"/>
    <s v="Partial-Done"/>
    <n v="-10"/>
  </r>
  <r>
    <n v="20"/>
    <s v="LPG"/>
    <x v="0"/>
    <d v="2018-01-10T00:00:00"/>
    <n v="0"/>
    <m/>
    <s v="Cash"/>
    <s v="Done"/>
    <s v=""/>
  </r>
  <r>
    <n v="21"/>
    <s v="Credit Card Bill"/>
    <x v="1"/>
    <d v="2018-01-08T00:00:00"/>
    <n v="1497"/>
    <n v="1497"/>
    <s v="Atul Axis"/>
    <s v="Done"/>
    <s v=""/>
  </r>
  <r>
    <n v="22"/>
    <s v="Miscellaneous Personal"/>
    <x v="3"/>
    <d v="2018-01-02T00:00:00"/>
    <n v="6400"/>
    <n v="6400"/>
    <s v="Atul Axis"/>
    <s v="Done"/>
    <s v=""/>
  </r>
  <r>
    <n v="23"/>
    <s v="Mutual Funds"/>
    <x v="2"/>
    <d v="2018-01-07T00:00:00"/>
    <n v="20000"/>
    <n v="20000"/>
    <s v="Atul Axis"/>
    <s v="Done"/>
    <s v=""/>
  </r>
  <r>
    <n v="24"/>
    <s v="Life Insurance"/>
    <x v="7"/>
    <d v="2018-01-28T00:00:00"/>
    <n v="7848"/>
    <m/>
    <s v="Atul Axis"/>
    <s v="Pending"/>
    <n v="1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4">
  <r>
    <n v="1"/>
    <s v="House Rent"/>
    <x v="0"/>
    <d v="2018-02-01T00:00:00"/>
    <n v="16500"/>
    <m/>
    <s v="Atul Axis"/>
    <s v="Pending"/>
    <n v="1"/>
  </r>
  <r>
    <n v="2"/>
    <s v="Credit Card Bill"/>
    <x v="1"/>
    <d v="2018-02-02T00:00:00"/>
    <n v="4895.4799999999996"/>
    <m/>
    <s v="Atul Axis"/>
    <s v="Pending"/>
    <n v="2"/>
  </r>
  <r>
    <n v="3"/>
    <s v="Axis Mutual Fund"/>
    <x v="2"/>
    <d v="2018-02-01T00:00:00"/>
    <n v="2000"/>
    <m/>
    <s v="Atul Axis"/>
    <s v="Pending"/>
    <n v="1"/>
  </r>
  <r>
    <n v="4"/>
    <s v="Axis Mutual Fund"/>
    <x v="2"/>
    <d v="2018-02-15T00:00:00"/>
    <n v="2000"/>
    <m/>
    <s v="Atul Axis"/>
    <s v="Pending"/>
    <n v="15"/>
  </r>
  <r>
    <n v="5"/>
    <s v="Personal"/>
    <x v="3"/>
    <d v="2018-02-15T00:00:00"/>
    <n v="0"/>
    <m/>
    <s v="Atul Axis"/>
    <s v="Pending"/>
    <n v="15"/>
  </r>
  <r>
    <n v="6"/>
    <s v="Groceries"/>
    <x v="4"/>
    <d v="2018-02-03T00:00:00"/>
    <n v="3000"/>
    <m/>
    <s v="Atul Axis"/>
    <s v="Pending"/>
    <n v="3"/>
  </r>
  <r>
    <n v="7"/>
    <s v="Car Petrol"/>
    <x v="5"/>
    <d v="2018-02-10T00:00:00"/>
    <n v="1000"/>
    <m/>
    <s v="Atul Axis"/>
    <s v="Pending"/>
    <n v="10"/>
  </r>
  <r>
    <n v="8"/>
    <s v="DTH"/>
    <x v="0"/>
    <d v="2018-02-05T00:00:00"/>
    <n v="500"/>
    <m/>
    <s v="Atul Axis"/>
    <s v="Pending"/>
    <n v="5"/>
  </r>
  <r>
    <n v="9"/>
    <s v="Dining Out"/>
    <x v="4"/>
    <d v="2018-02-01T00:00:00"/>
    <m/>
    <m/>
    <s v="Atul Axis"/>
    <s v="Pending"/>
    <n v="1"/>
  </r>
  <r>
    <n v="10"/>
    <s v="Electricity Bill"/>
    <x v="0"/>
    <d v="2018-02-15T00:00:00"/>
    <n v="500"/>
    <m/>
    <s v="Atul Axis"/>
    <s v="Pending"/>
    <n v="15"/>
  </r>
  <r>
    <n v="11"/>
    <s v="Mobile Bill Atul"/>
    <x v="3"/>
    <d v="2018-02-19T00:00:00"/>
    <n v="600"/>
    <m/>
    <s v="Atul Axis"/>
    <s v="Pending"/>
    <n v="19"/>
  </r>
  <r>
    <n v="12"/>
    <s v="Mobile Bill Esha"/>
    <x v="3"/>
    <d v="2018-02-19T00:00:00"/>
    <n v="500"/>
    <m/>
    <s v="Atul Axis"/>
    <s v="Pending"/>
    <n v="19"/>
  </r>
  <r>
    <n v="13"/>
    <s v="Internet Charges"/>
    <x v="0"/>
    <d v="2018-02-24T00:00:00"/>
    <n v="707"/>
    <m/>
    <s v="Atul Axis"/>
    <s v="Pending"/>
    <n v="24"/>
  </r>
  <r>
    <n v="14"/>
    <s v="Scooter Petrol"/>
    <x v="5"/>
    <d v="2018-02-10T00:00:00"/>
    <n v="500"/>
    <m/>
    <s v="Atul Axis"/>
    <s v="Pending"/>
    <n v="10"/>
  </r>
  <r>
    <n v="15"/>
    <s v="Vegetables &amp; Fruits"/>
    <x v="0"/>
    <d v="2018-02-10T00:00:00"/>
    <n v="500"/>
    <m/>
    <s v="Cash"/>
    <s v="Pending"/>
    <n v="10"/>
  </r>
  <r>
    <n v="16"/>
    <s v="Maid"/>
    <x v="0"/>
    <d v="2018-02-02T00:00:00"/>
    <n v="1000"/>
    <m/>
    <s v="Cash"/>
    <s v="Pending"/>
    <n v="2"/>
  </r>
  <r>
    <n v="17"/>
    <s v="Health Checkup"/>
    <x v="6"/>
    <d v="2018-02-15T00:00:00"/>
    <m/>
    <m/>
    <s v="Atul Axis"/>
    <s v="Pending"/>
    <n v="15"/>
  </r>
  <r>
    <n v="18"/>
    <s v="Dairy Product (Milk etc.)"/>
    <x v="0"/>
    <d v="2018-02-10T00:00:00"/>
    <n v="800"/>
    <m/>
    <s v="Cash"/>
    <s v="Pending"/>
    <n v="10"/>
  </r>
  <r>
    <n v="19"/>
    <s v="Car Servicing"/>
    <x v="0"/>
    <d v="2018-02-05T00:00:00"/>
    <n v="500"/>
    <m/>
    <s v="Cash"/>
    <s v="Pending"/>
    <n v="5"/>
  </r>
  <r>
    <n v="20"/>
    <s v="LPG"/>
    <x v="0"/>
    <d v="2018-02-03T00:00:00"/>
    <n v="800"/>
    <m/>
    <s v="Cash"/>
    <s v="Pending"/>
    <n v="3"/>
  </r>
  <r>
    <n v="21"/>
    <s v="Credit Card Bill"/>
    <x v="1"/>
    <d v="2018-02-07T00:00:00"/>
    <n v="5837.55"/>
    <m/>
    <s v="Atul Axis"/>
    <s v="Pending"/>
    <n v="7"/>
  </r>
  <r>
    <n v="22"/>
    <s v="Miscellaneous Personal"/>
    <x v="3"/>
    <d v="2018-01-02T00:00:00"/>
    <m/>
    <m/>
    <s v="Atul Axis"/>
    <s v="Pending"/>
    <n v="-29"/>
  </r>
  <r>
    <n v="23"/>
    <s v="Mutual Funds"/>
    <x v="2"/>
    <d v="2018-01-07T00:00:00"/>
    <n v="20000"/>
    <m/>
    <s v="Atul Axis"/>
    <s v="Pending"/>
    <n v="-24"/>
  </r>
  <r>
    <n v="24"/>
    <s v="Life Insurance"/>
    <x v="7"/>
    <d v="2018-01-28T00:00:00"/>
    <m/>
    <m/>
    <s v="Atul Axis"/>
    <s v="Pending"/>
    <n v="-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4">
  <r>
    <n v="1"/>
    <s v="House Rent"/>
    <x v="0"/>
    <d v="2018-04-01T00:00:00"/>
    <n v="16500"/>
    <m/>
    <s v="Atul Axis"/>
    <s v="Pending"/>
    <n v="3"/>
  </r>
  <r>
    <n v="2"/>
    <s v="Credit Card Bill"/>
    <x v="1"/>
    <d v="2018-04-02T00:00:00"/>
    <n v="5116.58"/>
    <m/>
    <s v="Atul Axis"/>
    <s v="Pending"/>
    <n v="4"/>
  </r>
  <r>
    <n v="3"/>
    <s v="Axis Mutual Fund"/>
    <x v="2"/>
    <d v="2018-04-01T00:00:00"/>
    <n v="2000"/>
    <m/>
    <s v="Atul Axis"/>
    <s v="Pending"/>
    <n v="3"/>
  </r>
  <r>
    <n v="4"/>
    <s v="Axis Mutual Fund"/>
    <x v="2"/>
    <d v="2018-04-15T00:00:00"/>
    <n v="2000"/>
    <m/>
    <s v="Atul Axis"/>
    <s v="Pending"/>
    <n v="17"/>
  </r>
  <r>
    <n v="5"/>
    <s v="Personal"/>
    <x v="3"/>
    <d v="2018-04-15T00:00:00"/>
    <n v="0"/>
    <m/>
    <s v="Atul Axis"/>
    <s v="Pending"/>
    <n v="17"/>
  </r>
  <r>
    <n v="6"/>
    <s v="Groceries"/>
    <x v="4"/>
    <d v="2018-04-03T00:00:00"/>
    <n v="3000"/>
    <m/>
    <s v="Atul Axis"/>
    <s v="Pending"/>
    <n v="5"/>
  </r>
  <r>
    <n v="7"/>
    <s v="Car Petrol"/>
    <x v="5"/>
    <d v="2018-04-10T00:00:00"/>
    <n v="0"/>
    <m/>
    <s v="Atul Axis"/>
    <s v="Pending"/>
    <n v="12"/>
  </r>
  <r>
    <n v="8"/>
    <s v="DTH"/>
    <x v="0"/>
    <d v="2018-04-05T00:00:00"/>
    <n v="500"/>
    <m/>
    <s v="Atul Axis"/>
    <s v="Pending"/>
    <n v="7"/>
  </r>
  <r>
    <n v="9"/>
    <s v="Dining Out"/>
    <x v="4"/>
    <d v="2018-04-01T00:00:00"/>
    <m/>
    <m/>
    <s v="Atul Axis"/>
    <s v="Pending"/>
    <n v="3"/>
  </r>
  <r>
    <n v="10"/>
    <s v="Electricity Bill"/>
    <x v="0"/>
    <d v="2018-04-15T00:00:00"/>
    <n v="500"/>
    <m/>
    <s v="Atul Axis"/>
    <s v="Pending"/>
    <n v="17"/>
  </r>
  <r>
    <n v="11"/>
    <s v="Mobile Bill Atul"/>
    <x v="3"/>
    <d v="2018-04-19T00:00:00"/>
    <n v="600"/>
    <m/>
    <s v="Atul Axis"/>
    <s v="Pending"/>
    <n v="21"/>
  </r>
  <r>
    <n v="12"/>
    <s v="Mobile Bill Esha"/>
    <x v="3"/>
    <d v="2018-04-19T00:00:00"/>
    <n v="500"/>
    <m/>
    <s v="Atul Axis"/>
    <s v="Pending"/>
    <n v="21"/>
  </r>
  <r>
    <n v="13"/>
    <s v="Internet Charges"/>
    <x v="0"/>
    <d v="2018-04-24T00:00:00"/>
    <n v="707"/>
    <m/>
    <s v="Atul Axis"/>
    <s v="Pending"/>
    <n v="26"/>
  </r>
  <r>
    <n v="14"/>
    <s v="Scooter Petrol"/>
    <x v="5"/>
    <d v="2018-04-01T00:00:00"/>
    <n v="500"/>
    <m/>
    <s v="Atul Axis"/>
    <s v="Pending"/>
    <n v="3"/>
  </r>
  <r>
    <n v="15"/>
    <s v="Vegetables &amp; Fruits"/>
    <x v="0"/>
    <d v="2018-04-05T00:00:00"/>
    <n v="500"/>
    <m/>
    <s v="Cash"/>
    <s v="Pending"/>
    <n v="7"/>
  </r>
  <r>
    <n v="16"/>
    <s v="Maid"/>
    <x v="0"/>
    <d v="2018-04-02T00:00:00"/>
    <n v="1000"/>
    <m/>
    <s v="Cash"/>
    <s v="Pending"/>
    <n v="4"/>
  </r>
  <r>
    <n v="17"/>
    <s v="Health Checkup"/>
    <x v="6"/>
    <d v="2018-04-15T00:00:00"/>
    <m/>
    <m/>
    <s v="Atul Axis"/>
    <s v="Pending"/>
    <n v="17"/>
  </r>
  <r>
    <n v="18"/>
    <s v="Dairy Product (Milk etc.)"/>
    <x v="0"/>
    <d v="2018-04-10T00:00:00"/>
    <n v="800"/>
    <m/>
    <s v="Cash"/>
    <s v="Pending"/>
    <n v="12"/>
  </r>
  <r>
    <n v="19"/>
    <s v="Car Servicing"/>
    <x v="0"/>
    <d v="2018-04-05T00:00:00"/>
    <n v="500"/>
    <m/>
    <s v="Cash"/>
    <s v="Pending"/>
    <n v="7"/>
  </r>
  <r>
    <n v="20"/>
    <s v="LPG"/>
    <x v="0"/>
    <d v="2018-04-01T00:00:00"/>
    <n v="700"/>
    <m/>
    <s v="Cash"/>
    <s v="Pending"/>
    <n v="3"/>
  </r>
  <r>
    <n v="21"/>
    <s v="Credit Card Bill"/>
    <x v="1"/>
    <d v="2018-04-07T00:00:00"/>
    <n v="3396.81"/>
    <m/>
    <s v="Atul Axis"/>
    <s v="Pending"/>
    <n v="9"/>
  </r>
  <r>
    <n v="22"/>
    <s v="Miscellaneous Personal"/>
    <x v="3"/>
    <d v="2018-04-02T00:00:00"/>
    <m/>
    <m/>
    <s v="Atul Axis"/>
    <s v="Pending"/>
    <n v="4"/>
  </r>
  <r>
    <n v="23"/>
    <s v="Mutual Funds"/>
    <x v="2"/>
    <d v="2018-04-07T00:00:00"/>
    <n v="0"/>
    <m/>
    <s v="Atul Axis"/>
    <s v="Pending"/>
    <n v="9"/>
  </r>
  <r>
    <n v="24"/>
    <s v="Life Insurance"/>
    <x v="7"/>
    <d v="2018-04-28T00:00:00"/>
    <m/>
    <m/>
    <s v="Atul Axis"/>
    <s v="Pending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4" rowHeaderCaption="Category">
  <location ref="K38:M46" firstHeaderRow="0" firstDataRow="1" firstDataCol="1"/>
  <pivotFields count="9">
    <pivotField showAll="0"/>
    <pivotField showAll="0"/>
    <pivotField axis="axisRow" showAll="0">
      <items count="8">
        <item x="0"/>
        <item x="2"/>
        <item x="1"/>
        <item x="3"/>
        <item x="4"/>
        <item x="5"/>
        <item x="6"/>
        <item t="default"/>
      </items>
    </pivotField>
    <pivotField numFmtId="14" showAll="0"/>
    <pivotField dataField="1" numFmtId="43" showAll="0"/>
    <pivotField dataField="1"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Projected" fld="4" baseField="2" baseItem="0"/>
    <dataField name="Actual" fld="5" baseField="2" baseItem="0"/>
  </dataFields>
  <formats count="2">
    <format dxfId="228">
      <pivotArea collapsedLevelsAreSubtotals="1" fieldPosition="0">
        <references count="1">
          <reference field="2" count="0"/>
        </references>
      </pivotArea>
    </format>
    <format dxfId="227">
      <pivotArea grandRow="1" outline="0" collapsedLevelsAreSubtotals="1" fieldPosition="0"/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5" rowHeaderCaption="Category">
  <location ref="K38:M46" firstHeaderRow="0" firstDataRow="1" firstDataCol="1"/>
  <pivotFields count="9">
    <pivotField showAll="0"/>
    <pivotField showAll="0"/>
    <pivotField axis="axisRow" showAll="0">
      <items count="8">
        <item x="0"/>
        <item x="2"/>
        <item x="1"/>
        <item x="3"/>
        <item x="4"/>
        <item x="5"/>
        <item x="6"/>
        <item t="default"/>
      </items>
    </pivotField>
    <pivotField numFmtId="14" showAll="0"/>
    <pivotField dataField="1" numFmtId="43" showAll="0"/>
    <pivotField dataField="1"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Projected" fld="4" baseField="2" baseItem="0"/>
    <dataField name="Actual" fld="5" baseField="2" baseItem="0"/>
  </dataFields>
  <formats count="2">
    <format dxfId="191">
      <pivotArea collapsedLevelsAreSubtotals="1" fieldPosition="0">
        <references count="1">
          <reference field="2" count="0"/>
        </references>
      </pivotArea>
    </format>
    <format dxfId="190">
      <pivotArea grandRow="1" outline="0" collapsedLevelsAreSubtotals="1" fieldPosition="0"/>
    </format>
  </format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4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4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4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25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4" format="26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4" format="27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4" format="28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4" format="29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44" format="30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44" format="3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6" rowHeaderCaption="Category">
  <location ref="K38:M46" firstHeaderRow="0" firstDataRow="1" firstDataCol="1"/>
  <pivotFields count="9">
    <pivotField showAll="0"/>
    <pivotField showAll="0"/>
    <pivotField axis="axisRow" showAll="0">
      <items count="8">
        <item x="0"/>
        <item x="2"/>
        <item x="1"/>
        <item x="3"/>
        <item x="4"/>
        <item x="5"/>
        <item x="6"/>
        <item t="default"/>
      </items>
    </pivotField>
    <pivotField numFmtId="14" showAll="0"/>
    <pivotField dataField="1" numFmtId="43" showAll="0"/>
    <pivotField dataField="1"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Projected" fld="4" baseField="2" baseItem="0"/>
    <dataField name="Actual" fld="5" baseField="2" baseItem="0"/>
  </dataFields>
  <formats count="2">
    <format dxfId="154">
      <pivotArea collapsedLevelsAreSubtotals="1" fieldPosition="0">
        <references count="1">
          <reference field="2" count="0"/>
        </references>
      </pivotArea>
    </format>
    <format dxfId="153">
      <pivotArea grandRow="1" outline="0" collapsedLevelsAreSubtotals="1" fieldPosition="0"/>
    </format>
  </formats>
  <chartFormats count="5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4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4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4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25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4" format="26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4" format="27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4" format="28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4" format="29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44" format="30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44" format="3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5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5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5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4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5" format="42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5" format="43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5" format="44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5" format="45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45" format="46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45" format="47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7" rowHeaderCaption="Category">
  <location ref="K38:M47" firstHeaderRow="0" firstDataRow="1" firstDataCol="1"/>
  <pivotFields count="9">
    <pivotField showAll="0"/>
    <pivotField showAll="0"/>
    <pivotField axis="axisRow" showAll="0">
      <items count="9">
        <item x="0"/>
        <item x="2"/>
        <item x="1"/>
        <item x="4"/>
        <item x="5"/>
        <item x="3"/>
        <item x="6"/>
        <item x="7"/>
        <item t="default"/>
      </items>
    </pivotField>
    <pivotField numFmtId="14" showAll="0"/>
    <pivotField dataField="1" numFmtId="43" showAll="0"/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Projected" fld="4" baseField="2" baseItem="0"/>
    <dataField name="Actual" fld="5" baseField="2" baseItem="0"/>
  </dataFields>
  <formats count="2">
    <format dxfId="115">
      <pivotArea collapsedLevelsAreSubtotals="1" fieldPosition="0">
        <references count="1">
          <reference field="2" count="0"/>
        </references>
      </pivotArea>
    </format>
    <format dxfId="114">
      <pivotArea grandRow="1" outline="0" collapsedLevelsAreSubtotals="1" fieldPosition="0"/>
    </format>
  </formats>
  <chartFormats count="7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4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4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4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25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4" format="26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4" format="27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4" format="28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4" format="29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44" format="30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44" format="3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5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5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5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4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5" format="42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5" format="43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5" format="44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5" format="45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45" format="46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45" format="47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6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6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6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6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6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6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6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6" format="5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57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6" format="58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6" format="59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6" format="60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6" format="6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46" format="62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46" format="63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6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6" format="65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8" rowHeaderCaption="Category">
  <location ref="K38:M47" firstHeaderRow="0" firstDataRow="1" firstDataCol="1"/>
  <pivotFields count="9">
    <pivotField showAll="0"/>
    <pivotField showAll="0"/>
    <pivotField axis="axisRow" showAll="0">
      <items count="9">
        <item x="0"/>
        <item x="2"/>
        <item x="1"/>
        <item x="4"/>
        <item x="5"/>
        <item x="3"/>
        <item x="6"/>
        <item x="7"/>
        <item t="default"/>
      </items>
    </pivotField>
    <pivotField numFmtId="14" showAll="0"/>
    <pivotField dataField="1" numFmtId="43" showAll="0"/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Projected" fld="4" baseField="2" baseItem="0"/>
    <dataField name="Actual" fld="5" baseField="2" baseItem="0"/>
  </dataFields>
  <formats count="2">
    <format dxfId="76">
      <pivotArea collapsedLevelsAreSubtotals="1" fieldPosition="0">
        <references count="1">
          <reference field="2" count="0"/>
        </references>
      </pivotArea>
    </format>
    <format dxfId="75">
      <pivotArea grandRow="1" outline="0" collapsedLevelsAreSubtotals="1" fieldPosition="0"/>
    </format>
  </formats>
  <chartFormats count="8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4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4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4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25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4" format="26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4" format="27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4" format="28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4" format="29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44" format="30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44" format="3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5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5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5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4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5" format="42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5" format="43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5" format="44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5" format="45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45" format="46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45" format="47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6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6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6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6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6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6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6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6" format="5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57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6" format="58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6" format="59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6" format="60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6" format="6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46" format="62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46" format="63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6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6" format="65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47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7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7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7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7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7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7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7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7" format="7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7" format="76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7" format="77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7" format="78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7" format="79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7" format="80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47" format="8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47" format="82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7" format="83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9" rowHeaderCaption="Category">
  <location ref="K38:M47" firstHeaderRow="0" firstDataRow="1" firstDataCol="1"/>
  <pivotFields count="9">
    <pivotField showAll="0"/>
    <pivotField showAll="0"/>
    <pivotField axis="axisRow" showAll="0">
      <items count="9">
        <item x="0"/>
        <item x="2"/>
        <item x="1"/>
        <item x="4"/>
        <item x="5"/>
        <item x="3"/>
        <item x="6"/>
        <item x="7"/>
        <item t="default"/>
      </items>
    </pivotField>
    <pivotField numFmtId="14" showAll="0"/>
    <pivotField dataField="1" numFmtId="43" showAll="0"/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Projected" fld="4" baseField="2" baseItem="0"/>
    <dataField name="Actual" fld="5" baseField="2" baseItem="0"/>
  </dataFields>
  <formats count="2">
    <format dxfId="37">
      <pivotArea collapsedLevelsAreSubtotals="1" fieldPosition="0">
        <references count="1">
          <reference field="2" count="0"/>
        </references>
      </pivotArea>
    </format>
    <format dxfId="36">
      <pivotArea grandRow="1" outline="0" collapsedLevelsAreSubtotals="1" fieldPosition="0"/>
    </format>
  </formats>
  <chartFormats count="10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4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4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4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25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4" format="26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4" format="27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4" format="28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4" format="29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44" format="30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44" format="3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5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5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5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4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5" format="42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5" format="43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5" format="44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5" format="45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45" format="46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45" format="47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6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6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6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6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6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6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6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6" format="5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57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6" format="58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6" format="59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6" format="60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6" format="6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46" format="62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46" format="63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6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6" format="65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47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7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7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7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7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7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7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7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7" format="7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7" format="76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7" format="77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7" format="78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7" format="79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7" format="80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47" format="8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47" format="82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7" format="83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48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8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8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8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8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8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8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8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8" format="9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9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48" format="95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48" format="96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48" format="97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48" format="98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48" format="99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48" format="100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48" format="10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Accounts" displayName="Accounts" ref="B2:C9" totalsRowShown="0">
  <autoFilter ref="B2:C9"/>
  <tableColumns count="2">
    <tableColumn id="1" name="Accounts"/>
    <tableColumn id="2" name="Type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id="10" name="Table411" displayName="Table411" ref="K21:N27" totalsRowCount="1">
  <autoFilter ref="K21:N26"/>
  <tableColumns count="4">
    <tableColumn id="1" name="Account" totalsRowLabel="Total"/>
    <tableColumn id="2" name="Salary" dataDxfId="184" totalsRowDxfId="183"/>
    <tableColumn id="3" name="Others" dataDxfId="182" totalsRowDxfId="181"/>
    <tableColumn id="4" name="Total" totalsRowFunction="sum" dataDxfId="180" totalsRowDxfId="179">
      <calculatedColumnFormula>Table411[Salary]+Table411[Others]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id="11" name="Transfer112" displayName="Transfer112" ref="A5:I8" totalsRowCount="1">
  <autoFilter ref="A5:I7"/>
  <tableColumns count="9">
    <tableColumn id="1" name="S. No." totalsRowLabel="Total"/>
    <tableColumn id="2" name="To Account"/>
    <tableColumn id="3" name="Category"/>
    <tableColumn id="4" name="Due Date" dataDxfId="178"/>
    <tableColumn id="5" name="Projected / Budgeted Amount" totalsRowFunction="sum" dataDxfId="177"/>
    <tableColumn id="6" name="Actual Amount" totalsRowFunction="sum" dataDxfId="176"/>
    <tableColumn id="7" name="From Account"/>
    <tableColumn id="8" name="Status"/>
    <tableColumn id="9" name="Days for Payment">
      <calculatedColumnFormula>IF(Transfer112[Status]="Done","",Transfer112[Due Date]-$F$1)</calculatedColumnFormula>
    </tableColumn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id="12" name="Table613" displayName="Table613" ref="K30:O35" totalsRowCount="1">
  <autoFilter ref="K30:O34"/>
  <tableColumns count="5">
    <tableColumn id="1" name="Account" totalsRowLabel="Total"/>
    <tableColumn id="2" name="Done" totalsRowFunction="sum" dataDxfId="175" totalsRowDxfId="174">
      <calculatedColumnFormula>SUMIFS(Expenses18[Actual Cost],Expenses18[Paid from Account],Table613[[#This Row],[Account]], Expenses18[Status],L$30)</calculatedColumnFormula>
    </tableColumn>
    <tableColumn id="3" name="Partial-Done" totalsRowFunction="sum" dataDxfId="173" totalsRowDxfId="172">
      <calculatedColumnFormula>SUMIFS(Expenses18[Actual Cost],Expenses18[Paid from Account],Table613[[#This Row],[Account]], Expenses18[Status],M$30)</calculatedColumnFormula>
    </tableColumn>
    <tableColumn id="4" name="Pending" totalsRowFunction="sum" dataDxfId="171" totalsRowDxfId="170">
      <calculatedColumnFormula>SUMIFS(Expenses18[Projected / Budgeted Cost],Expenses18[Paid from Account],Table613[[#This Row],[Account]], Expenses18[Status],N$30)</calculatedColumnFormula>
    </tableColumn>
    <tableColumn id="5" name="Total" totalsRowFunction="sum" dataDxfId="169" totalsRowDxfId="168">
      <calculatedColumnFormula>Table613[Done]+Table613[Partial-Done]+Table613[Pending]</calculatedColumnFormula>
    </tableColumn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13" name="Table814" displayName="Table814" ref="Q30:U34" totalsRowCount="1">
  <autoFilter ref="Q30:U33"/>
  <tableColumns count="5">
    <tableColumn id="1" name="Account" totalsRowLabel="Total"/>
    <tableColumn id="2" name="Done" totalsRowFunction="sum" dataDxfId="167" totalsRowDxfId="166">
      <calculatedColumnFormula>SUMIFS(Transfer112[Actual Amount],Transfer112[From Account],Table814[[#This Row],[Account]], Transfer112[Status],R$30)</calculatedColumnFormula>
    </tableColumn>
    <tableColumn id="3" name="Partial-Done" totalsRowFunction="sum" dataDxfId="165" totalsRowDxfId="164">
      <calculatedColumnFormula>SUMIFS(Transfer112[Actual Amount],Transfer112[From Account],Table814[[#This Row],[Account]], Transfer112[Status],S$30)</calculatedColumnFormula>
    </tableColumn>
    <tableColumn id="4" name="Pending" totalsRowFunction="sum" dataDxfId="163" totalsRowDxfId="162">
      <calculatedColumnFormula>SUMIFS(Transfer112[Projected / Budgeted Amount],Transfer112[From Account],Table814[[#This Row],[Account]], Transfer112[Status],T$30)</calculatedColumnFormula>
    </tableColumn>
    <tableColumn id="5" name="Total" totalsRowFunction="sum" dataDxfId="161" totalsRowDxfId="160">
      <calculatedColumnFormula>R31+S31+T31</calculatedColumnFormula>
    </tableColumn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4" name="Table915" displayName="Table915" ref="Q21:T27" totalsRowCount="1">
  <autoFilter ref="Q21:T26"/>
  <tableColumns count="4">
    <tableColumn id="1" name="Account" totalsRowLabel="Total"/>
    <tableColumn id="2" name="Opening Balance" totalsRowFunction="sum" dataDxfId="159"/>
    <tableColumn id="3" name="Projected Balance" totalsRowFunction="sum" dataDxfId="158">
      <calculatedColumnFormula>Table915[Opening Balance]+SUMIFS(Table411[Total],Table411[Account],Table915[[#This Row],[Account]])-SUMIF(Table613[Account],Table915[[#This Row],[Account]],Table613[Total])-SUMIF(Table814[Account],Table915[[#This Row],[Account]],Table814[Total])</calculatedColumnFormula>
    </tableColumn>
    <tableColumn id="4" name="Current Balance" totalsRowFunction="sum" dataDxfId="157" totalsRowDxfId="156">
      <calculatedColumnFormula>Table915[Opening Balance]+SUMIFS(Table411[Total],Table411[Account],Table915[[#This Row],[Account]])-SUMIF(Table613[Account],Table915[[#This Row],[Account]],Table613[Done])-SUMIF(Table814[Account],Table915[[#This Row],[Account]],Table814[Done])</calculatedColumnFormula>
    </tableColumn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5" name="Expenses1816" displayName="Expenses1816" ref="A19:I44" totalsRowCount="1">
  <autoFilter ref="A19:I43"/>
  <tableColumns count="9">
    <tableColumn id="1" name="S. No." totalsRowLabel="Total"/>
    <tableColumn id="2" name="Expense Head"/>
    <tableColumn id="3" name="Category">
      <calculatedColumnFormula>IF(Expenses1816[Expense Head]&lt;&gt;"",VLOOKUP(Expenses1816[Expense Head],ExpenseHead[],2,FALSE),"")</calculatedColumnFormula>
    </tableColumn>
    <tableColumn id="4" name="Due Date" dataDxfId="152"/>
    <tableColumn id="5" name="Projected / Budgeted Cost" totalsRowFunction="sum" dataDxfId="151" totalsRowDxfId="150"/>
    <tableColumn id="6" name="Actual Cost" totalsRowFunction="sum" dataDxfId="149" totalsRowDxfId="148"/>
    <tableColumn id="7" name="Paid from Account"/>
    <tableColumn id="8" name="Status"/>
    <tableColumn id="9" name="Days for Payment">
      <calculatedColumnFormula>IF(Expenses1816[Status]="Done","",Expenses1816[Due Date]-$F$1)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id="16" name="Table41117" displayName="Table41117" ref="K21:N27" totalsRowCount="1">
  <autoFilter ref="K21:N26"/>
  <tableColumns count="4">
    <tableColumn id="1" name="Account" totalsRowLabel="Total"/>
    <tableColumn id="2" name="Salary" dataDxfId="147" totalsRowDxfId="146"/>
    <tableColumn id="3" name="Others" dataDxfId="145" totalsRowDxfId="144"/>
    <tableColumn id="4" name="Total" totalsRowFunction="sum" dataDxfId="143" totalsRowDxfId="142">
      <calculatedColumnFormula>Table41117[Salary]+Table41117[Others]</calculatedColumnFormula>
    </tableColumn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17" name="Transfer11218" displayName="Transfer11218" ref="A5:I8" totalsRowCount="1">
  <autoFilter ref="A5:I7"/>
  <tableColumns count="9">
    <tableColumn id="1" name="S. No." totalsRowLabel="Total"/>
    <tableColumn id="2" name="To Account"/>
    <tableColumn id="3" name="Category"/>
    <tableColumn id="4" name="Due Date" dataDxfId="141"/>
    <tableColumn id="5" name="Projected / Budgeted Amount" totalsRowFunction="sum" dataDxfId="140" totalsRowDxfId="139"/>
    <tableColumn id="6" name="Actual Amount" totalsRowFunction="sum" dataDxfId="138" totalsRowDxfId="137"/>
    <tableColumn id="7" name="From Account"/>
    <tableColumn id="8" name="Status"/>
    <tableColumn id="9" name="Days for Payment">
      <calculatedColumnFormula>IF(Transfer11218[Status]="Done","",Transfer11218[Due Date]-$F$1)</calculatedColumnFormula>
    </tableColumn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id="18" name="Table61319" displayName="Table61319" ref="K30:O35" totalsRowCount="1">
  <autoFilter ref="K30:O34"/>
  <tableColumns count="5">
    <tableColumn id="1" name="Account" totalsRowLabel="Total"/>
    <tableColumn id="2" name="Done" totalsRowFunction="sum" dataDxfId="136" totalsRowDxfId="135">
      <calculatedColumnFormula>SUMIFS(Expenses1816[Actual Cost],Expenses1816[Paid from Account],Table61319[[#This Row],[Account]], Expenses1816[Status],L$30)</calculatedColumnFormula>
    </tableColumn>
    <tableColumn id="3" name="Partial-Done" totalsRowFunction="sum" dataDxfId="134" totalsRowDxfId="133">
      <calculatedColumnFormula>SUMIFS(Expenses1816[Actual Cost],Expenses1816[Paid from Account],Table61319[[#This Row],[Account]], Expenses1816[Status],M$30)</calculatedColumnFormula>
    </tableColumn>
    <tableColumn id="4" name="Pending" totalsRowFunction="sum" dataDxfId="132" totalsRowDxfId="131">
      <calculatedColumnFormula>SUMIFS(Expenses1816[Projected / Budgeted Cost],Expenses1816[Paid from Account],Table61319[[#This Row],[Account]], Expenses1816[Status],N$30)</calculatedColumnFormula>
    </tableColumn>
    <tableColumn id="5" name="Total" totalsRowFunction="sum" dataDxfId="130" totalsRowDxfId="129">
      <calculatedColumnFormula>Table61319[Done]+Table61319[Partial-Done]+Table61319[Pending]</calculatedColumnFormula>
    </tableColumn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id="19" name="Table81420" displayName="Table81420" ref="Q30:U34" totalsRowCount="1">
  <autoFilter ref="Q30:U33"/>
  <tableColumns count="5">
    <tableColumn id="1" name="Account" totalsRowLabel="Total"/>
    <tableColumn id="2" name="Done" totalsRowFunction="sum" dataDxfId="128" totalsRowDxfId="127">
      <calculatedColumnFormula>SUMIFS(Transfer11218[Actual Amount],Transfer11218[From Account],Table81420[[#This Row],[Account]], Transfer11218[Status],R$30)</calculatedColumnFormula>
    </tableColumn>
    <tableColumn id="3" name="Partial-Done" totalsRowFunction="sum" dataDxfId="126" totalsRowDxfId="125">
      <calculatedColumnFormula>SUMIFS(Transfer11218[Actual Amount],Transfer11218[From Account],Table81420[[#This Row],[Account]], Transfer11218[Status],S$30)</calculatedColumnFormula>
    </tableColumn>
    <tableColumn id="4" name="Pending" totalsRowFunction="sum" dataDxfId="124" totalsRowDxfId="123">
      <calculatedColumnFormula>SUMIFS(Transfer11218[Projected / Budgeted Amount],Transfer11218[From Account],Table81420[[#This Row],[Account]], Transfer11218[Status],T$30)</calculatedColumnFormula>
    </tableColumn>
    <tableColumn id="5" name="Total" totalsRowFunction="sum" dataDxfId="122" totalsRowDxfId="121">
      <calculatedColumnFormula>R31+S31+T31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ExpenseHead" displayName="ExpenseHead" ref="F2:G57" totalsRowShown="0" headerRowDxfId="230">
  <autoFilter ref="F2:G57"/>
  <sortState ref="F3:G57">
    <sortCondition ref="G2:G57"/>
  </sortState>
  <tableColumns count="2">
    <tableColumn id="1" name="Expense Head"/>
    <tableColumn id="2" name="Category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id="20" name="Table91521" displayName="Table91521" ref="Q21:T27" totalsRowCount="1">
  <autoFilter ref="Q21:T26"/>
  <tableColumns count="4">
    <tableColumn id="1" name="Account" totalsRowLabel="Total"/>
    <tableColumn id="2" name="Opening Balance" totalsRowFunction="sum" dataDxfId="120"/>
    <tableColumn id="3" name="Projected Balance" totalsRowFunction="sum" dataDxfId="119">
      <calculatedColumnFormula>Table91521[Opening Balance]+SUMIFS(Table41117[Total],Table41117[Account],Table91521[[#This Row],[Account]])-SUMIF(Table61319[Account],Table91521[[#This Row],[Account]],Table61319[Total])-SUMIF(Table81420[Account],Table91521[[#This Row],[Account]],Table81420[Total])</calculatedColumnFormula>
    </tableColumn>
    <tableColumn id="4" name="Current Balance" totalsRowFunction="sum" dataDxfId="118" totalsRowDxfId="117">
      <calculatedColumnFormula>Table91521[Opening Balance]+SUMIFS(Table41117[Total],Table41117[Account],Table91521[[#This Row],[Account]])-SUMIF(Table61319[Account],Table91521[[#This Row],[Account]],Table61319[Done])-SUMIF(Table81420[Account],Table91521[[#This Row],[Account]],Table81420[Done])</calculatedColumnFormula>
    </tableColumn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id="21" name="Expenses_Jan" displayName="Expenses_Jan" ref="A19:I44" totalsRowCount="1">
  <autoFilter ref="A19:I43"/>
  <tableColumns count="9">
    <tableColumn id="1" name="S. No." totalsRowLabel="Total"/>
    <tableColumn id="2" name="Expense Head"/>
    <tableColumn id="3" name="Category">
      <calculatedColumnFormula>IF(Expenses_Jan[Expense Head]&lt;&gt;"",VLOOKUP(Expenses_Jan[Expense Head],ExpenseHead[],2,FALSE),"")</calculatedColumnFormula>
    </tableColumn>
    <tableColumn id="4" name="Due Date" dataDxfId="113"/>
    <tableColumn id="5" name="Projected / Budgeted Cost" totalsRowFunction="sum" dataDxfId="112" totalsRowDxfId="111"/>
    <tableColumn id="6" name="Actual Cost" totalsRowFunction="sum" dataDxfId="110" totalsRowDxfId="109"/>
    <tableColumn id="7" name="Paid from Account"/>
    <tableColumn id="8" name="Status"/>
    <tableColumn id="9" name="Days for Payment">
      <calculatedColumnFormula>IF(Expenses_Jan[Status]="Done","",Expenses_Jan[Due Date]-$F$1)</calculatedColumnFormula>
    </tableColumn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id="22" name="Table4111723" displayName="Table4111723" ref="K21:N27" totalsRowCount="1">
  <autoFilter ref="K21:N26"/>
  <tableColumns count="4">
    <tableColumn id="1" name="Account" totalsRowLabel="Total"/>
    <tableColumn id="2" name="Salary" dataDxfId="108" totalsRowDxfId="107"/>
    <tableColumn id="3" name="Others" dataDxfId="106" totalsRowDxfId="105"/>
    <tableColumn id="4" name="Total" totalsRowFunction="sum" dataDxfId="104" totalsRowDxfId="103">
      <calculatedColumnFormula>Table4111723[Salary]+Table4111723[Others]</calculatedColumnFormula>
    </tableColumn>
  </tableColumns>
  <tableStyleInfo name="TableStyleLight10" showFirstColumn="0" showLastColumn="0" showRowStripes="1" showColumnStripes="0"/>
</table>
</file>

<file path=xl/tables/table23.xml><?xml version="1.0" encoding="utf-8"?>
<table xmlns="http://schemas.openxmlformats.org/spreadsheetml/2006/main" id="23" name="Transfer1121824" displayName="Transfer1121824" ref="A5:I8" totalsRowCount="1">
  <autoFilter ref="A5:I7"/>
  <tableColumns count="9">
    <tableColumn id="1" name="S. No." totalsRowLabel="Total"/>
    <tableColumn id="2" name="To Account"/>
    <tableColumn id="3" name="Category"/>
    <tableColumn id="4" name="Due Date" dataDxfId="102"/>
    <tableColumn id="5" name="Projected / Budgeted Amount" totalsRowFunction="sum" dataDxfId="101" totalsRowDxfId="100"/>
    <tableColumn id="6" name="Actual Amount" totalsRowFunction="sum" dataDxfId="99" totalsRowDxfId="98"/>
    <tableColumn id="7" name="From Account"/>
    <tableColumn id="8" name="Status"/>
    <tableColumn id="9" name="Days for Payment">
      <calculatedColumnFormula>IF(Transfer1121824[Status]="Done","",Transfer1121824[Due Date]-$F$1)</calculatedColumnFormula>
    </tableColumn>
  </tableColumns>
  <tableStyleInfo name="TableStyleLight14" showFirstColumn="0" showLastColumn="0" showRowStripes="1" showColumnStripes="0"/>
</table>
</file>

<file path=xl/tables/table24.xml><?xml version="1.0" encoding="utf-8"?>
<table xmlns="http://schemas.openxmlformats.org/spreadsheetml/2006/main" id="24" name="Table6131925" displayName="Table6131925" ref="K30:O35" totalsRowCount="1">
  <autoFilter ref="K30:O34"/>
  <tableColumns count="5">
    <tableColumn id="1" name="Account" totalsRowLabel="Total"/>
    <tableColumn id="2" name="Done" totalsRowFunction="sum" dataDxfId="97" totalsRowDxfId="96">
      <calculatedColumnFormula>SUMIFS(Expenses_Jan[Actual Cost],Expenses_Jan[Paid from Account],Table6131925[[#This Row],[Account]], Expenses_Jan[Status],L$30)</calculatedColumnFormula>
    </tableColumn>
    <tableColumn id="3" name="Partial-Done" totalsRowFunction="sum" dataDxfId="95" totalsRowDxfId="94">
      <calculatedColumnFormula>SUMIFS(Expenses_Jan[Actual Cost],Expenses_Jan[Paid from Account],Table6131925[[#This Row],[Account]], Expenses_Jan[Status],M$30)</calculatedColumnFormula>
    </tableColumn>
    <tableColumn id="4" name="Pending" totalsRowFunction="sum" dataDxfId="93" totalsRowDxfId="92">
      <calculatedColumnFormula>SUMIFS(Expenses_Jan[Projected / Budgeted Cost],Expenses_Jan[Paid from Account],Table6131925[[#This Row],[Account]], Expenses_Jan[Status],N$30)</calculatedColumnFormula>
    </tableColumn>
    <tableColumn id="5" name="Total" totalsRowFunction="sum" dataDxfId="91" totalsRowDxfId="90">
      <calculatedColumnFormula>Table6131925[Done]+Table6131925[Partial-Done]+Table6131925[Pending]</calculatedColumnFormula>
    </tableColumn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id="25" name="Table8142026" displayName="Table8142026" ref="Q30:U34" totalsRowCount="1">
  <autoFilter ref="Q30:U33"/>
  <tableColumns count="5">
    <tableColumn id="1" name="Account" totalsRowLabel="Total"/>
    <tableColumn id="2" name="Done" totalsRowFunction="sum" dataDxfId="89" totalsRowDxfId="88">
      <calculatedColumnFormula>SUMIFS(Transfer1121824[Actual Amount],Transfer1121824[From Account],Table8142026[[#This Row],[Account]], Transfer1121824[Status],R$30)</calculatedColumnFormula>
    </tableColumn>
    <tableColumn id="3" name="Partial-Done" totalsRowFunction="sum" dataDxfId="87" totalsRowDxfId="86">
      <calculatedColumnFormula>SUMIFS(Transfer1121824[Actual Amount],Transfer1121824[From Account],Table8142026[[#This Row],[Account]], Transfer1121824[Status],S$30)</calculatedColumnFormula>
    </tableColumn>
    <tableColumn id="4" name="Pending" totalsRowFunction="sum" dataDxfId="85" totalsRowDxfId="84">
      <calculatedColumnFormula>SUMIFS(Transfer1121824[Projected / Budgeted Amount],Transfer1121824[From Account],Table8142026[[#This Row],[Account]], Transfer1121824[Status],T$30)</calculatedColumnFormula>
    </tableColumn>
    <tableColumn id="5" name="Total" totalsRowFunction="sum" dataDxfId="83" totalsRowDxfId="82">
      <calculatedColumnFormula>R31+S31+T31</calculatedColumnFormula>
    </tableColumn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id="26" name="Table9152127" displayName="Table9152127" ref="Q21:T27" totalsRowCount="1">
  <autoFilter ref="Q21:T26"/>
  <tableColumns count="4">
    <tableColumn id="1" name="Account" totalsRowLabel="Total"/>
    <tableColumn id="2" name="Opening Balance" totalsRowFunction="sum" dataDxfId="81"/>
    <tableColumn id="3" name="Projected Balance" totalsRowFunction="sum" dataDxfId="80">
      <calculatedColumnFormula>Table9152127[Opening Balance]+SUMIFS(Table4111723[Total],Table4111723[Account],Table9152127[[#This Row],[Account]])-SUMIF(Table6131925[Account],Table9152127[[#This Row],[Account]],Table6131925[Total])-SUMIF(Table8142026[Account],Table9152127[[#This Row],[Account]],Table8142026[Total])</calculatedColumnFormula>
    </tableColumn>
    <tableColumn id="4" name="Current Balance" totalsRowFunction="sum" dataDxfId="79" totalsRowDxfId="78">
      <calculatedColumnFormula>Table9152127[Opening Balance]+SUMIFS(Table4111723[Total],Table4111723[Account],Table9152127[[#This Row],[Account]])-SUMIF(Table6131925[Account],Table9152127[[#This Row],[Account]],Table6131925[Done])-SUMIF(Table8142026[Account],Table9152127[[#This Row],[Account]],Table8142026[Done])</calculatedColumnFormula>
    </tableColumn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id="27" name="Expenses_Feb" displayName="Expenses_Feb" ref="A19:I44" totalsRowCount="1">
  <autoFilter ref="A19:I43"/>
  <tableColumns count="9">
    <tableColumn id="1" name="S. No." totalsRowLabel="Total"/>
    <tableColumn id="2" name="Expense Head"/>
    <tableColumn id="3" name="Category">
      <calculatedColumnFormula>IF(Expenses_Feb[Expense Head]&lt;&gt;"",VLOOKUP(Expenses_Feb[Expense Head],ExpenseHead[],2,FALSE),"")</calculatedColumnFormula>
    </tableColumn>
    <tableColumn id="4" name="Due Date" dataDxfId="74"/>
    <tableColumn id="5" name="Projected / Budgeted Cost" totalsRowFunction="sum" dataDxfId="73" totalsRowDxfId="72"/>
    <tableColumn id="6" name="Actual Cost" totalsRowFunction="sum" dataDxfId="71" totalsRowDxfId="70"/>
    <tableColumn id="7" name="Paid from Account"/>
    <tableColumn id="8" name="Status"/>
    <tableColumn id="9" name="Days for Payment">
      <calculatedColumnFormula>IF(Expenses_Feb[Status]="Done","",Expenses_Feb[Due Date]-$F$1)</calculatedColumnFormula>
    </tableColumn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id="28" name="Table411172329" displayName="Table411172329" ref="K21:N27" totalsRowCount="1">
  <autoFilter ref="K21:N26"/>
  <tableColumns count="4">
    <tableColumn id="1" name="Account" totalsRowLabel="Total"/>
    <tableColumn id="2" name="Salary" dataDxfId="69" totalsRowDxfId="68"/>
    <tableColumn id="3" name="Others" dataDxfId="67" totalsRowDxfId="66"/>
    <tableColumn id="4" name="Total" totalsRowFunction="sum" dataDxfId="65" totalsRowDxfId="64">
      <calculatedColumnFormula>Table411172329[Salary]+Table411172329[Others]</calculatedColumnFormula>
    </tableColumn>
  </tableColumns>
  <tableStyleInfo name="TableStyleLight10" showFirstColumn="0" showLastColumn="0" showRowStripes="1" showColumnStripes="0"/>
</table>
</file>

<file path=xl/tables/table29.xml><?xml version="1.0" encoding="utf-8"?>
<table xmlns="http://schemas.openxmlformats.org/spreadsheetml/2006/main" id="29" name="Transfer112182430" displayName="Transfer112182430" ref="A5:I8" totalsRowCount="1">
  <autoFilter ref="A5:I7"/>
  <tableColumns count="9">
    <tableColumn id="1" name="S. No." totalsRowLabel="Total"/>
    <tableColumn id="2" name="To Account"/>
    <tableColumn id="3" name="Category"/>
    <tableColumn id="4" name="Due Date" dataDxfId="63"/>
    <tableColumn id="5" name="Projected / Budgeted Amount" totalsRowFunction="sum" dataDxfId="62" totalsRowDxfId="61"/>
    <tableColumn id="6" name="Actual Amount" totalsRowFunction="sum" dataDxfId="60" totalsRowDxfId="59"/>
    <tableColumn id="7" name="From Account"/>
    <tableColumn id="8" name="Status"/>
    <tableColumn id="9" name="Days for Payment">
      <calculatedColumnFormula>IF(Transfer112182430[Status]="Done","",Transfer112182430[Due Date]-$F$1)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3" name="Expenses1" displayName="Expenses1" ref="A20:I50" totalsRowCount="1">
  <autoFilter ref="A20:I49"/>
  <tableColumns count="9">
    <tableColumn id="1" name="S. No." totalsRowLabel="Total"/>
    <tableColumn id="2" name="Expense Head"/>
    <tableColumn id="3" name="Category">
      <calculatedColumnFormula>IF(Expenses1[Expense Head]&lt;&gt;"",VLOOKUP(Expenses1[Expense Head],ExpenseHead[],2,FALSE),"")</calculatedColumnFormula>
    </tableColumn>
    <tableColumn id="4" name="Due Date" dataDxfId="226"/>
    <tableColumn id="5" name="Projected / Budgeted Cost" totalsRowFunction="sum" dataDxfId="225" totalsRowDxfId="224"/>
    <tableColumn id="6" name="Actual Cost" totalsRowFunction="sum" dataDxfId="223" totalsRowDxfId="222"/>
    <tableColumn id="7" name="Paid from Account"/>
    <tableColumn id="8" name="Status"/>
    <tableColumn id="9" name="Days for Payment">
      <calculatedColumnFormula>IF(Expenses1[Status]="Done","",Expenses1[Due Date]-$F$1)</calculatedColumnFormula>
    </tableColumn>
  </tableColumns>
  <tableStyleInfo name="TableStyleMedium6" showFirstColumn="0" showLastColumn="0" showRowStripes="1" showColumnStripes="0"/>
</table>
</file>

<file path=xl/tables/table30.xml><?xml version="1.0" encoding="utf-8"?>
<table xmlns="http://schemas.openxmlformats.org/spreadsheetml/2006/main" id="30" name="Table613192531" displayName="Table613192531" ref="K30:O35" totalsRowCount="1">
  <autoFilter ref="K30:O34"/>
  <tableColumns count="5">
    <tableColumn id="1" name="Account" totalsRowLabel="Total"/>
    <tableColumn id="2" name="Done" totalsRowFunction="sum" dataDxfId="58" totalsRowDxfId="57">
      <calculatedColumnFormula>SUMIFS(Expenses_Feb[Actual Cost],Expenses_Feb[Paid from Account],Table613192531[[#This Row],[Account]], Expenses_Feb[Status],L$30)</calculatedColumnFormula>
    </tableColumn>
    <tableColumn id="3" name="Partial-Done" totalsRowFunction="sum" dataDxfId="56" totalsRowDxfId="55">
      <calculatedColumnFormula>SUMIFS(Expenses_Feb[Actual Cost],Expenses_Feb[Paid from Account],Table613192531[[#This Row],[Account]], Expenses_Feb[Status],M$30)</calculatedColumnFormula>
    </tableColumn>
    <tableColumn id="4" name="Pending" totalsRowFunction="sum" dataDxfId="54" totalsRowDxfId="53">
      <calculatedColumnFormula>SUMIFS(Expenses_Feb[Projected / Budgeted Cost],Expenses_Feb[Paid from Account],Table613192531[[#This Row],[Account]], Expenses_Feb[Status],N$30)</calculatedColumnFormula>
    </tableColumn>
    <tableColumn id="5" name="Total" totalsRowFunction="sum" dataDxfId="52" totalsRowDxfId="51">
      <calculatedColumnFormula>Table613192531[Done]+Table613192531[Partial-Done]+Table613192531[Pending]</calculatedColumnFormula>
    </tableColumn>
  </tableColumns>
  <tableStyleInfo name="TableStyleLight11" showFirstColumn="0" showLastColumn="0" showRowStripes="1" showColumnStripes="0"/>
</table>
</file>

<file path=xl/tables/table31.xml><?xml version="1.0" encoding="utf-8"?>
<table xmlns="http://schemas.openxmlformats.org/spreadsheetml/2006/main" id="31" name="Table814202632" displayName="Table814202632" ref="Q30:U34" totalsRowCount="1">
  <autoFilter ref="Q30:U33"/>
  <tableColumns count="5">
    <tableColumn id="1" name="Account" totalsRowLabel="Total"/>
    <tableColumn id="2" name="Done" totalsRowFunction="sum" dataDxfId="50" totalsRowDxfId="49">
      <calculatedColumnFormula>SUMIFS(Transfer112182430[Actual Amount],Transfer112182430[From Account],Table814202632[[#This Row],[Account]], Transfer112182430[Status],R$30)</calculatedColumnFormula>
    </tableColumn>
    <tableColumn id="3" name="Partial-Done" totalsRowFunction="sum" dataDxfId="48" totalsRowDxfId="47">
      <calculatedColumnFormula>SUMIFS(Transfer112182430[Actual Amount],Transfer112182430[From Account],Table814202632[[#This Row],[Account]], Transfer112182430[Status],S$30)</calculatedColumnFormula>
    </tableColumn>
    <tableColumn id="4" name="Pending" totalsRowFunction="sum" dataDxfId="46" totalsRowDxfId="45">
      <calculatedColumnFormula>SUMIFS(Transfer112182430[Projected / Budgeted Amount],Transfer112182430[From Account],Table814202632[[#This Row],[Account]], Transfer112182430[Status],T$30)</calculatedColumnFormula>
    </tableColumn>
    <tableColumn id="5" name="Total" totalsRowFunction="sum" dataDxfId="44" totalsRowDxfId="43">
      <calculatedColumnFormula>R31+S31+T31</calculatedColumnFormula>
    </tableColumn>
  </tableColumns>
  <tableStyleInfo name="TableStyleLight11" showFirstColumn="0" showLastColumn="0" showRowStripes="1" showColumnStripes="0"/>
</table>
</file>

<file path=xl/tables/table32.xml><?xml version="1.0" encoding="utf-8"?>
<table xmlns="http://schemas.openxmlformats.org/spreadsheetml/2006/main" id="32" name="Table915212733" displayName="Table915212733" ref="Q21:T27" totalsRowCount="1">
  <autoFilter ref="Q21:T26"/>
  <tableColumns count="4">
    <tableColumn id="1" name="Account" totalsRowLabel="Total"/>
    <tableColumn id="2" name="Opening Balance" totalsRowFunction="sum" dataDxfId="42"/>
    <tableColumn id="3" name="Projected Balance" totalsRowFunction="sum" dataDxfId="41">
      <calculatedColumnFormula>Table915212733[Opening Balance]+SUMIFS(Table411172329[Total],Table411172329[Account],Table915212733[[#This Row],[Account]])-SUMIF(Table613192531[Account],Table915212733[[#This Row],[Account]],Table613192531[Total])-SUMIF(Table814202632[Account],Table915212733[[#This Row],[Account]],Table814202632[Total])</calculatedColumnFormula>
    </tableColumn>
    <tableColumn id="4" name="Current Balance" totalsRowFunction="sum" dataDxfId="40" totalsRowDxfId="39">
      <calculatedColumnFormula>Table915212733[Opening Balance]+SUMIFS(Table411172329[Total],Table411172329[Account],Table915212733[[#This Row],[Account]])-SUMIF(Table613192531[Account],Table915212733[[#This Row],[Account]],Table613192531[Done])-SUMIF(Table814202632[Account],Table915212733[[#This Row],[Account]],Table814202632[Done])</calculatedColumnFormula>
    </tableColumn>
  </tableColumns>
  <tableStyleInfo name="TableStyleLight11" showFirstColumn="0" showLastColumn="0" showRowStripes="1" showColumnStripes="0"/>
</table>
</file>

<file path=xl/tables/table33.xml><?xml version="1.0" encoding="utf-8"?>
<table xmlns="http://schemas.openxmlformats.org/spreadsheetml/2006/main" id="33" name="Expenses_Apr" displayName="Expenses_Apr" ref="A19:I44" totalsRowCount="1">
  <autoFilter ref="A19:I43"/>
  <tableColumns count="9">
    <tableColumn id="1" name="S. No." totalsRowLabel="Total"/>
    <tableColumn id="2" name="Expense Head"/>
    <tableColumn id="3" name="Category">
      <calculatedColumnFormula>IF(Expenses_Apr[Expense Head]&lt;&gt;"",VLOOKUP(Expenses_Apr[Expense Head],ExpenseHead[],2,FALSE),"")</calculatedColumnFormula>
    </tableColumn>
    <tableColumn id="4" name="Due Date" dataDxfId="35"/>
    <tableColumn id="5" name="Projected / Budgeted Cost" totalsRowFunction="sum" dataDxfId="34" totalsRowDxfId="33"/>
    <tableColumn id="6" name="Actual Cost" totalsRowFunction="sum" dataDxfId="32" totalsRowDxfId="31"/>
    <tableColumn id="7" name="Paid from Account"/>
    <tableColumn id="8" name="Status"/>
    <tableColumn id="9" name="Days for Payment">
      <calculatedColumnFormula>IF(Expenses_Apr[Status]="Done","",Expenses_Apr[Due Date]-$F$1)</calculatedColumnFormula>
    </tableColumn>
  </tableColumns>
  <tableStyleInfo name="TableStyleMedium6" showFirstColumn="0" showLastColumn="0" showRowStripes="1" showColumnStripes="0"/>
</table>
</file>

<file path=xl/tables/table34.xml><?xml version="1.0" encoding="utf-8"?>
<table xmlns="http://schemas.openxmlformats.org/spreadsheetml/2006/main" id="34" name="Table41117232935" displayName="Table41117232935" ref="K21:N27" totalsRowCount="1">
  <autoFilter ref="K21:N26"/>
  <tableColumns count="4">
    <tableColumn id="1" name="Account" totalsRowLabel="Total"/>
    <tableColumn id="2" name="Salary" dataDxfId="30" totalsRowDxfId="29"/>
    <tableColumn id="3" name="Others" dataDxfId="28" totalsRowDxfId="27"/>
    <tableColumn id="4" name="Total" totalsRowFunction="sum" dataDxfId="26" totalsRowDxfId="25">
      <calculatedColumnFormula>Table41117232935[Salary]+Table41117232935[Others]</calculatedColumnFormula>
    </tableColumn>
  </tableColumns>
  <tableStyleInfo name="TableStyleLight10" showFirstColumn="0" showLastColumn="0" showRowStripes="1" showColumnStripes="0"/>
</table>
</file>

<file path=xl/tables/table35.xml><?xml version="1.0" encoding="utf-8"?>
<table xmlns="http://schemas.openxmlformats.org/spreadsheetml/2006/main" id="35" name="Transfer11218243036" displayName="Transfer11218243036" ref="A5:I8" totalsRowCount="1">
  <autoFilter ref="A5:I7"/>
  <tableColumns count="9">
    <tableColumn id="1" name="S. No." totalsRowLabel="Total"/>
    <tableColumn id="2" name="To Account"/>
    <tableColumn id="3" name="Category"/>
    <tableColumn id="4" name="Due Date" dataDxfId="24"/>
    <tableColumn id="5" name="Projected / Budgeted Amount" totalsRowFunction="sum" dataDxfId="23" totalsRowDxfId="22"/>
    <tableColumn id="6" name="Actual Amount" totalsRowFunction="sum" dataDxfId="21" totalsRowDxfId="20"/>
    <tableColumn id="7" name="From Account"/>
    <tableColumn id="8" name="Status"/>
    <tableColumn id="9" name="Days for Payment">
      <calculatedColumnFormula>IF(Transfer11218243036[Status]="Done","",Transfer11218243036[Due Date]-$F$1)</calculatedColumnFormula>
    </tableColumn>
  </tableColumns>
  <tableStyleInfo name="TableStyleLight14" showFirstColumn="0" showLastColumn="0" showRowStripes="1" showColumnStripes="0"/>
</table>
</file>

<file path=xl/tables/table36.xml><?xml version="1.0" encoding="utf-8"?>
<table xmlns="http://schemas.openxmlformats.org/spreadsheetml/2006/main" id="36" name="Table61319253137" displayName="Table61319253137" ref="K30:O35" totalsRowCount="1">
  <autoFilter ref="K30:O34"/>
  <tableColumns count="5">
    <tableColumn id="1" name="Account" totalsRowLabel="Total"/>
    <tableColumn id="2" name="Done" totalsRowFunction="sum" dataDxfId="19" totalsRowDxfId="18">
      <calculatedColumnFormula>SUMIFS(Expenses_Apr[Actual Cost],Expenses_Apr[Paid from Account],Table61319253137[[#This Row],[Account]], Expenses_Apr[Status],L$30)</calculatedColumnFormula>
    </tableColumn>
    <tableColumn id="3" name="Partial-Done" totalsRowFunction="sum" dataDxfId="17" totalsRowDxfId="16">
      <calculatedColumnFormula>SUMIFS(Expenses_Apr[Actual Cost],Expenses_Apr[Paid from Account],Table61319253137[[#This Row],[Account]], Expenses_Apr[Status],M$30)</calculatedColumnFormula>
    </tableColumn>
    <tableColumn id="4" name="Pending" totalsRowFunction="sum" dataDxfId="15" totalsRowDxfId="14">
      <calculatedColumnFormula>SUMIFS(Expenses_Apr[Projected / Budgeted Cost],Expenses_Apr[Paid from Account],Table61319253137[[#This Row],[Account]], Expenses_Apr[Status],N$30)</calculatedColumnFormula>
    </tableColumn>
    <tableColumn id="5" name="Total" totalsRowFunction="sum" dataDxfId="13" totalsRowDxfId="12">
      <calculatedColumnFormula>Table61319253137[Done]+Table61319253137[Partial-Done]+Table61319253137[Pending]</calculatedColumnFormula>
    </tableColumn>
  </tableColumns>
  <tableStyleInfo name="TableStyleLight11" showFirstColumn="0" showLastColumn="0" showRowStripes="1" showColumnStripes="0"/>
</table>
</file>

<file path=xl/tables/table37.xml><?xml version="1.0" encoding="utf-8"?>
<table xmlns="http://schemas.openxmlformats.org/spreadsheetml/2006/main" id="37" name="Table81420263238" displayName="Table81420263238" ref="Q30:U34" totalsRowCount="1">
  <autoFilter ref="Q30:U33"/>
  <tableColumns count="5">
    <tableColumn id="1" name="Account" totalsRowLabel="Total"/>
    <tableColumn id="2" name="Done" totalsRowFunction="sum" dataDxfId="11" totalsRowDxfId="10">
      <calculatedColumnFormula>SUMIFS(Transfer11218243036[Actual Amount],Transfer11218243036[From Account],Table81420263238[[#This Row],[Account]], Transfer11218243036[Status],R$30)</calculatedColumnFormula>
    </tableColumn>
    <tableColumn id="3" name="Partial-Done" totalsRowFunction="sum" dataDxfId="9" totalsRowDxfId="8">
      <calculatedColumnFormula>SUMIFS(Transfer11218243036[Actual Amount],Transfer11218243036[From Account],Table81420263238[[#This Row],[Account]], Transfer11218243036[Status],S$30)</calculatedColumnFormula>
    </tableColumn>
    <tableColumn id="4" name="Pending" totalsRowFunction="sum" dataDxfId="7" totalsRowDxfId="6">
      <calculatedColumnFormula>SUMIFS(Transfer11218243036[Projected / Budgeted Amount],Transfer11218243036[From Account],Table81420263238[[#This Row],[Account]], Transfer11218243036[Status],T$30)</calculatedColumnFormula>
    </tableColumn>
    <tableColumn id="5" name="Total" totalsRowFunction="sum" dataDxfId="5" totalsRowDxfId="4">
      <calculatedColumnFormula>R31+S31+T31</calculatedColumnFormula>
    </tableColumn>
  </tableColumns>
  <tableStyleInfo name="TableStyleLight11" showFirstColumn="0" showLastColumn="0" showRowStripes="1" showColumnStripes="0"/>
</table>
</file>

<file path=xl/tables/table38.xml><?xml version="1.0" encoding="utf-8"?>
<table xmlns="http://schemas.openxmlformats.org/spreadsheetml/2006/main" id="38" name="Table91521273339" displayName="Table91521273339" ref="Q21:T27" totalsRowCount="1">
  <autoFilter ref="Q21:T26"/>
  <tableColumns count="4">
    <tableColumn id="1" name="Account" totalsRowLabel="Total"/>
    <tableColumn id="2" name="Opening Balance" totalsRowFunction="sum" dataDxfId="3"/>
    <tableColumn id="3" name="Projected Balance" totalsRowFunction="sum" dataDxfId="2">
      <calculatedColumnFormula>Table91521273339[Opening Balance]+SUMIFS(Table41117232935[Total],Table41117232935[Account],Table91521273339[[#This Row],[Account]])-SUMIF(Table61319253137[Account],Table91521273339[[#This Row],[Account]],Table61319253137[Total])-SUMIF(Table81420263238[Account],Table91521273339[[#This Row],[Account]],Table81420263238[Total])</calculatedColumnFormula>
    </tableColumn>
    <tableColumn id="4" name="Current Balance" totalsRowFunction="sum" dataDxfId="1" totalsRowDxfId="0">
      <calculatedColumnFormula>Table91521273339[Opening Balance]+SUMIFS(Table41117232935[Total],Table41117232935[Account],Table91521273339[[#This Row],[Account]])-SUMIF(Table61319253137[Account],Table91521273339[[#This Row],[Account]],Table61319253137[Done])-SUMIF(Table81420263238[Account],Table91521273339[[#This Row],[Account]],Table81420263238[Done])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K21:N27" totalsRowCount="1">
  <autoFilter ref="K21:N26"/>
  <tableColumns count="4">
    <tableColumn id="1" name="Account" totalsRowLabel="Total"/>
    <tableColumn id="2" name="Salary" dataDxfId="221" totalsRowDxfId="220"/>
    <tableColumn id="3" name="Others" dataDxfId="219" totalsRowDxfId="218"/>
    <tableColumn id="4" name="Total" totalsRowFunction="sum" dataDxfId="217" totalsRowDxfId="216">
      <calculatedColumnFormula>Table4[Salary]+Table4[Others]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ransfer1" displayName="Transfer1" ref="A5:I9" totalsRowShown="0">
  <autoFilter ref="A5:I9"/>
  <tableColumns count="9">
    <tableColumn id="1" name="S. No."/>
    <tableColumn id="2" name="To Account"/>
    <tableColumn id="3" name="Category"/>
    <tableColumn id="4" name="Due Date" dataDxfId="215"/>
    <tableColumn id="5" name="Projected / Budgeted Amount" dataDxfId="214"/>
    <tableColumn id="6" name="Actual Amount" dataDxfId="213"/>
    <tableColumn id="7" name="From Account"/>
    <tableColumn id="8" name="Status"/>
    <tableColumn id="9" name="Days for Payment">
      <calculatedColumnFormula>IF(Transfer1[Status]="Done","",Transfer1[Due Date]-$F$1)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K30:O35" totalsRowCount="1">
  <autoFilter ref="K30:O34"/>
  <tableColumns count="5">
    <tableColumn id="1" name="Account" totalsRowLabel="Total"/>
    <tableColumn id="2" name="Done" totalsRowFunction="sum" dataDxfId="212" totalsRowDxfId="211">
      <calculatedColumnFormula>SUMIFS(Expenses1[Actual Cost],Expenses1[Paid from Account],Table6[[#This Row],[Account]], Expenses1[Status],L$30)</calculatedColumnFormula>
    </tableColumn>
    <tableColumn id="3" name="Partial-Done" totalsRowFunction="sum" dataDxfId="210" totalsRowDxfId="209">
      <calculatedColumnFormula>SUMIFS(Expenses1[Actual Cost],Expenses1[Paid from Account],Table6[[#This Row],[Account]], Expenses1[Status],M$30)</calculatedColumnFormula>
    </tableColumn>
    <tableColumn id="4" name="Pending" totalsRowFunction="sum" dataDxfId="208" totalsRowDxfId="207">
      <calculatedColumnFormula>SUMIFS(Expenses1[Projected / Budgeted Cost],Expenses1[Paid from Account],Table6[[#This Row],[Account]], Expenses1[Status],N$30)</calculatedColumnFormula>
    </tableColumn>
    <tableColumn id="5" name="Total" totalsRowFunction="sum" dataDxfId="206" totalsRowDxfId="205">
      <calculatedColumnFormula>Table6[Done]+Table6[Partial-Done]+Table6[Pending]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Q30:U34" totalsRowCount="1">
  <autoFilter ref="Q30:U33"/>
  <tableColumns count="5">
    <tableColumn id="1" name="Account" totalsRowLabel="Total"/>
    <tableColumn id="2" name="Done" totalsRowFunction="sum" dataDxfId="204" totalsRowDxfId="203">
      <calculatedColumnFormula>SUMIFS(Transfer1[Actual Amount],Transfer1[From Account],Table8[[#This Row],[Account]], Transfer1[Status],R$30)</calculatedColumnFormula>
    </tableColumn>
    <tableColumn id="3" name="Partial-Done" totalsRowFunction="sum" dataDxfId="202" totalsRowDxfId="201">
      <calculatedColumnFormula>SUMIFS(Transfer1[Actual Amount],Transfer1[From Account],Table8[[#This Row],[Account]], Transfer1[Status],S$30)</calculatedColumnFormula>
    </tableColumn>
    <tableColumn id="4" name="Pending" totalsRowFunction="sum" dataDxfId="200" totalsRowDxfId="199">
      <calculatedColumnFormula>SUMIFS(Transfer1[Projected / Budgeted Amount],Transfer1[From Account],Table8[[#This Row],[Account]], Transfer1[Status],T$30)</calculatedColumnFormula>
    </tableColumn>
    <tableColumn id="5" name="Total" totalsRowFunction="sum" dataDxfId="198" totalsRowDxfId="197">
      <calculatedColumnFormula>R31+S31+T31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Q21:T27" totalsRowCount="1">
  <autoFilter ref="Q21:T26"/>
  <tableColumns count="4">
    <tableColumn id="1" name="Account" totalsRowLabel="Total"/>
    <tableColumn id="2" name="Opening Balance" totalsRowFunction="sum" dataDxfId="196"/>
    <tableColumn id="3" name="Projected Balance" totalsRowFunction="sum" dataDxfId="195">
      <calculatedColumnFormula>Table9[Opening Balance]+SUMIFS(Table4[Total],Table4[Account],Table9[[#This Row],[Account]])-SUMIF(Table6[Account],Table9[[#This Row],[Account]],Table6[Total])-SUMIF(Table8[Account],Table9[[#This Row],[Account]],Table8[Total])</calculatedColumnFormula>
    </tableColumn>
    <tableColumn id="4" name="Current Balance" totalsRowFunction="sum" dataDxfId="194" totalsRowDxfId="193">
      <calculatedColumnFormula>Table9[Opening Balance]+SUMIFS(Table4[Total],Table4[Account],Table9[[#This Row],[Account]])-SUMIF(Table6[Account],Table9[[#This Row],[Account]],Table6[Done])-SUMIF(Table8[Account],Table9[[#This Row],[Account]],Table8[Done])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7" name="Expenses18" displayName="Expenses18" ref="A19:I44" totalsRowCount="1">
  <autoFilter ref="A19:I43"/>
  <tableColumns count="9">
    <tableColumn id="1" name="S. No." totalsRowLabel="Total"/>
    <tableColumn id="2" name="Expense Head"/>
    <tableColumn id="3" name="Category">
      <calculatedColumnFormula>IF(Expenses18[Expense Head]&lt;&gt;"",VLOOKUP(Expenses18[Expense Head],ExpenseHead[],2,FALSE),"")</calculatedColumnFormula>
    </tableColumn>
    <tableColumn id="4" name="Due Date" dataDxfId="189"/>
    <tableColumn id="5" name="Projected / Budgeted Cost" totalsRowFunction="sum" dataDxfId="188" totalsRowDxfId="187"/>
    <tableColumn id="6" name="Actual Cost" totalsRowFunction="sum" dataDxfId="186" totalsRowDxfId="185"/>
    <tableColumn id="7" name="Paid from Account"/>
    <tableColumn id="8" name="Status"/>
    <tableColumn id="9" name="Days for Payment">
      <calculatedColumnFormula>IF(Expenses18[Status]="Done","",Expenses18[Due Date]-$F$1)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drawing" Target="../drawings/drawing1.xml"/><Relationship Id="rId7" Type="http://schemas.openxmlformats.org/officeDocument/2006/relationships/table" Target="../tables/table6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drawing" Target="../drawings/drawing2.xml"/><Relationship Id="rId7" Type="http://schemas.openxmlformats.org/officeDocument/2006/relationships/table" Target="../tables/table1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drawing" Target="../drawings/drawing3.xml"/><Relationship Id="rId7" Type="http://schemas.openxmlformats.org/officeDocument/2006/relationships/table" Target="../tables/table18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5.xml"/><Relationship Id="rId3" Type="http://schemas.openxmlformats.org/officeDocument/2006/relationships/drawing" Target="../drawings/drawing4.xml"/><Relationship Id="rId7" Type="http://schemas.openxmlformats.org/officeDocument/2006/relationships/table" Target="../tables/table2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Relationship Id="rId9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3" Type="http://schemas.openxmlformats.org/officeDocument/2006/relationships/drawing" Target="../drawings/drawing5.xml"/><Relationship Id="rId7" Type="http://schemas.openxmlformats.org/officeDocument/2006/relationships/table" Target="../tables/table30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9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7.xml"/><Relationship Id="rId3" Type="http://schemas.openxmlformats.org/officeDocument/2006/relationships/drawing" Target="../drawings/drawing6.xml"/><Relationship Id="rId7" Type="http://schemas.openxmlformats.org/officeDocument/2006/relationships/table" Target="../tables/table3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Relationship Id="rId9" Type="http://schemas.openxmlformats.org/officeDocument/2006/relationships/table" Target="../tables/table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7"/>
  <sheetViews>
    <sheetView workbookViewId="0">
      <selection activeCell="D23" sqref="D23"/>
    </sheetView>
  </sheetViews>
  <sheetFormatPr defaultRowHeight="15" x14ac:dyDescent="0.25"/>
  <cols>
    <col min="2" max="2" width="11.140625" customWidth="1"/>
    <col min="3" max="3" width="10.85546875" bestFit="1" customWidth="1"/>
    <col min="6" max="6" width="22.7109375" bestFit="1" customWidth="1"/>
    <col min="7" max="7" width="21.5703125" bestFit="1" customWidth="1"/>
    <col min="16" max="16" width="10.7109375" bestFit="1" customWidth="1"/>
  </cols>
  <sheetData>
    <row r="2" spans="2:17" x14ac:dyDescent="0.25">
      <c r="B2" t="s">
        <v>0</v>
      </c>
      <c r="C2" t="s">
        <v>1</v>
      </c>
      <c r="F2" s="1" t="s">
        <v>9</v>
      </c>
      <c r="G2" s="1" t="s">
        <v>10</v>
      </c>
    </row>
    <row r="3" spans="2:17" x14ac:dyDescent="0.25">
      <c r="B3" t="s">
        <v>2</v>
      </c>
      <c r="C3" t="s">
        <v>4</v>
      </c>
      <c r="F3" t="s">
        <v>36</v>
      </c>
      <c r="G3" t="s">
        <v>37</v>
      </c>
    </row>
    <row r="4" spans="2:17" x14ac:dyDescent="0.25">
      <c r="B4" t="s">
        <v>3</v>
      </c>
      <c r="C4" t="s">
        <v>4</v>
      </c>
      <c r="F4" t="s">
        <v>64</v>
      </c>
      <c r="G4" t="s">
        <v>37</v>
      </c>
      <c r="P4" t="s">
        <v>2</v>
      </c>
      <c r="Q4">
        <v>90780.35</v>
      </c>
    </row>
    <row r="5" spans="2:17" x14ac:dyDescent="0.25">
      <c r="B5" t="s">
        <v>5</v>
      </c>
      <c r="C5" t="s">
        <v>6</v>
      </c>
      <c r="F5" t="s">
        <v>79</v>
      </c>
      <c r="G5" t="s">
        <v>37</v>
      </c>
      <c r="P5" t="s">
        <v>3</v>
      </c>
      <c r="Q5">
        <v>794.18</v>
      </c>
    </row>
    <row r="6" spans="2:17" x14ac:dyDescent="0.25">
      <c r="B6" t="s">
        <v>7</v>
      </c>
      <c r="C6" t="s">
        <v>6</v>
      </c>
      <c r="F6" t="s">
        <v>31</v>
      </c>
      <c r="G6" t="s">
        <v>32</v>
      </c>
      <c r="P6" t="s">
        <v>112</v>
      </c>
    </row>
    <row r="7" spans="2:17" x14ac:dyDescent="0.25">
      <c r="B7" t="s">
        <v>15</v>
      </c>
      <c r="C7" t="s">
        <v>15</v>
      </c>
      <c r="F7" t="s">
        <v>42</v>
      </c>
      <c r="G7" t="s">
        <v>32</v>
      </c>
      <c r="P7" t="s">
        <v>113</v>
      </c>
    </row>
    <row r="8" spans="2:17" x14ac:dyDescent="0.25">
      <c r="B8" t="s">
        <v>108</v>
      </c>
      <c r="C8" t="s">
        <v>4</v>
      </c>
      <c r="F8" t="s">
        <v>40</v>
      </c>
      <c r="G8" t="s">
        <v>41</v>
      </c>
      <c r="M8" t="str">
        <f>ExpenseHead[[#Data],[Expense Head]]</f>
        <v>Gifts</v>
      </c>
      <c r="P8" t="s">
        <v>114</v>
      </c>
    </row>
    <row r="9" spans="2:17" x14ac:dyDescent="0.25">
      <c r="B9" t="s">
        <v>109</v>
      </c>
      <c r="C9" t="s">
        <v>110</v>
      </c>
      <c r="F9" t="s">
        <v>44</v>
      </c>
      <c r="G9" t="s">
        <v>45</v>
      </c>
    </row>
    <row r="10" spans="2:17" x14ac:dyDescent="0.25">
      <c r="F10" t="s">
        <v>58</v>
      </c>
      <c r="G10" t="s">
        <v>45</v>
      </c>
    </row>
    <row r="11" spans="2:17" x14ac:dyDescent="0.25">
      <c r="F11" t="s">
        <v>24</v>
      </c>
      <c r="G11" t="s">
        <v>25</v>
      </c>
    </row>
    <row r="12" spans="2:17" x14ac:dyDescent="0.25">
      <c r="F12" t="s">
        <v>30</v>
      </c>
      <c r="G12" t="s">
        <v>25</v>
      </c>
    </row>
    <row r="13" spans="2:17" x14ac:dyDescent="0.25">
      <c r="F13" t="s">
        <v>34</v>
      </c>
      <c r="G13" t="s">
        <v>25</v>
      </c>
    </row>
    <row r="14" spans="2:17" x14ac:dyDescent="0.25">
      <c r="F14" t="s">
        <v>35</v>
      </c>
      <c r="G14" t="s">
        <v>25</v>
      </c>
    </row>
    <row r="15" spans="2:17" x14ac:dyDescent="0.25">
      <c r="F15" t="s">
        <v>46</v>
      </c>
      <c r="G15" t="s">
        <v>25</v>
      </c>
    </row>
    <row r="16" spans="2:17" x14ac:dyDescent="0.25">
      <c r="F16" t="s">
        <v>47</v>
      </c>
      <c r="G16" t="s">
        <v>25</v>
      </c>
    </row>
    <row r="17" spans="6:7" x14ac:dyDescent="0.25">
      <c r="F17" t="s">
        <v>52</v>
      </c>
      <c r="G17" t="s">
        <v>25</v>
      </c>
    </row>
    <row r="18" spans="6:7" x14ac:dyDescent="0.25">
      <c r="F18" t="s">
        <v>56</v>
      </c>
      <c r="G18" t="s">
        <v>25</v>
      </c>
    </row>
    <row r="19" spans="6:7" x14ac:dyDescent="0.25">
      <c r="F19" t="s">
        <v>57</v>
      </c>
      <c r="G19" t="s">
        <v>25</v>
      </c>
    </row>
    <row r="20" spans="6:7" x14ac:dyDescent="0.25">
      <c r="F20" t="s">
        <v>59</v>
      </c>
      <c r="G20" t="s">
        <v>25</v>
      </c>
    </row>
    <row r="21" spans="6:7" x14ac:dyDescent="0.25">
      <c r="F21" t="s">
        <v>66</v>
      </c>
      <c r="G21" t="s">
        <v>25</v>
      </c>
    </row>
    <row r="22" spans="6:7" x14ac:dyDescent="0.25">
      <c r="F22" t="s">
        <v>73</v>
      </c>
      <c r="G22" t="s">
        <v>25</v>
      </c>
    </row>
    <row r="23" spans="6:7" x14ac:dyDescent="0.25">
      <c r="F23" t="s">
        <v>74</v>
      </c>
      <c r="G23" t="s">
        <v>25</v>
      </c>
    </row>
    <row r="24" spans="6:7" x14ac:dyDescent="0.25">
      <c r="F24" t="s">
        <v>75</v>
      </c>
      <c r="G24" t="s">
        <v>25</v>
      </c>
    </row>
    <row r="25" spans="6:7" x14ac:dyDescent="0.25">
      <c r="F25" t="s">
        <v>77</v>
      </c>
      <c r="G25" t="s">
        <v>25</v>
      </c>
    </row>
    <row r="26" spans="6:7" x14ac:dyDescent="0.25">
      <c r="F26" t="s">
        <v>80</v>
      </c>
      <c r="G26" t="s">
        <v>25</v>
      </c>
    </row>
    <row r="27" spans="6:7" x14ac:dyDescent="0.25">
      <c r="F27" t="s">
        <v>81</v>
      </c>
      <c r="G27" t="s">
        <v>25</v>
      </c>
    </row>
    <row r="28" spans="6:7" x14ac:dyDescent="0.25">
      <c r="F28" t="s">
        <v>49</v>
      </c>
      <c r="G28" t="s">
        <v>50</v>
      </c>
    </row>
    <row r="29" spans="6:7" x14ac:dyDescent="0.25">
      <c r="F29" t="s">
        <v>51</v>
      </c>
      <c r="G29" t="s">
        <v>50</v>
      </c>
    </row>
    <row r="30" spans="6:7" x14ac:dyDescent="0.25">
      <c r="F30" t="s">
        <v>55</v>
      </c>
      <c r="G30" t="s">
        <v>50</v>
      </c>
    </row>
    <row r="31" spans="6:7" x14ac:dyDescent="0.25">
      <c r="F31" t="s">
        <v>28</v>
      </c>
      <c r="G31" t="s">
        <v>29</v>
      </c>
    </row>
    <row r="32" spans="6:7" x14ac:dyDescent="0.25">
      <c r="F32" t="s">
        <v>26</v>
      </c>
      <c r="G32" t="s">
        <v>27</v>
      </c>
    </row>
    <row r="33" spans="6:7" x14ac:dyDescent="0.25">
      <c r="F33" t="s">
        <v>33</v>
      </c>
      <c r="G33" t="s">
        <v>27</v>
      </c>
    </row>
    <row r="34" spans="6:7" x14ac:dyDescent="0.25">
      <c r="F34" t="s">
        <v>38</v>
      </c>
      <c r="G34" t="s">
        <v>27</v>
      </c>
    </row>
    <row r="35" spans="6:7" x14ac:dyDescent="0.25">
      <c r="F35" t="s">
        <v>43</v>
      </c>
      <c r="G35" t="s">
        <v>27</v>
      </c>
    </row>
    <row r="36" spans="6:7" x14ac:dyDescent="0.25">
      <c r="F36" t="s">
        <v>48</v>
      </c>
      <c r="G36" t="s">
        <v>27</v>
      </c>
    </row>
    <row r="37" spans="6:7" x14ac:dyDescent="0.25">
      <c r="F37" t="s">
        <v>54</v>
      </c>
      <c r="G37" t="s">
        <v>27</v>
      </c>
    </row>
    <row r="38" spans="6:7" x14ac:dyDescent="0.25">
      <c r="F38" t="s">
        <v>60</v>
      </c>
      <c r="G38" t="s">
        <v>27</v>
      </c>
    </row>
    <row r="39" spans="6:7" x14ac:dyDescent="0.25">
      <c r="F39" t="s">
        <v>61</v>
      </c>
      <c r="G39" t="s">
        <v>27</v>
      </c>
    </row>
    <row r="40" spans="6:7" x14ac:dyDescent="0.25">
      <c r="F40" t="s">
        <v>62</v>
      </c>
      <c r="G40" t="s">
        <v>27</v>
      </c>
    </row>
    <row r="41" spans="6:7" x14ac:dyDescent="0.25">
      <c r="F41" t="s">
        <v>63</v>
      </c>
      <c r="G41" t="s">
        <v>27</v>
      </c>
    </row>
    <row r="42" spans="6:7" x14ac:dyDescent="0.25">
      <c r="F42" t="s">
        <v>67</v>
      </c>
      <c r="G42" t="s">
        <v>27</v>
      </c>
    </row>
    <row r="43" spans="6:7" x14ac:dyDescent="0.25">
      <c r="F43" t="s">
        <v>111</v>
      </c>
      <c r="G43" t="s">
        <v>27</v>
      </c>
    </row>
    <row r="44" spans="6:7" x14ac:dyDescent="0.25">
      <c r="F44" t="s">
        <v>20</v>
      </c>
      <c r="G44" t="s">
        <v>21</v>
      </c>
    </row>
    <row r="45" spans="6:7" x14ac:dyDescent="0.25">
      <c r="F45" t="s">
        <v>39</v>
      </c>
      <c r="G45" t="s">
        <v>21</v>
      </c>
    </row>
    <row r="46" spans="6:7" x14ac:dyDescent="0.25">
      <c r="F46" t="s">
        <v>53</v>
      </c>
      <c r="G46" t="s">
        <v>21</v>
      </c>
    </row>
    <row r="47" spans="6:7" x14ac:dyDescent="0.25">
      <c r="F47" t="s">
        <v>65</v>
      </c>
      <c r="G47" t="s">
        <v>21</v>
      </c>
    </row>
    <row r="48" spans="6:7" x14ac:dyDescent="0.25">
      <c r="F48" t="s">
        <v>68</v>
      </c>
      <c r="G48" t="s">
        <v>21</v>
      </c>
    </row>
    <row r="49" spans="6:7" x14ac:dyDescent="0.25">
      <c r="F49" t="s">
        <v>69</v>
      </c>
      <c r="G49" t="s">
        <v>21</v>
      </c>
    </row>
    <row r="50" spans="6:7" x14ac:dyDescent="0.25">
      <c r="F50" t="s">
        <v>70</v>
      </c>
      <c r="G50" t="s">
        <v>21</v>
      </c>
    </row>
    <row r="51" spans="6:7" x14ac:dyDescent="0.25">
      <c r="F51" t="s">
        <v>71</v>
      </c>
      <c r="G51" t="s">
        <v>21</v>
      </c>
    </row>
    <row r="52" spans="6:7" x14ac:dyDescent="0.25">
      <c r="F52" t="s">
        <v>18</v>
      </c>
      <c r="G52" t="s">
        <v>19</v>
      </c>
    </row>
    <row r="53" spans="6:7" x14ac:dyDescent="0.25">
      <c r="F53" t="s">
        <v>22</v>
      </c>
      <c r="G53" t="s">
        <v>19</v>
      </c>
    </row>
    <row r="54" spans="6:7" x14ac:dyDescent="0.25">
      <c r="F54" t="s">
        <v>23</v>
      </c>
      <c r="G54" t="s">
        <v>19</v>
      </c>
    </row>
    <row r="55" spans="6:7" x14ac:dyDescent="0.25">
      <c r="F55" t="s">
        <v>72</v>
      </c>
      <c r="G55" t="s">
        <v>19</v>
      </c>
    </row>
    <row r="56" spans="6:7" x14ac:dyDescent="0.25">
      <c r="F56" t="s">
        <v>76</v>
      </c>
      <c r="G56" t="s">
        <v>19</v>
      </c>
    </row>
    <row r="57" spans="6:7" x14ac:dyDescent="0.25">
      <c r="F57" t="s">
        <v>78</v>
      </c>
      <c r="G57" t="s">
        <v>19</v>
      </c>
    </row>
  </sheetData>
  <dataValidations count="2">
    <dataValidation type="list" allowBlank="1" showInputMessage="1" showErrorMessage="1" sqref="C3:C8">
      <formula1>"Saving, Current, Credit Card, Cash"</formula1>
    </dataValidation>
    <dataValidation type="list" allowBlank="1" showInputMessage="1" showErrorMessage="1" sqref="C9">
      <formula1>"Saving, Current, Credit Card, Cash, Wallet"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workbookViewId="0">
      <selection activeCell="D52" sqref="D52"/>
    </sheetView>
  </sheetViews>
  <sheetFormatPr defaultRowHeight="15" x14ac:dyDescent="0.25"/>
  <cols>
    <col min="2" max="2" width="15.5703125" customWidth="1"/>
    <col min="3" max="3" width="21.5703125" bestFit="1" customWidth="1"/>
    <col min="4" max="4" width="11.28515625" customWidth="1"/>
    <col min="5" max="5" width="29.5703125" customWidth="1"/>
    <col min="6" max="6" width="16.28515625" customWidth="1"/>
    <col min="7" max="7" width="19.28515625" customWidth="1"/>
    <col min="9" max="9" width="18.5703125" customWidth="1"/>
    <col min="10" max="10" width="2.7109375" customWidth="1"/>
    <col min="11" max="11" width="21.5703125" bestFit="1" customWidth="1"/>
    <col min="12" max="12" width="10" bestFit="1" customWidth="1"/>
    <col min="13" max="13" width="11.5703125" customWidth="1"/>
    <col min="14" max="14" width="11.28515625" customWidth="1"/>
    <col min="15" max="15" width="11.5703125" bestFit="1" customWidth="1"/>
    <col min="16" max="16" width="2.140625" customWidth="1"/>
    <col min="17" max="17" width="11" bestFit="1" customWidth="1"/>
    <col min="18" max="18" width="18" customWidth="1"/>
    <col min="19" max="19" width="19" customWidth="1"/>
    <col min="20" max="20" width="17.140625" customWidth="1"/>
    <col min="21" max="21" width="10" bestFit="1" customWidth="1"/>
  </cols>
  <sheetData>
    <row r="1" spans="1:23" ht="18.75" x14ac:dyDescent="0.3">
      <c r="B1" s="3" t="s">
        <v>86</v>
      </c>
      <c r="C1" s="4">
        <v>43009</v>
      </c>
      <c r="E1" s="3" t="s">
        <v>83</v>
      </c>
      <c r="F1" s="5">
        <f ca="1">TODAY()</f>
        <v>43193</v>
      </c>
    </row>
    <row r="4" spans="1:23" ht="18.75" x14ac:dyDescent="0.3">
      <c r="A4" s="12" t="s">
        <v>96</v>
      </c>
      <c r="B4" s="12"/>
      <c r="C4" s="12"/>
      <c r="D4" s="12"/>
      <c r="E4" s="12"/>
      <c r="F4" s="12"/>
      <c r="G4" s="12"/>
      <c r="H4" s="12"/>
      <c r="I4" s="12"/>
    </row>
    <row r="5" spans="1:23" x14ac:dyDescent="0.25">
      <c r="A5" t="s">
        <v>8</v>
      </c>
      <c r="B5" t="s">
        <v>98</v>
      </c>
      <c r="C5" t="s">
        <v>10</v>
      </c>
      <c r="D5" t="s">
        <v>11</v>
      </c>
      <c r="E5" s="6" t="s">
        <v>99</v>
      </c>
      <c r="F5" t="s">
        <v>100</v>
      </c>
      <c r="G5" t="s">
        <v>97</v>
      </c>
      <c r="H5" t="s">
        <v>16</v>
      </c>
      <c r="I5" t="s">
        <v>17</v>
      </c>
    </row>
    <row r="6" spans="1:23" x14ac:dyDescent="0.25">
      <c r="A6">
        <v>1</v>
      </c>
      <c r="B6" t="s">
        <v>3</v>
      </c>
      <c r="C6" t="s">
        <v>101</v>
      </c>
      <c r="D6" s="2">
        <v>43011</v>
      </c>
      <c r="E6" s="7">
        <v>24000</v>
      </c>
      <c r="F6" s="7">
        <v>24000</v>
      </c>
      <c r="G6" t="s">
        <v>108</v>
      </c>
      <c r="H6" t="s">
        <v>84</v>
      </c>
      <c r="I6" t="str">
        <f>IF(Transfer1[Status]="Done","",Transfer1[Due Date]-$F$1)</f>
        <v/>
      </c>
    </row>
    <row r="7" spans="1:23" x14ac:dyDescent="0.25">
      <c r="A7">
        <v>2</v>
      </c>
      <c r="B7" t="s">
        <v>15</v>
      </c>
      <c r="C7" t="s">
        <v>15</v>
      </c>
      <c r="D7" s="2">
        <v>43014</v>
      </c>
      <c r="E7" s="7">
        <v>2000</v>
      </c>
      <c r="F7" s="7">
        <v>2900</v>
      </c>
      <c r="G7" t="s">
        <v>2</v>
      </c>
      <c r="H7" t="s">
        <v>84</v>
      </c>
      <c r="I7" t="str">
        <f>IF(Transfer1[Status]="Done","",Transfer1[Due Date]-$F$1)</f>
        <v/>
      </c>
    </row>
    <row r="8" spans="1:23" x14ac:dyDescent="0.25">
      <c r="A8">
        <v>3</v>
      </c>
      <c r="B8" t="s">
        <v>109</v>
      </c>
      <c r="C8" t="s">
        <v>101</v>
      </c>
      <c r="D8" s="2">
        <v>43015</v>
      </c>
      <c r="E8" s="7">
        <v>200</v>
      </c>
      <c r="F8" s="7">
        <v>200</v>
      </c>
      <c r="G8" t="s">
        <v>2</v>
      </c>
      <c r="H8" t="s">
        <v>84</v>
      </c>
      <c r="I8" t="str">
        <f>IF(Transfer1[Status]="Done","",Transfer1[Due Date]-$F$1)</f>
        <v/>
      </c>
      <c r="V8">
        <v>15500</v>
      </c>
    </row>
    <row r="9" spans="1:23" x14ac:dyDescent="0.25">
      <c r="A9">
        <v>4</v>
      </c>
      <c r="B9" t="s">
        <v>109</v>
      </c>
      <c r="C9" t="s">
        <v>101</v>
      </c>
      <c r="D9" s="2">
        <v>43018</v>
      </c>
      <c r="E9" s="7">
        <v>500</v>
      </c>
      <c r="F9" s="7">
        <v>500</v>
      </c>
      <c r="G9" t="s">
        <v>2</v>
      </c>
      <c r="H9" t="s">
        <v>84</v>
      </c>
      <c r="I9" t="str">
        <f>IF(Transfer1[Status]="Done","",Transfer1[Due Date]-$F$1)</f>
        <v/>
      </c>
      <c r="V9">
        <v>2790</v>
      </c>
      <c r="W9">
        <f>V9*3</f>
        <v>8370</v>
      </c>
    </row>
    <row r="19" spans="1:21" ht="18.75" x14ac:dyDescent="0.3">
      <c r="A19" s="13" t="s">
        <v>87</v>
      </c>
      <c r="B19" s="13"/>
      <c r="C19" s="13"/>
      <c r="D19" s="13"/>
      <c r="E19" s="13"/>
      <c r="F19" s="13"/>
      <c r="G19" s="13"/>
      <c r="H19" s="13"/>
      <c r="I19" s="13"/>
    </row>
    <row r="20" spans="1:21" ht="18.75" x14ac:dyDescent="0.3">
      <c r="A20" t="s">
        <v>8</v>
      </c>
      <c r="B20" t="s">
        <v>9</v>
      </c>
      <c r="C20" t="s">
        <v>10</v>
      </c>
      <c r="D20" t="s">
        <v>11</v>
      </c>
      <c r="E20" t="s">
        <v>12</v>
      </c>
      <c r="F20" t="s">
        <v>13</v>
      </c>
      <c r="G20" t="s">
        <v>14</v>
      </c>
      <c r="H20" t="s">
        <v>16</v>
      </c>
      <c r="I20" t="s">
        <v>17</v>
      </c>
      <c r="K20" s="11" t="s">
        <v>88</v>
      </c>
      <c r="L20" s="11"/>
      <c r="M20" s="11"/>
      <c r="N20" s="11"/>
      <c r="Q20" s="10" t="s">
        <v>105</v>
      </c>
      <c r="R20" s="10"/>
      <c r="S20" s="10"/>
      <c r="T20" s="10"/>
    </row>
    <row r="21" spans="1:21" x14ac:dyDescent="0.25">
      <c r="A21">
        <v>1</v>
      </c>
      <c r="B21" t="s">
        <v>47</v>
      </c>
      <c r="C21" t="str">
        <f>IF(Expenses1[Expense Head]&lt;&gt;"",VLOOKUP(Expenses1[Expense Head],ExpenseHead[],2,FALSE),"")</f>
        <v>HOUSING</v>
      </c>
      <c r="D21" s="2">
        <v>43009</v>
      </c>
      <c r="E21" s="7">
        <v>15500</v>
      </c>
      <c r="F21" s="7">
        <v>15500</v>
      </c>
      <c r="G21" t="s">
        <v>2</v>
      </c>
      <c r="H21" t="s">
        <v>84</v>
      </c>
      <c r="I21" t="str">
        <f>IF(Expenses1[Status]="Done","",Expenses1[Due Date]-$F$1)</f>
        <v/>
      </c>
      <c r="K21" t="s">
        <v>89</v>
      </c>
      <c r="L21" t="s">
        <v>91</v>
      </c>
      <c r="M21" t="s">
        <v>92</v>
      </c>
      <c r="N21" t="s">
        <v>93</v>
      </c>
      <c r="Q21" t="s">
        <v>89</v>
      </c>
      <c r="R21" t="s">
        <v>90</v>
      </c>
      <c r="S21" t="s">
        <v>94</v>
      </c>
      <c r="T21" t="s">
        <v>95</v>
      </c>
    </row>
    <row r="22" spans="1:21" x14ac:dyDescent="0.25">
      <c r="A22">
        <v>2</v>
      </c>
      <c r="B22" t="s">
        <v>28</v>
      </c>
      <c r="C22" t="str">
        <f>IF(Expenses1[Expense Head]&lt;&gt;"",VLOOKUP(Expenses1[Expense Head],ExpenseHead[],2,FALSE),"")</f>
        <v>LOANS</v>
      </c>
      <c r="D22" s="2">
        <v>43011</v>
      </c>
      <c r="E22" s="7">
        <v>89</v>
      </c>
      <c r="F22" s="7">
        <v>88.99</v>
      </c>
      <c r="G22" t="s">
        <v>2</v>
      </c>
      <c r="H22" t="s">
        <v>84</v>
      </c>
      <c r="I22" t="str">
        <f>IF(Expenses1[Status]="Done","",Expenses1[Due Date]-$F$1)</f>
        <v/>
      </c>
      <c r="K22" t="s">
        <v>2</v>
      </c>
      <c r="L22" s="7">
        <v>78842</v>
      </c>
      <c r="M22" s="7">
        <v>97044</v>
      </c>
      <c r="N22" s="7">
        <f>Table4[Salary]+Table4[Others]</f>
        <v>175886</v>
      </c>
      <c r="Q22" t="s">
        <v>2</v>
      </c>
      <c r="R22" s="7"/>
      <c r="S22" s="7">
        <f>Table9[Opening Balance]+SUMIFS(Table4[Total],Table4[Account],Table9[[#This Row],[Account]])-SUMIF(Table6[Account],Table9[[#This Row],[Account]],Table6[Total])-SUMIF(Table8[Account],Table9[[#This Row],[Account]],Table8[Total])</f>
        <v>90660.260000000009</v>
      </c>
      <c r="T22" s="7">
        <f>Table9[Opening Balance]+SUMIFS(Table4[Total],Table4[Account],Table9[[#This Row],[Account]])-SUMIF(Table6[Account],Table9[[#This Row],[Account]],Table6[Done])-SUMIF(Table8[Account],Table9[[#This Row],[Account]],Table8[Done])</f>
        <v>91160.260000000009</v>
      </c>
    </row>
    <row r="23" spans="1:21" x14ac:dyDescent="0.25">
      <c r="A23">
        <v>3</v>
      </c>
      <c r="B23" t="s">
        <v>20</v>
      </c>
      <c r="C23" t="str">
        <f>IF(Expenses1[Expense Head]&lt;&gt;"",VLOOKUP(Expenses1[Expense Head],ExpenseHead[],2,FALSE),"")</f>
        <v>SAVINGS/INVESTMENT</v>
      </c>
      <c r="D23" s="2">
        <v>43009</v>
      </c>
      <c r="E23" s="7">
        <v>2000</v>
      </c>
      <c r="F23" s="7">
        <v>2000</v>
      </c>
      <c r="G23" t="s">
        <v>2</v>
      </c>
      <c r="H23" t="s">
        <v>84</v>
      </c>
      <c r="I23" t="str">
        <f>IF(Expenses1[Status]="Done","",Expenses1[Due Date]-$F$1)</f>
        <v/>
      </c>
      <c r="K23" t="s">
        <v>3</v>
      </c>
      <c r="L23" s="7"/>
      <c r="M23" s="7">
        <f>F6</f>
        <v>24000</v>
      </c>
      <c r="N23" s="7">
        <f>Table4[Salary]+Table4[Others]</f>
        <v>24000</v>
      </c>
      <c r="Q23" t="s">
        <v>3</v>
      </c>
      <c r="R23" s="7"/>
      <c r="S23" s="7">
        <f>Table9[Opening Balance]+SUMIFS(Table4[Total],Table4[Account],Table9[[#This Row],[Account]])-SUMIF(Table6[Account],Table9[[#This Row],[Account]],Table6[Total])-SUMIF(Table8[Account],Table9[[#This Row],[Account]],Table8[Total])</f>
        <v>4000</v>
      </c>
      <c r="T23" s="7">
        <f>Table9[Opening Balance]+SUMIFS(Table4[Total],Table4[Account],Table9[[#This Row],[Account]])-SUMIF(Table6[Account],Table9[[#This Row],[Account]],Table6[Done])-SUMIF(Table8[Account],Table9[[#This Row],[Account]],Table8[Done])</f>
        <v>4000</v>
      </c>
    </row>
    <row r="24" spans="1:21" x14ac:dyDescent="0.25">
      <c r="A24">
        <v>4</v>
      </c>
      <c r="B24" t="s">
        <v>20</v>
      </c>
      <c r="C24" t="str">
        <f>IF(Expenses1[Expense Head]&lt;&gt;"",VLOOKUP(Expenses1[Expense Head],ExpenseHead[],2,FALSE),"")</f>
        <v>SAVINGS/INVESTMENT</v>
      </c>
      <c r="D24" s="2">
        <v>43024</v>
      </c>
      <c r="E24" s="7">
        <v>2000</v>
      </c>
      <c r="F24" s="7">
        <v>2000</v>
      </c>
      <c r="G24" t="s">
        <v>2</v>
      </c>
      <c r="H24" t="s">
        <v>84</v>
      </c>
      <c r="I24" t="str">
        <f>IF(Expenses1[Status]="Done","",Expenses1[Due Date]-$F$1)</f>
        <v/>
      </c>
      <c r="K24" t="s">
        <v>15</v>
      </c>
      <c r="L24" s="7"/>
      <c r="M24" s="7"/>
      <c r="N24" s="7">
        <f>Table4[Salary]+Table4[Others]</f>
        <v>0</v>
      </c>
      <c r="Q24" t="s">
        <v>15</v>
      </c>
      <c r="R24" s="7"/>
      <c r="S24" s="7">
        <f>Table9[Opening Balance]+SUMIFS(Table4[Total],Table4[Account],Table9[[#This Row],[Account]])-SUMIF(Table6[Account],Table9[[#This Row],[Account]],Table6[Total])-SUMIF(Table8[Account],Table9[[#This Row],[Account]],Table8[Total])</f>
        <v>-3600</v>
      </c>
      <c r="T24" s="7">
        <f>Table9[Opening Balance]+SUMIFS(Table4[Total],Table4[Account],Table9[[#This Row],[Account]])-SUMIF(Table6[Account],Table9[[#This Row],[Account]],Table6[Done])-SUMIF(Table8[Account],Table9[[#This Row],[Account]],Table8[Done])</f>
        <v>0</v>
      </c>
    </row>
    <row r="25" spans="1:21" x14ac:dyDescent="0.25">
      <c r="A25">
        <v>5</v>
      </c>
      <c r="B25" t="s">
        <v>69</v>
      </c>
      <c r="C25" t="str">
        <f>IF(Expenses1[Expense Head]&lt;&gt;"",VLOOKUP(Expenses1[Expense Head],ExpenseHead[],2,FALSE),"")</f>
        <v>SAVINGS/INVESTMENT</v>
      </c>
      <c r="D25" s="2">
        <v>43013</v>
      </c>
      <c r="E25" s="7">
        <v>20000</v>
      </c>
      <c r="F25" s="7">
        <v>20000</v>
      </c>
      <c r="G25" t="s">
        <v>3</v>
      </c>
      <c r="H25" t="s">
        <v>84</v>
      </c>
      <c r="I25" t="str">
        <f>IF(Expenses1[Status]="Done","",Expenses1[Due Date]-$F$1)</f>
        <v/>
      </c>
      <c r="K25" t="s">
        <v>5</v>
      </c>
      <c r="L25" s="7"/>
      <c r="M25" s="7"/>
      <c r="N25" s="7">
        <f>Table4[Salary]+Table4[Others]</f>
        <v>0</v>
      </c>
      <c r="Q25" t="s">
        <v>5</v>
      </c>
      <c r="R25" s="7"/>
      <c r="S25" s="7">
        <f>Table9[Opening Balance]+SUMIFS(Table4[Total],Table4[Account],Table9[[#This Row],[Account]])-SUMIF(Table6[Account],Table9[[#This Row],[Account]],Table6[Total])-SUMIF(Table8[Account],Table9[[#This Row],[Account]],Table8[Total])</f>
        <v>0</v>
      </c>
      <c r="T25" s="7">
        <f>Table9[Opening Balance]+SUMIFS(Table4[Total],Table4[Account],Table9[[#This Row],[Account]])-SUMIF(Table6[Account],Table9[[#This Row],[Account]],Table6[Done])-SUMIF(Table8[Account],Table9[[#This Row],[Account]],Table8[Done])</f>
        <v>0</v>
      </c>
    </row>
    <row r="26" spans="1:21" x14ac:dyDescent="0.25">
      <c r="A26">
        <v>6</v>
      </c>
      <c r="B26" t="s">
        <v>42</v>
      </c>
      <c r="C26" t="str">
        <f>IF(Expenses1[Expense Head]&lt;&gt;"",VLOOKUP(Expenses1[Expense Head],ExpenseHead[],2,FALSE),"")</f>
        <v>FOOD</v>
      </c>
      <c r="D26" s="2">
        <v>43009</v>
      </c>
      <c r="E26" s="7">
        <v>2000</v>
      </c>
      <c r="F26" s="7">
        <v>3371.7</v>
      </c>
      <c r="G26" t="s">
        <v>2</v>
      </c>
      <c r="H26" t="s">
        <v>84</v>
      </c>
      <c r="I26" t="str">
        <f>IF(Expenses1[Status]="Done","",Expenses1[Due Date]-$F$1)</f>
        <v/>
      </c>
      <c r="K26" t="s">
        <v>7</v>
      </c>
      <c r="L26" s="7"/>
      <c r="M26" s="7"/>
      <c r="N26" s="7">
        <f>Table4[Salary]+Table4[Others]</f>
        <v>0</v>
      </c>
      <c r="Q26" t="s">
        <v>7</v>
      </c>
      <c r="R26" s="7"/>
      <c r="S26" s="7">
        <f>Table9[Opening Balance]+SUMIFS(Table4[Total],Table4[Account],Table9[[#This Row],[Account]])-SUMIF(Table6[Account],Table9[[#This Row],[Account]],Table6[Total])-SUMIF(Table8[Account],Table9[[#This Row],[Account]],Table8[Total])</f>
        <v>0</v>
      </c>
      <c r="T26" s="7">
        <f>Table9[Opening Balance]+SUMIFS(Table4[Total],Table4[Account],Table9[[#This Row],[Account]])-SUMIF(Table6[Account],Table9[[#This Row],[Account]],Table6[Done])-SUMIF(Table8[Account],Table9[[#This Row],[Account]],Table8[Done])</f>
        <v>0</v>
      </c>
    </row>
    <row r="27" spans="1:21" x14ac:dyDescent="0.25">
      <c r="A27">
        <v>7</v>
      </c>
      <c r="B27" t="s">
        <v>23</v>
      </c>
      <c r="C27" t="str">
        <f>IF(Expenses1[Expense Head]&lt;&gt;"",VLOOKUP(Expenses1[Expense Head],ExpenseHead[],2,FALSE),"")</f>
        <v>TRANSPORTATION</v>
      </c>
      <c r="D27" s="2">
        <v>43013</v>
      </c>
      <c r="E27" s="7">
        <v>1000</v>
      </c>
      <c r="F27" s="7">
        <f>1000-7.5</f>
        <v>992.5</v>
      </c>
      <c r="G27" t="s">
        <v>2</v>
      </c>
      <c r="H27" t="s">
        <v>84</v>
      </c>
      <c r="I27" t="str">
        <f>IF(Expenses1[Status]="Done","",Expenses1[Due Date]-$F$1)</f>
        <v/>
      </c>
      <c r="K27" t="s">
        <v>93</v>
      </c>
      <c r="L27" s="7"/>
      <c r="M27" s="7"/>
      <c r="N27" s="7">
        <f>SUBTOTAL(109,Table4[Total])</f>
        <v>199886</v>
      </c>
      <c r="Q27" t="s">
        <v>93</v>
      </c>
      <c r="R27" s="7">
        <f>SUBTOTAL(109,Table9[Opening Balance])</f>
        <v>0</v>
      </c>
      <c r="S27" s="7">
        <f>SUBTOTAL(109,Table9[Projected Balance])</f>
        <v>91060.260000000009</v>
      </c>
      <c r="T27" s="7">
        <f>SUBTOTAL(109,Table9[Current Balance])</f>
        <v>95160.260000000009</v>
      </c>
    </row>
    <row r="28" spans="1:21" x14ac:dyDescent="0.25">
      <c r="A28">
        <v>8</v>
      </c>
      <c r="B28" t="s">
        <v>34</v>
      </c>
      <c r="C28" t="str">
        <f>IF(Expenses1[Expense Head]&lt;&gt;"",VLOOKUP(Expenses1[Expense Head],ExpenseHead[],2,FALSE),"")</f>
        <v>HOUSING</v>
      </c>
      <c r="D28" s="2">
        <v>43013</v>
      </c>
      <c r="E28" s="7">
        <v>500</v>
      </c>
      <c r="F28" s="7">
        <v>500</v>
      </c>
      <c r="G28" t="s">
        <v>2</v>
      </c>
      <c r="H28" t="s">
        <v>84</v>
      </c>
      <c r="I28" t="str">
        <f>IF(Expenses1[Status]="Done","",Expenses1[Due Date]-$F$1)</f>
        <v/>
      </c>
    </row>
    <row r="29" spans="1:21" ht="18.75" x14ac:dyDescent="0.3">
      <c r="A29">
        <v>9</v>
      </c>
      <c r="B29" t="s">
        <v>26</v>
      </c>
      <c r="C29" t="str">
        <f>IF(Expenses1[Expense Head]&lt;&gt;"",VLOOKUP(Expenses1[Expense Head],ExpenseHead[],2,FALSE),"")</f>
        <v>PERSONAL</v>
      </c>
      <c r="D29" s="2">
        <v>43009</v>
      </c>
      <c r="E29" s="7">
        <v>5000</v>
      </c>
      <c r="F29" s="7">
        <f>2755+4496.01</f>
        <v>7251.01</v>
      </c>
      <c r="G29" t="s">
        <v>2</v>
      </c>
      <c r="H29" t="s">
        <v>84</v>
      </c>
      <c r="I29" t="str">
        <f>IF(Expenses1[Status]="Done","",Expenses1[Due Date]-$F$1)</f>
        <v/>
      </c>
      <c r="K29" s="10" t="s">
        <v>102</v>
      </c>
      <c r="L29" s="10"/>
      <c r="M29" s="10"/>
      <c r="N29" s="10"/>
      <c r="O29" s="10"/>
      <c r="Q29" s="10" t="s">
        <v>103</v>
      </c>
      <c r="R29" s="10"/>
      <c r="S29" s="10"/>
      <c r="T29" s="10"/>
      <c r="U29" s="10"/>
    </row>
    <row r="30" spans="1:21" x14ac:dyDescent="0.25">
      <c r="A30">
        <v>10</v>
      </c>
      <c r="B30" t="s">
        <v>35</v>
      </c>
      <c r="C30" t="str">
        <f>IF(Expenses1[Expense Head]&lt;&gt;"",VLOOKUP(Expenses1[Expense Head],ExpenseHead[],2,FALSE),"")</f>
        <v>HOUSING</v>
      </c>
      <c r="D30" s="2">
        <v>43023</v>
      </c>
      <c r="E30" s="7">
        <v>500</v>
      </c>
      <c r="F30" s="7">
        <v>560</v>
      </c>
      <c r="G30" t="s">
        <v>2</v>
      </c>
      <c r="H30" t="s">
        <v>84</v>
      </c>
      <c r="I30" t="str">
        <f>IF(Expenses1[Status]="Done","",Expenses1[Due Date]-$F$1)</f>
        <v/>
      </c>
      <c r="K30" t="s">
        <v>89</v>
      </c>
      <c r="L30" t="s">
        <v>84</v>
      </c>
      <c r="M30" t="s">
        <v>85</v>
      </c>
      <c r="N30" t="s">
        <v>82</v>
      </c>
      <c r="O30" t="s">
        <v>93</v>
      </c>
      <c r="Q30" t="s">
        <v>89</v>
      </c>
      <c r="R30" t="s">
        <v>84</v>
      </c>
      <c r="S30" t="s">
        <v>85</v>
      </c>
      <c r="T30" t="s">
        <v>82</v>
      </c>
      <c r="U30" t="s">
        <v>93</v>
      </c>
    </row>
    <row r="31" spans="1:21" x14ac:dyDescent="0.25">
      <c r="A31">
        <v>11</v>
      </c>
      <c r="B31" t="s">
        <v>61</v>
      </c>
      <c r="C31" t="str">
        <f>IF(Expenses1[Expense Head]&lt;&gt;"",VLOOKUP(Expenses1[Expense Head],ExpenseHead[],2,FALSE),"")</f>
        <v>PERSONAL</v>
      </c>
      <c r="D31" s="2">
        <v>43027</v>
      </c>
      <c r="E31" s="7">
        <v>1000</v>
      </c>
      <c r="F31" s="7">
        <v>1070.42</v>
      </c>
      <c r="G31" t="s">
        <v>2</v>
      </c>
      <c r="H31" t="s">
        <v>84</v>
      </c>
      <c r="I31" t="str">
        <f>IF(Expenses1[Status]="Done","",Expenses1[Due Date]-$F$1)</f>
        <v/>
      </c>
      <c r="K31" t="s">
        <v>2</v>
      </c>
      <c r="L31" s="7">
        <f>SUMIFS(Expenses1[Actual Cost],Expenses1[Paid from Account],Table6[[#This Row],[Account]], Expenses1[Status],L$30)</f>
        <v>81125.739999999991</v>
      </c>
      <c r="M31" s="7">
        <f>SUMIFS(Expenses1[Actual Cost],Expenses1[Paid from Account],Table6[[#This Row],[Account]], Expenses1[Status],M$30)</f>
        <v>500</v>
      </c>
      <c r="N31" s="7">
        <f>SUMIFS(Expenses1[Projected / Budgeted Cost],Expenses1[Paid from Account],Table6[[#This Row],[Account]], Expenses1[Status],N$30)</f>
        <v>0</v>
      </c>
      <c r="O31" s="7">
        <f>Table6[Done]+Table6[Partial-Done]+Table6[Pending]</f>
        <v>81625.739999999991</v>
      </c>
      <c r="Q31" t="s">
        <v>2</v>
      </c>
      <c r="R31" s="7">
        <f>SUMIFS(Transfer1[Actual Amount],Transfer1[From Account],Table8[[#This Row],[Account]], Transfer1[Status],R$30)</f>
        <v>3600</v>
      </c>
      <c r="S31" s="7">
        <f>SUMIFS(Transfer1[Actual Amount],Transfer1[From Account],Table8[[#This Row],[Account]], Transfer1[Status],S$30)</f>
        <v>0</v>
      </c>
      <c r="T31" s="7">
        <f>SUMIFS(Transfer1[Projected / Budgeted Amount],Transfer1[From Account],Table8[[#This Row],[Account]], Transfer1[Status],T$30)</f>
        <v>0</v>
      </c>
      <c r="U31" s="7">
        <f>R31+S31+T31</f>
        <v>3600</v>
      </c>
    </row>
    <row r="32" spans="1:21" x14ac:dyDescent="0.25">
      <c r="A32">
        <v>12</v>
      </c>
      <c r="B32" t="s">
        <v>62</v>
      </c>
      <c r="C32" t="str">
        <f>IF(Expenses1[Expense Head]&lt;&gt;"",VLOOKUP(Expenses1[Expense Head],ExpenseHead[],2,FALSE),"")</f>
        <v>PERSONAL</v>
      </c>
      <c r="D32" s="2">
        <v>43027</v>
      </c>
      <c r="E32" s="7">
        <v>500</v>
      </c>
      <c r="F32" s="7">
        <v>470.82</v>
      </c>
      <c r="G32" t="s">
        <v>2</v>
      </c>
      <c r="H32" t="s">
        <v>84</v>
      </c>
      <c r="I32" t="str">
        <f>IF(Expenses1[Status]="Done","",Expenses1[Due Date]-$F$1)</f>
        <v/>
      </c>
      <c r="K32" t="s">
        <v>3</v>
      </c>
      <c r="L32" s="7">
        <f>SUMIFS(Expenses1[Actual Cost],Expenses1[Paid from Account],Table6[[#This Row],[Account]], Expenses1[Status],L$30)</f>
        <v>20000</v>
      </c>
      <c r="M32" s="7">
        <f>SUMIFS(Expenses1[Actual Cost],Expenses1[Paid from Account],Table6[[#This Row],[Account]], Expenses1[Status],M$30)</f>
        <v>0</v>
      </c>
      <c r="N32" s="7">
        <f>SUMIFS(Expenses1[Projected / Budgeted Cost],Expenses1[Paid from Account],Table6[[#This Row],[Account]], Expenses1[Status],N$30)</f>
        <v>0</v>
      </c>
      <c r="O32" s="7">
        <f>Table6[Done]+Table6[Partial-Done]+Table6[Pending]</f>
        <v>20000</v>
      </c>
      <c r="Q32" t="s">
        <v>3</v>
      </c>
      <c r="R32" s="7">
        <f>SUMIFS(Transfer1[Actual Amount],Transfer1[From Account],Table8[[#This Row],[Account]], Transfer1[Status],R$30)</f>
        <v>0</v>
      </c>
      <c r="S32" s="7">
        <f>SUMIFS(Transfer1[Actual Amount],Transfer1[From Account],Table8[[#This Row],[Account]], Transfer1[Status],S$30)</f>
        <v>0</v>
      </c>
      <c r="T32" s="7">
        <f>SUMIFS(Transfer1[Projected / Budgeted Amount],Transfer1[From Account],Table8[[#This Row],[Account]], Transfer1[Status],T$30)</f>
        <v>0</v>
      </c>
      <c r="U32" s="7">
        <f>R32+S32+T32</f>
        <v>0</v>
      </c>
    </row>
    <row r="33" spans="1:21" x14ac:dyDescent="0.25">
      <c r="A33">
        <v>13</v>
      </c>
      <c r="B33" t="s">
        <v>52</v>
      </c>
      <c r="C33" t="str">
        <f>IF(Expenses1[Expense Head]&lt;&gt;"",VLOOKUP(Expenses1[Expense Head],ExpenseHead[],2,FALSE),"")</f>
        <v>HOUSING</v>
      </c>
      <c r="D33" s="2">
        <v>43032</v>
      </c>
      <c r="E33" s="7">
        <v>707</v>
      </c>
      <c r="F33" s="7">
        <v>707</v>
      </c>
      <c r="G33" t="s">
        <v>2</v>
      </c>
      <c r="H33" t="s">
        <v>84</v>
      </c>
      <c r="I33" t="str">
        <f>IF(Expenses1[Status]="Done","",Expenses1[Due Date]-$F$1)</f>
        <v/>
      </c>
      <c r="K33" t="s">
        <v>15</v>
      </c>
      <c r="L33" s="7">
        <f>SUMIFS(Expenses1[Actual Cost],Expenses1[Paid from Account],Table6[[#This Row],[Account]], Expenses1[Status],L$30)</f>
        <v>0</v>
      </c>
      <c r="M33" s="7">
        <f>SUMIFS(Expenses1[Actual Cost],Expenses1[Paid from Account],Table6[[#This Row],[Account]], Expenses1[Status],M$30)</f>
        <v>0</v>
      </c>
      <c r="N33" s="7">
        <f>SUMIFS(Expenses1[Projected / Budgeted Cost],Expenses1[Paid from Account],Table6[[#This Row],[Account]], Expenses1[Status],N$30)</f>
        <v>3600</v>
      </c>
      <c r="O33" s="7">
        <f>Table6[Done]+Table6[Partial-Done]+Table6[Pending]</f>
        <v>3600</v>
      </c>
      <c r="Q33" t="s">
        <v>15</v>
      </c>
      <c r="R33" s="7">
        <f>SUMIFS(Transfer1[Actual Amount],Transfer1[From Account],Table8[[#This Row],[Account]], Transfer1[Status],R$30)</f>
        <v>0</v>
      </c>
      <c r="S33" s="7">
        <f>SUMIFS(Transfer1[Actual Amount],Transfer1[From Account],Table8[[#This Row],[Account]], Transfer1[Status],S$30)</f>
        <v>0</v>
      </c>
      <c r="T33" s="7">
        <f>SUMIFS(Transfer1[Projected / Budgeted Amount],Transfer1[From Account],Table8[[#This Row],[Account]], Transfer1[Status],T$30)</f>
        <v>0</v>
      </c>
      <c r="U33" s="7">
        <f>R33+S33+T33</f>
        <v>0</v>
      </c>
    </row>
    <row r="34" spans="1:21" x14ac:dyDescent="0.25">
      <c r="A34">
        <v>14</v>
      </c>
      <c r="B34" t="s">
        <v>72</v>
      </c>
      <c r="C34" t="str">
        <f>IF(Expenses1[Expense Head]&lt;&gt;"",VLOOKUP(Expenses1[Expense Head],ExpenseHead[],2,FALSE),"")</f>
        <v>TRANSPORTATION</v>
      </c>
      <c r="D34" s="2">
        <v>43009</v>
      </c>
      <c r="E34" s="7">
        <v>250</v>
      </c>
      <c r="F34" s="7">
        <v>250</v>
      </c>
      <c r="G34" t="s">
        <v>2</v>
      </c>
      <c r="H34" t="s">
        <v>84</v>
      </c>
      <c r="I34" t="str">
        <f>IF(Expenses1[Status]="Done","",Expenses1[Due Date]-$F$1)</f>
        <v/>
      </c>
      <c r="K34" t="s">
        <v>109</v>
      </c>
      <c r="L34" s="7">
        <f>SUMIFS(Expenses1[Actual Cost],Expenses1[Paid from Account],Table6[[#This Row],[Account]], Expenses1[Status],L$30)</f>
        <v>671</v>
      </c>
      <c r="M34" s="7">
        <f>SUMIFS(Expenses1[Actual Cost],Expenses1[Paid from Account],Table6[[#This Row],[Account]], Expenses1[Status],M$30)</f>
        <v>0</v>
      </c>
      <c r="N34" s="7">
        <f>SUMIFS(Expenses1[Projected / Budgeted Cost],Expenses1[Paid from Account],Table6[[#This Row],[Account]], Expenses1[Status],N$30)</f>
        <v>0</v>
      </c>
      <c r="O34" s="7">
        <f>Table6[Done]+Table6[Partial-Done]+Table6[Pending]</f>
        <v>671</v>
      </c>
      <c r="Q34" t="s">
        <v>93</v>
      </c>
      <c r="R34" s="7">
        <f>SUBTOTAL(109,Table8[Done])</f>
        <v>3600</v>
      </c>
      <c r="S34" s="7">
        <f>SUBTOTAL(109,Table8[Partial-Done])</f>
        <v>0</v>
      </c>
      <c r="T34" s="7">
        <f>SUBTOTAL(109,Table8[Pending])</f>
        <v>0</v>
      </c>
      <c r="U34" s="7">
        <f>SUBTOTAL(109,Table8[Total])</f>
        <v>3600</v>
      </c>
    </row>
    <row r="35" spans="1:21" x14ac:dyDescent="0.25">
      <c r="A35">
        <v>15</v>
      </c>
      <c r="B35" t="s">
        <v>77</v>
      </c>
      <c r="C35" t="str">
        <f>IF(Expenses1[Expense Head]&lt;&gt;"",VLOOKUP(Expenses1[Expense Head],ExpenseHead[],2,FALSE),"")</f>
        <v>HOUSING</v>
      </c>
      <c r="D35" s="2">
        <v>43010</v>
      </c>
      <c r="E35" s="7">
        <v>500</v>
      </c>
      <c r="F35" s="7"/>
      <c r="G35" t="s">
        <v>15</v>
      </c>
      <c r="H35" t="s">
        <v>82</v>
      </c>
      <c r="I35">
        <f ca="1">IF(Expenses1[Status]="Done","",Expenses1[Due Date]-$F$1)</f>
        <v>-183</v>
      </c>
      <c r="K35" t="s">
        <v>93</v>
      </c>
      <c r="L35" s="7">
        <f>SUBTOTAL(109,Table6[Done])</f>
        <v>101796.73999999999</v>
      </c>
      <c r="M35" s="7">
        <f>SUBTOTAL(109,Table6[Partial-Done])</f>
        <v>500</v>
      </c>
      <c r="N35" s="7">
        <f>SUBTOTAL(109,Table6[Pending])</f>
        <v>3600</v>
      </c>
      <c r="O35" s="7">
        <f>SUBTOTAL(109,Table6[Total])</f>
        <v>105896.73999999999</v>
      </c>
    </row>
    <row r="36" spans="1:21" x14ac:dyDescent="0.25">
      <c r="A36">
        <v>16</v>
      </c>
      <c r="B36" t="s">
        <v>57</v>
      </c>
      <c r="C36" t="str">
        <f>IF(Expenses1[Expense Head]&lt;&gt;"",VLOOKUP(Expenses1[Expense Head],ExpenseHead[],2,FALSE),"")</f>
        <v>HOUSING</v>
      </c>
      <c r="D36" s="2">
        <v>43010</v>
      </c>
      <c r="E36" s="7">
        <v>1200</v>
      </c>
      <c r="F36" s="7"/>
      <c r="G36" t="s">
        <v>15</v>
      </c>
      <c r="H36" t="s">
        <v>82</v>
      </c>
      <c r="I36">
        <f ca="1">IF(Expenses1[Status]="Done","",Expenses1[Due Date]-$F$1)</f>
        <v>-183</v>
      </c>
    </row>
    <row r="37" spans="1:21" x14ac:dyDescent="0.25">
      <c r="A37">
        <v>17</v>
      </c>
      <c r="B37" t="s">
        <v>44</v>
      </c>
      <c r="C37" t="str">
        <f>IF(Expenses1[Expense Head]&lt;&gt;"",VLOOKUP(Expenses1[Expense Head],ExpenseHead[],2,FALSE),"")</f>
        <v>HEALTH</v>
      </c>
      <c r="D37" s="2">
        <v>43018</v>
      </c>
      <c r="E37" s="7">
        <v>1000</v>
      </c>
      <c r="F37" s="7">
        <f>300+200</f>
        <v>500</v>
      </c>
      <c r="G37" t="s">
        <v>2</v>
      </c>
      <c r="H37" t="s">
        <v>85</v>
      </c>
      <c r="I37">
        <f ca="1">IF(Expenses1[Status]="Done","",Expenses1[Due Date]-$F$1)</f>
        <v>-175</v>
      </c>
    </row>
    <row r="38" spans="1:21" x14ac:dyDescent="0.25">
      <c r="A38">
        <v>18</v>
      </c>
      <c r="B38" t="s">
        <v>30</v>
      </c>
      <c r="C38" t="str">
        <f>IF(Expenses1[Expense Head]&lt;&gt;"",VLOOKUP(Expenses1[Expense Head],ExpenseHead[],2,FALSE),"")</f>
        <v>HOUSING</v>
      </c>
      <c r="D38" s="2">
        <v>43010</v>
      </c>
      <c r="E38" s="7">
        <v>800</v>
      </c>
      <c r="F38" s="7"/>
      <c r="G38" t="s">
        <v>15</v>
      </c>
      <c r="H38" t="s">
        <v>82</v>
      </c>
      <c r="I38">
        <f ca="1">IF(Expenses1[Status]="Done","",Expenses1[Due Date]-$F$1)</f>
        <v>-183</v>
      </c>
      <c r="K38" s="8" t="s">
        <v>10</v>
      </c>
      <c r="L38" t="s">
        <v>106</v>
      </c>
      <c r="M38" t="s">
        <v>107</v>
      </c>
    </row>
    <row r="39" spans="1:21" x14ac:dyDescent="0.25">
      <c r="A39">
        <v>19</v>
      </c>
      <c r="B39" t="s">
        <v>24</v>
      </c>
      <c r="C39" t="str">
        <f>IF(Expenses1[Expense Head]&lt;&gt;"",VLOOKUP(Expenses1[Expense Head],ExpenseHead[],2,FALSE),"")</f>
        <v>HOUSING</v>
      </c>
      <c r="D39" s="2">
        <v>43013</v>
      </c>
      <c r="E39" s="7">
        <v>500</v>
      </c>
      <c r="F39" s="7"/>
      <c r="G39" t="s">
        <v>15</v>
      </c>
      <c r="H39" t="s">
        <v>82</v>
      </c>
      <c r="I39">
        <f ca="1">IF(Expenses1[Status]="Done","",Expenses1[Due Date]-$F$1)</f>
        <v>-180</v>
      </c>
      <c r="K39" s="9" t="s">
        <v>25</v>
      </c>
      <c r="L39" s="7">
        <v>20807</v>
      </c>
      <c r="M39" s="7">
        <v>17475</v>
      </c>
    </row>
    <row r="40" spans="1:21" x14ac:dyDescent="0.25">
      <c r="A40">
        <v>20</v>
      </c>
      <c r="B40" t="s">
        <v>56</v>
      </c>
      <c r="C40" t="str">
        <f>IF(Expenses1[Expense Head]&lt;&gt;"",VLOOKUP(Expenses1[Expense Head],ExpenseHead[],2,FALSE),"")</f>
        <v>HOUSING</v>
      </c>
      <c r="D40" s="2">
        <v>43018</v>
      </c>
      <c r="E40" s="7">
        <v>600</v>
      </c>
      <c r="F40" s="7"/>
      <c r="G40" t="s">
        <v>15</v>
      </c>
      <c r="H40" t="s">
        <v>82</v>
      </c>
      <c r="I40">
        <f ca="1">IF(Expenses1[Status]="Done","",Expenses1[Due Date]-$F$1)</f>
        <v>-175</v>
      </c>
      <c r="K40" s="9" t="s">
        <v>21</v>
      </c>
      <c r="L40" s="7">
        <v>24000</v>
      </c>
      <c r="M40" s="7">
        <v>24000</v>
      </c>
    </row>
    <row r="41" spans="1:21" x14ac:dyDescent="0.25">
      <c r="A41">
        <v>21</v>
      </c>
      <c r="B41" t="s">
        <v>28</v>
      </c>
      <c r="C41" t="str">
        <f>IF(Expenses1[Expense Head]&lt;&gt;"",VLOOKUP(Expenses1[Expense Head],ExpenseHead[],2,FALSE),"")</f>
        <v>LOANS</v>
      </c>
      <c r="D41" s="2">
        <v>43018</v>
      </c>
      <c r="E41" s="7">
        <v>6000</v>
      </c>
      <c r="F41" s="7">
        <v>6663.05</v>
      </c>
      <c r="G41" t="s">
        <v>2</v>
      </c>
      <c r="H41" t="s">
        <v>84</v>
      </c>
      <c r="I41" t="str">
        <f>IF(Expenses1[Status]="Done","",Expenses1[Due Date]-$F$1)</f>
        <v/>
      </c>
      <c r="K41" s="9" t="s">
        <v>29</v>
      </c>
      <c r="L41" s="7">
        <v>6089</v>
      </c>
      <c r="M41" s="7">
        <v>6752.04</v>
      </c>
    </row>
    <row r="42" spans="1:21" x14ac:dyDescent="0.25">
      <c r="A42">
        <v>22</v>
      </c>
      <c r="B42" t="s">
        <v>53</v>
      </c>
      <c r="C42" t="str">
        <f>IF(Expenses1[Expense Head]&lt;&gt;"",VLOOKUP(Expenses1[Expense Head],ExpenseHead[],2,FALSE),"")</f>
        <v>SAVINGS/INVESTMENT</v>
      </c>
      <c r="D42" s="2">
        <v>43013</v>
      </c>
      <c r="E42" s="7"/>
      <c r="F42" s="7"/>
      <c r="G42" t="s">
        <v>2</v>
      </c>
      <c r="H42" t="s">
        <v>82</v>
      </c>
      <c r="I42">
        <f ca="1">IF(Expenses1[Status]="Done","",Expenses1[Due Date]-$F$1)</f>
        <v>-180</v>
      </c>
      <c r="K42" s="9" t="s">
        <v>32</v>
      </c>
      <c r="L42" s="7">
        <v>2000</v>
      </c>
      <c r="M42" s="7">
        <v>3592.7</v>
      </c>
    </row>
    <row r="43" spans="1:21" x14ac:dyDescent="0.25">
      <c r="A43">
        <v>23</v>
      </c>
      <c r="B43" t="s">
        <v>67</v>
      </c>
      <c r="C43" t="str">
        <f>IF(Expenses1[Expense Head]&lt;&gt;"",VLOOKUP(Expenses1[Expense Head],ExpenseHead[],2,FALSE),"")</f>
        <v>PERSONAL</v>
      </c>
      <c r="D43" s="2">
        <v>43009</v>
      </c>
      <c r="E43" s="7">
        <v>10000</v>
      </c>
      <c r="F43" s="7">
        <v>30370</v>
      </c>
      <c r="G43" t="s">
        <v>2</v>
      </c>
      <c r="H43" t="s">
        <v>84</v>
      </c>
      <c r="I43" t="str">
        <f>IF(Expenses1[Status]="Done","",Expenses1[Due Date]-$F$1)</f>
        <v/>
      </c>
      <c r="K43" s="9" t="s">
        <v>19</v>
      </c>
      <c r="L43" s="7">
        <v>6863.6</v>
      </c>
      <c r="M43" s="7">
        <v>6864.75</v>
      </c>
    </row>
    <row r="44" spans="1:21" x14ac:dyDescent="0.25">
      <c r="A44">
        <v>24</v>
      </c>
      <c r="B44" t="s">
        <v>77</v>
      </c>
      <c r="C44" t="str">
        <f>IF(Expenses1[Expense Head]&lt;&gt;"",VLOOKUP(Expenses1[Expense Head],ExpenseHead[],2,FALSE),"")</f>
        <v>HOUSING</v>
      </c>
      <c r="D44" s="2">
        <v>43008</v>
      </c>
      <c r="E44" s="7"/>
      <c r="F44" s="7">
        <v>208</v>
      </c>
      <c r="G44" t="s">
        <v>2</v>
      </c>
      <c r="H44" t="s">
        <v>84</v>
      </c>
      <c r="I44" t="str">
        <f>IF(Expenses1[Status]="Done","",Expenses1[Due Date]-$F$1)</f>
        <v/>
      </c>
      <c r="K44" s="9" t="s">
        <v>27</v>
      </c>
      <c r="L44" s="7">
        <v>16500</v>
      </c>
      <c r="M44" s="7">
        <v>45112.25</v>
      </c>
    </row>
    <row r="45" spans="1:21" x14ac:dyDescent="0.25">
      <c r="A45">
        <v>25</v>
      </c>
      <c r="B45" t="s">
        <v>76</v>
      </c>
      <c r="C45" t="str">
        <f>IF(Expenses1[Expense Head]&lt;&gt;"",VLOOKUP(Expenses1[Expense Head],ExpenseHead[],2,FALSE),"")</f>
        <v>TRANSPORTATION</v>
      </c>
      <c r="D45" s="2">
        <v>43011</v>
      </c>
      <c r="E45" s="7">
        <f>1730+1501.8+2381.8</f>
        <v>5613.6</v>
      </c>
      <c r="F45" s="7">
        <f>1730+8.65+1501.8+2381.8</f>
        <v>5622.25</v>
      </c>
      <c r="G45" t="s">
        <v>2</v>
      </c>
      <c r="H45" t="s">
        <v>84</v>
      </c>
      <c r="I45" t="str">
        <f>IF(Expenses1[Status]="Done","",Expenses1[Due Date]-$F$1)</f>
        <v/>
      </c>
      <c r="K45" s="9" t="s">
        <v>45</v>
      </c>
      <c r="L45" s="7">
        <v>1000</v>
      </c>
      <c r="M45" s="7">
        <v>500</v>
      </c>
    </row>
    <row r="46" spans="1:21" x14ac:dyDescent="0.25">
      <c r="A46">
        <v>26</v>
      </c>
      <c r="B46" t="s">
        <v>111</v>
      </c>
      <c r="C46" t="str">
        <f>IF(Expenses1[Expense Head]&lt;&gt;"",VLOOKUP(Expenses1[Expense Head],ExpenseHead[],2,FALSE),"")</f>
        <v>PERSONAL</v>
      </c>
      <c r="D46" s="2">
        <v>43017</v>
      </c>
      <c r="E46" s="7"/>
      <c r="F46" s="7">
        <v>3500</v>
      </c>
      <c r="G46" t="s">
        <v>2</v>
      </c>
      <c r="H46" t="s">
        <v>84</v>
      </c>
      <c r="I46" t="str">
        <f>IF(Expenses1[Status]="Done","",Expenses1[Due Date]-$F$1)</f>
        <v/>
      </c>
      <c r="K46" s="9" t="s">
        <v>104</v>
      </c>
      <c r="L46" s="7">
        <v>77259.600000000006</v>
      </c>
      <c r="M46" s="7">
        <v>104296.73999999999</v>
      </c>
    </row>
    <row r="47" spans="1:21" x14ac:dyDescent="0.25">
      <c r="A47">
        <v>27</v>
      </c>
      <c r="B47" t="s">
        <v>31</v>
      </c>
      <c r="C47" t="str">
        <f>IF(Expenses1[Expense Head]&lt;&gt;"",VLOOKUP(Expenses1[Expense Head],ExpenseHead[],2,FALSE),"")</f>
        <v>FOOD</v>
      </c>
      <c r="D47" s="2">
        <v>43015</v>
      </c>
      <c r="E47" s="7"/>
      <c r="F47" s="7">
        <v>221</v>
      </c>
      <c r="G47" t="s">
        <v>109</v>
      </c>
      <c r="H47" t="s">
        <v>84</v>
      </c>
      <c r="I47" t="str">
        <f>IF(Expenses1[Status]="Done","",Expenses1[Due Date]-$F$1)</f>
        <v/>
      </c>
    </row>
    <row r="48" spans="1:21" x14ac:dyDescent="0.25">
      <c r="A48">
        <v>28</v>
      </c>
      <c r="B48" t="s">
        <v>26</v>
      </c>
      <c r="C48" t="str">
        <f>IF(Expenses1[Expense Head]&lt;&gt;"",VLOOKUP(Expenses1[Expense Head],ExpenseHead[],2,FALSE),"")</f>
        <v>PERSONAL</v>
      </c>
      <c r="D48" s="2">
        <v>43018</v>
      </c>
      <c r="E48" s="7"/>
      <c r="F48" s="7">
        <v>450</v>
      </c>
      <c r="G48" t="s">
        <v>109</v>
      </c>
      <c r="H48" t="s">
        <v>84</v>
      </c>
      <c r="I48" t="str">
        <f>IF(Expenses1[Status]="Done","",Expenses1[Due Date]-$F$1)</f>
        <v/>
      </c>
    </row>
    <row r="49" spans="1:9" x14ac:dyDescent="0.25">
      <c r="A49">
        <v>29</v>
      </c>
      <c r="B49" t="s">
        <v>60</v>
      </c>
      <c r="C49" t="str">
        <f>IF(Expenses1[Expense Head]&lt;&gt;"",VLOOKUP(Expenses1[Expense Head],ExpenseHead[],2,FALSE),"")</f>
        <v>PERSONAL</v>
      </c>
      <c r="D49" s="2">
        <v>43022</v>
      </c>
      <c r="E49" s="7"/>
      <c r="F49" s="7">
        <v>2000</v>
      </c>
      <c r="G49" t="s">
        <v>5</v>
      </c>
      <c r="H49" t="s">
        <v>84</v>
      </c>
      <c r="I49" t="str">
        <f>IF(Expenses1[Status]="Done","",Expenses1[Due Date]-$F$1)</f>
        <v/>
      </c>
    </row>
    <row r="50" spans="1:9" x14ac:dyDescent="0.25">
      <c r="A50" t="s">
        <v>93</v>
      </c>
      <c r="E50" s="7">
        <f>SUBTOTAL(109,Expenses1[Projected / Budgeted Cost])</f>
        <v>77259.600000000006</v>
      </c>
      <c r="F50" s="7">
        <f>SUBTOTAL(109,Expenses1[Actual Cost])</f>
        <v>104296.73999999999</v>
      </c>
    </row>
  </sheetData>
  <mergeCells count="6">
    <mergeCell ref="K29:O29"/>
    <mergeCell ref="K20:N20"/>
    <mergeCell ref="A4:I4"/>
    <mergeCell ref="A19:I19"/>
    <mergeCell ref="Q20:T20"/>
    <mergeCell ref="Q29:U29"/>
  </mergeCells>
  <conditionalFormatting sqref="A21:I49">
    <cfRule type="expression" dxfId="229" priority="1">
      <formula>$H$21="Pending"</formula>
    </cfRule>
  </conditionalFormatting>
  <dataValidations count="4">
    <dataValidation type="list" allowBlank="1" showInputMessage="1" showErrorMessage="1" sqref="B21:B49">
      <formula1>Expense_Head</formula1>
    </dataValidation>
    <dataValidation type="list" allowBlank="1" showInputMessage="1" showErrorMessage="1" sqref="K31:K34 Q22:Q26 K22:K26 B6:B9 G6:G9 Q31:Q33 G21:G49">
      <formula1>Account_Name</formula1>
    </dataValidation>
    <dataValidation type="list" allowBlank="1" showInputMessage="1" showErrorMessage="1" sqref="H6:H9 H21:H49">
      <formula1>"Done, Partial-Done, Pending"</formula1>
    </dataValidation>
    <dataValidation type="list" allowBlank="1" showInputMessage="1" showErrorMessage="1" sqref="C6:C9">
      <formula1>"Cash, Cheque, ECS"</formula1>
    </dataValidation>
  </dataValidations>
  <pageMargins left="0.7" right="0.7" top="0.75" bottom="0.75" header="0.3" footer="0.3"/>
  <pageSetup orientation="portrait" r:id="rId2"/>
  <drawing r:id="rId3"/>
  <tableParts count="6"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7" workbookViewId="0">
      <selection activeCell="F14" sqref="F14"/>
    </sheetView>
  </sheetViews>
  <sheetFormatPr defaultRowHeight="15" x14ac:dyDescent="0.25"/>
  <cols>
    <col min="2" max="2" width="15.5703125" customWidth="1"/>
    <col min="3" max="3" width="21.5703125" bestFit="1" customWidth="1"/>
    <col min="4" max="4" width="11.28515625" customWidth="1"/>
    <col min="5" max="5" width="29.5703125" customWidth="1"/>
    <col min="6" max="6" width="16.28515625" customWidth="1"/>
    <col min="7" max="7" width="19.28515625" customWidth="1"/>
    <col min="9" max="9" width="18.5703125" customWidth="1"/>
    <col min="10" max="10" width="2.7109375" customWidth="1"/>
    <col min="11" max="11" width="21.5703125" bestFit="1" customWidth="1"/>
    <col min="12" max="12" width="10" bestFit="1" customWidth="1"/>
    <col min="13" max="13" width="10" customWidth="1"/>
    <col min="14" max="14" width="11.28515625" customWidth="1"/>
    <col min="15" max="15" width="11.5703125" bestFit="1" customWidth="1"/>
    <col min="16" max="16" width="2.140625" customWidth="1"/>
    <col min="17" max="17" width="11" bestFit="1" customWidth="1"/>
    <col min="18" max="18" width="18" customWidth="1"/>
    <col min="19" max="19" width="19" customWidth="1"/>
    <col min="20" max="20" width="17.140625" customWidth="1"/>
    <col min="21" max="21" width="10" bestFit="1" customWidth="1"/>
  </cols>
  <sheetData>
    <row r="1" spans="1:23" ht="18.75" x14ac:dyDescent="0.3">
      <c r="B1" s="3" t="s">
        <v>86</v>
      </c>
      <c r="C1" s="4">
        <v>43040</v>
      </c>
      <c r="E1" s="3" t="s">
        <v>83</v>
      </c>
      <c r="F1" s="5">
        <f ca="1">TODAY()</f>
        <v>43193</v>
      </c>
    </row>
    <row r="4" spans="1:23" ht="18.75" x14ac:dyDescent="0.3">
      <c r="A4" s="12" t="s">
        <v>96</v>
      </c>
      <c r="B4" s="12"/>
      <c r="C4" s="12"/>
      <c r="D4" s="12"/>
      <c r="E4" s="12"/>
      <c r="F4" s="12"/>
      <c r="G4" s="12"/>
      <c r="H4" s="12"/>
      <c r="I4" s="12"/>
    </row>
    <row r="5" spans="1:23" x14ac:dyDescent="0.25">
      <c r="A5" t="s">
        <v>8</v>
      </c>
      <c r="B5" t="s">
        <v>98</v>
      </c>
      <c r="C5" t="s">
        <v>10</v>
      </c>
      <c r="D5" t="s">
        <v>11</v>
      </c>
      <c r="E5" s="6" t="s">
        <v>99</v>
      </c>
      <c r="F5" t="s">
        <v>100</v>
      </c>
      <c r="G5" t="s">
        <v>97</v>
      </c>
      <c r="H5" t="s">
        <v>16</v>
      </c>
      <c r="I5" t="s">
        <v>17</v>
      </c>
    </row>
    <row r="6" spans="1:23" x14ac:dyDescent="0.25">
      <c r="A6">
        <v>1</v>
      </c>
      <c r="B6" t="s">
        <v>3</v>
      </c>
      <c r="C6" t="s">
        <v>101</v>
      </c>
      <c r="D6" s="2">
        <v>43040</v>
      </c>
      <c r="E6" s="7">
        <v>10000</v>
      </c>
      <c r="F6" s="7"/>
      <c r="G6" t="s">
        <v>2</v>
      </c>
      <c r="H6" t="s">
        <v>82</v>
      </c>
      <c r="I6">
        <f ca="1">IF(Transfer112[Status]="Done","",Transfer112[Due Date]-$F$1)</f>
        <v>-153</v>
      </c>
    </row>
    <row r="7" spans="1:23" x14ac:dyDescent="0.25">
      <c r="A7">
        <v>2</v>
      </c>
      <c r="B7" t="s">
        <v>108</v>
      </c>
      <c r="C7" t="s">
        <v>101</v>
      </c>
      <c r="D7" s="2">
        <v>43040</v>
      </c>
      <c r="E7" s="7">
        <v>10000</v>
      </c>
      <c r="F7" s="7">
        <v>10000</v>
      </c>
      <c r="G7" t="s">
        <v>2</v>
      </c>
      <c r="H7" t="s">
        <v>84</v>
      </c>
      <c r="I7" t="str">
        <f>IF(Transfer112[Status]="Done","",Transfer112[Due Date]-$F$1)</f>
        <v/>
      </c>
    </row>
    <row r="8" spans="1:23" x14ac:dyDescent="0.25">
      <c r="A8" t="s">
        <v>93</v>
      </c>
      <c r="E8" s="7">
        <f>SUBTOTAL(109,Transfer112[Projected / Budgeted Amount])</f>
        <v>20000</v>
      </c>
      <c r="F8" s="7">
        <f>SUBTOTAL(109,Transfer112[Actual Amount])</f>
        <v>10000</v>
      </c>
      <c r="V8">
        <v>15500</v>
      </c>
    </row>
    <row r="9" spans="1:23" x14ac:dyDescent="0.25">
      <c r="V9">
        <v>2790</v>
      </c>
      <c r="W9">
        <f>V9*3</f>
        <v>8370</v>
      </c>
    </row>
    <row r="18" spans="1:21" ht="18.75" x14ac:dyDescent="0.3">
      <c r="A18" s="13" t="s">
        <v>87</v>
      </c>
      <c r="B18" s="13"/>
      <c r="C18" s="13"/>
      <c r="D18" s="13"/>
      <c r="E18" s="13"/>
      <c r="F18" s="13"/>
      <c r="G18" s="13"/>
      <c r="H18" s="13"/>
      <c r="I18" s="13"/>
    </row>
    <row r="19" spans="1:21" x14ac:dyDescent="0.25">
      <c r="A19" t="s">
        <v>8</v>
      </c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16</v>
      </c>
      <c r="I19" t="s">
        <v>17</v>
      </c>
    </row>
    <row r="20" spans="1:21" ht="18.75" x14ac:dyDescent="0.3">
      <c r="A20">
        <v>1</v>
      </c>
      <c r="B20" t="s">
        <v>47</v>
      </c>
      <c r="C20" t="str">
        <f>IF(Expenses18[Expense Head]&lt;&gt;"",VLOOKUP(Expenses18[Expense Head],ExpenseHead[],2,FALSE),"")</f>
        <v>HOUSING</v>
      </c>
      <c r="D20" s="2">
        <v>43040</v>
      </c>
      <c r="E20" s="7">
        <v>16500</v>
      </c>
      <c r="F20" s="7">
        <v>16500</v>
      </c>
      <c r="G20" t="s">
        <v>2</v>
      </c>
      <c r="H20" t="s">
        <v>84</v>
      </c>
      <c r="I20" t="str">
        <f>IF(Expenses18[Status]="Done","",Expenses18[Due Date]-$F$1)</f>
        <v/>
      </c>
      <c r="K20" s="11" t="s">
        <v>88</v>
      </c>
      <c r="L20" s="11"/>
      <c r="M20" s="11"/>
      <c r="N20" s="11"/>
      <c r="Q20" s="10" t="s">
        <v>105</v>
      </c>
      <c r="R20" s="10"/>
      <c r="S20" s="10"/>
      <c r="T20" s="10"/>
    </row>
    <row r="21" spans="1:21" x14ac:dyDescent="0.25">
      <c r="A21">
        <v>2</v>
      </c>
      <c r="B21" t="s">
        <v>28</v>
      </c>
      <c r="C21" t="str">
        <f>IF(Expenses18[Expense Head]&lt;&gt;"",VLOOKUP(Expenses18[Expense Head],ExpenseHead[],2,FALSE),"")</f>
        <v>LOANS</v>
      </c>
      <c r="D21" s="2">
        <v>43042</v>
      </c>
      <c r="E21" s="7">
        <v>0</v>
      </c>
      <c r="F21" s="7"/>
      <c r="G21" t="s">
        <v>2</v>
      </c>
      <c r="H21" t="s">
        <v>82</v>
      </c>
      <c r="I21">
        <f ca="1">IF(Expenses18[Status]="Done","",Expenses18[Due Date]-$F$1)</f>
        <v>-151</v>
      </c>
      <c r="K21" t="s">
        <v>89</v>
      </c>
      <c r="L21" t="s">
        <v>91</v>
      </c>
      <c r="M21" t="s">
        <v>92</v>
      </c>
      <c r="N21" t="s">
        <v>93</v>
      </c>
      <c r="Q21" t="s">
        <v>89</v>
      </c>
      <c r="R21" t="s">
        <v>90</v>
      </c>
      <c r="S21" t="s">
        <v>94</v>
      </c>
      <c r="T21" t="s">
        <v>95</v>
      </c>
    </row>
    <row r="22" spans="1:21" x14ac:dyDescent="0.25">
      <c r="A22">
        <v>3</v>
      </c>
      <c r="B22" t="s">
        <v>20</v>
      </c>
      <c r="C22" t="str">
        <f>IF(Expenses18[Expense Head]&lt;&gt;"",VLOOKUP(Expenses18[Expense Head],ExpenseHead[],2,FALSE),"")</f>
        <v>SAVINGS/INVESTMENT</v>
      </c>
      <c r="D22" s="2">
        <v>43040</v>
      </c>
      <c r="E22" s="7">
        <v>2000</v>
      </c>
      <c r="F22" s="7">
        <v>2000</v>
      </c>
      <c r="G22" t="s">
        <v>2</v>
      </c>
      <c r="H22" t="s">
        <v>84</v>
      </c>
      <c r="I22" t="str">
        <f>IF(Expenses18[Status]="Done","",Expenses18[Due Date]-$F$1)</f>
        <v/>
      </c>
      <c r="K22" t="s">
        <v>2</v>
      </c>
      <c r="L22" s="7">
        <v>76670</v>
      </c>
      <c r="M22" s="7">
        <v>0</v>
      </c>
      <c r="N22" s="7">
        <f>Table411[Salary]+Table411[Others]</f>
        <v>76670</v>
      </c>
      <c r="Q22" t="s">
        <v>2</v>
      </c>
      <c r="R22" s="7"/>
      <c r="S22" s="7">
        <f>Table915[Opening Balance]+SUMIFS(Table411[Total],Table411[Account],Table915[[#This Row],[Account]])-SUMIF(Table613[Account],Table915[[#This Row],[Account]],Table613[Total])-SUMIF(Table814[Account],Table915[[#This Row],[Account]],Table814[Total])</f>
        <v>-40630.040000000008</v>
      </c>
      <c r="T22" s="7">
        <f>Table915[Opening Balance]+SUMIFS(Table411[Total],Table411[Account],Table915[[#This Row],[Account]])-SUMIF(Table613[Account],Table915[[#This Row],[Account]],Table613[Done])-SUMIF(Table814[Account],Table915[[#This Row],[Account]],Table814[Done])</f>
        <v>-27673.040000000008</v>
      </c>
    </row>
    <row r="23" spans="1:21" x14ac:dyDescent="0.25">
      <c r="A23">
        <v>4</v>
      </c>
      <c r="B23" t="s">
        <v>20</v>
      </c>
      <c r="C23" t="str">
        <f>IF(Expenses18[Expense Head]&lt;&gt;"",VLOOKUP(Expenses18[Expense Head],ExpenseHead[],2,FALSE),"")</f>
        <v>SAVINGS/INVESTMENT</v>
      </c>
      <c r="D23" s="2">
        <v>43054</v>
      </c>
      <c r="E23" s="7">
        <v>2000</v>
      </c>
      <c r="F23" s="7"/>
      <c r="G23" t="s">
        <v>2</v>
      </c>
      <c r="H23" t="s">
        <v>82</v>
      </c>
      <c r="I23">
        <f ca="1">IF(Expenses18[Status]="Done","",Expenses18[Due Date]-$F$1)</f>
        <v>-139</v>
      </c>
      <c r="K23" t="s">
        <v>3</v>
      </c>
      <c r="L23" s="7"/>
      <c r="M23" s="7">
        <f>F6</f>
        <v>0</v>
      </c>
      <c r="N23" s="7">
        <f>Table411[Salary]+Table411[Others]</f>
        <v>0</v>
      </c>
      <c r="Q23" t="s">
        <v>3</v>
      </c>
      <c r="R23" s="7"/>
      <c r="S23" s="7">
        <f>Table915[Opening Balance]+SUMIFS(Table411[Total],Table411[Account],Table915[[#This Row],[Account]])-SUMIF(Table613[Account],Table915[[#This Row],[Account]],Table613[Total])-SUMIF(Table814[Account],Table915[[#This Row],[Account]],Table814[Total])</f>
        <v>0</v>
      </c>
      <c r="T23" s="7">
        <f>Table915[Opening Balance]+SUMIFS(Table411[Total],Table411[Account],Table915[[#This Row],[Account]])-SUMIF(Table613[Account],Table915[[#This Row],[Account]],Table613[Done])-SUMIF(Table814[Account],Table915[[#This Row],[Account]],Table814[Done])</f>
        <v>0</v>
      </c>
    </row>
    <row r="24" spans="1:21" x14ac:dyDescent="0.25">
      <c r="A24">
        <v>5</v>
      </c>
      <c r="B24" t="s">
        <v>69</v>
      </c>
      <c r="C24" t="str">
        <f>IF(Expenses18[Expense Head]&lt;&gt;"",VLOOKUP(Expenses18[Expense Head],ExpenseHead[],2,FALSE),"")</f>
        <v>SAVINGS/INVESTMENT</v>
      </c>
      <c r="D24" s="2">
        <v>43044</v>
      </c>
      <c r="E24" s="7">
        <v>0</v>
      </c>
      <c r="F24" s="7"/>
      <c r="G24" t="s">
        <v>3</v>
      </c>
      <c r="H24" t="s">
        <v>82</v>
      </c>
      <c r="I24">
        <f ca="1">IF(Expenses18[Status]="Done","",Expenses18[Due Date]-$F$1)</f>
        <v>-149</v>
      </c>
      <c r="K24" t="s">
        <v>15</v>
      </c>
      <c r="L24" s="7"/>
      <c r="M24" s="7"/>
      <c r="N24" s="7">
        <f>Table411[Salary]+Table411[Others]</f>
        <v>0</v>
      </c>
      <c r="Q24" t="s">
        <v>15</v>
      </c>
      <c r="R24" s="7"/>
      <c r="S24" s="7">
        <f>Table915[Opening Balance]+SUMIFS(Table411[Total],Table411[Account],Table915[[#This Row],[Account]])-SUMIF(Table613[Account],Table915[[#This Row],[Account]],Table613[Total])-SUMIF(Table814[Account],Table915[[#This Row],[Account]],Table814[Total])</f>
        <v>-3837</v>
      </c>
      <c r="T24" s="7">
        <f>Table915[Opening Balance]+SUMIFS(Table411[Total],Table411[Account],Table915[[#This Row],[Account]])-SUMIF(Table613[Account],Table915[[#This Row],[Account]],Table613[Done])-SUMIF(Table814[Account],Table915[[#This Row],[Account]],Table814[Done])</f>
        <v>-1337</v>
      </c>
    </row>
    <row r="25" spans="1:21" x14ac:dyDescent="0.25">
      <c r="A25">
        <v>6</v>
      </c>
      <c r="B25" t="s">
        <v>42</v>
      </c>
      <c r="C25" t="str">
        <f>IF(Expenses18[Expense Head]&lt;&gt;"",VLOOKUP(Expenses18[Expense Head],ExpenseHead[],2,FALSE),"")</f>
        <v>FOOD</v>
      </c>
      <c r="D25" s="2">
        <v>43044</v>
      </c>
      <c r="E25" s="7">
        <v>4000</v>
      </c>
      <c r="F25" s="7">
        <v>8000.81</v>
      </c>
      <c r="G25" t="s">
        <v>2</v>
      </c>
      <c r="H25" t="s">
        <v>84</v>
      </c>
      <c r="I25" t="str">
        <f>IF(Expenses18[Status]="Done","",Expenses18[Due Date]-$F$1)</f>
        <v/>
      </c>
      <c r="K25" t="s">
        <v>5</v>
      </c>
      <c r="L25" s="7"/>
      <c r="M25" s="7"/>
      <c r="N25" s="7">
        <f>Table411[Salary]+Table411[Others]</f>
        <v>0</v>
      </c>
      <c r="Q25" t="s">
        <v>5</v>
      </c>
      <c r="R25" s="7"/>
      <c r="S25" s="7">
        <f>Table915[Opening Balance]+SUMIFS(Table411[Total],Table411[Account],Table915[[#This Row],[Account]])-SUMIF(Table613[Account],Table915[[#This Row],[Account]],Table613[Total])-SUMIF(Table814[Account],Table915[[#This Row],[Account]],Table814[Total])</f>
        <v>0</v>
      </c>
      <c r="T25" s="7">
        <f>Table915[Opening Balance]+SUMIFS(Table411[Total],Table411[Account],Table915[[#This Row],[Account]])-SUMIF(Table613[Account],Table915[[#This Row],[Account]],Table613[Done])-SUMIF(Table814[Account],Table915[[#This Row],[Account]],Table814[Done])</f>
        <v>0</v>
      </c>
    </row>
    <row r="26" spans="1:21" x14ac:dyDescent="0.25">
      <c r="A26">
        <v>7</v>
      </c>
      <c r="B26" t="s">
        <v>23</v>
      </c>
      <c r="C26" t="str">
        <f>IF(Expenses18[Expense Head]&lt;&gt;"",VLOOKUP(Expenses18[Expense Head],ExpenseHead[],2,FALSE),"")</f>
        <v>TRANSPORTATION</v>
      </c>
      <c r="D26" s="2">
        <v>43041</v>
      </c>
      <c r="E26" s="7">
        <v>1000</v>
      </c>
      <c r="F26" s="7">
        <v>1000</v>
      </c>
      <c r="G26" t="s">
        <v>2</v>
      </c>
      <c r="H26" t="s">
        <v>84</v>
      </c>
      <c r="I26" t="str">
        <f>IF(Expenses18[Status]="Done","",Expenses18[Due Date]-$F$1)</f>
        <v/>
      </c>
      <c r="K26" t="s">
        <v>7</v>
      </c>
      <c r="L26" s="7"/>
      <c r="M26" s="7"/>
      <c r="N26" s="7">
        <f>Table411[Salary]+Table411[Others]</f>
        <v>0</v>
      </c>
      <c r="Q26" t="s">
        <v>7</v>
      </c>
      <c r="R26" s="7"/>
      <c r="S26" s="7">
        <f>Table915[Opening Balance]+SUMIFS(Table411[Total],Table411[Account],Table915[[#This Row],[Account]])-SUMIF(Table613[Account],Table915[[#This Row],[Account]],Table613[Total])-SUMIF(Table814[Account],Table915[[#This Row],[Account]],Table814[Total])</f>
        <v>0</v>
      </c>
      <c r="T26" s="7">
        <f>Table915[Opening Balance]+SUMIFS(Table411[Total],Table411[Account],Table915[[#This Row],[Account]])-SUMIF(Table613[Account],Table915[[#This Row],[Account]],Table613[Done])-SUMIF(Table814[Account],Table915[[#This Row],[Account]],Table814[Done])</f>
        <v>0</v>
      </c>
    </row>
    <row r="27" spans="1:21" x14ac:dyDescent="0.25">
      <c r="A27">
        <v>8</v>
      </c>
      <c r="B27" t="s">
        <v>34</v>
      </c>
      <c r="C27" t="str">
        <f>IF(Expenses18[Expense Head]&lt;&gt;"",VLOOKUP(Expenses18[Expense Head],ExpenseHead[],2,FALSE),"")</f>
        <v>HOUSING</v>
      </c>
      <c r="D27" s="2">
        <v>43044</v>
      </c>
      <c r="E27" s="7">
        <v>500</v>
      </c>
      <c r="F27" s="7">
        <v>500</v>
      </c>
      <c r="G27" t="s">
        <v>2</v>
      </c>
      <c r="H27" t="s">
        <v>84</v>
      </c>
      <c r="I27" t="str">
        <f>IF(Expenses18[Status]="Done","",Expenses18[Due Date]-$F$1)</f>
        <v/>
      </c>
      <c r="K27" t="s">
        <v>93</v>
      </c>
      <c r="L27" s="7"/>
      <c r="M27" s="7"/>
      <c r="N27" s="7">
        <f>SUBTOTAL(109,Table411[Total])</f>
        <v>76670</v>
      </c>
      <c r="Q27" t="s">
        <v>93</v>
      </c>
      <c r="R27" s="7">
        <f>SUBTOTAL(109,Table915[Opening Balance])</f>
        <v>0</v>
      </c>
      <c r="S27" s="7">
        <f>SUBTOTAL(109,Table915[Projected Balance])</f>
        <v>-44467.040000000008</v>
      </c>
      <c r="T27" s="7">
        <f>SUBTOTAL(109,Table915[Current Balance])</f>
        <v>-29010.040000000008</v>
      </c>
    </row>
    <row r="28" spans="1:21" x14ac:dyDescent="0.25">
      <c r="A28">
        <v>9</v>
      </c>
      <c r="B28" t="s">
        <v>26</v>
      </c>
      <c r="C28" t="str">
        <f>IF(Expenses18[Expense Head]&lt;&gt;"",VLOOKUP(Expenses18[Expense Head],ExpenseHead[],2,FALSE),"")</f>
        <v>PERSONAL</v>
      </c>
      <c r="D28" s="2">
        <v>43044</v>
      </c>
      <c r="E28" s="7">
        <v>0</v>
      </c>
      <c r="F28" s="7">
        <f>399+653</f>
        <v>1052</v>
      </c>
      <c r="G28" t="s">
        <v>2</v>
      </c>
      <c r="H28" t="s">
        <v>84</v>
      </c>
      <c r="I28" t="str">
        <f>IF(Expenses18[Status]="Done","",Expenses18[Due Date]-$F$1)</f>
        <v/>
      </c>
    </row>
    <row r="29" spans="1:21" ht="18.75" x14ac:dyDescent="0.3">
      <c r="A29">
        <v>10</v>
      </c>
      <c r="B29" t="s">
        <v>35</v>
      </c>
      <c r="C29" t="str">
        <f>IF(Expenses18[Expense Head]&lt;&gt;"",VLOOKUP(Expenses18[Expense Head],ExpenseHead[],2,FALSE),"")</f>
        <v>HOUSING</v>
      </c>
      <c r="D29" s="2">
        <v>43049</v>
      </c>
      <c r="E29" s="7">
        <v>650</v>
      </c>
      <c r="F29" s="7">
        <v>390</v>
      </c>
      <c r="G29" t="s">
        <v>2</v>
      </c>
      <c r="H29" t="s">
        <v>84</v>
      </c>
      <c r="I29" t="str">
        <f>IF(Expenses18[Status]="Done","",Expenses18[Due Date]-$F$1)</f>
        <v/>
      </c>
      <c r="K29" s="10" t="s">
        <v>102</v>
      </c>
      <c r="L29" s="10"/>
      <c r="M29" s="10"/>
      <c r="N29" s="10"/>
      <c r="O29" s="10"/>
      <c r="Q29" s="10" t="s">
        <v>103</v>
      </c>
      <c r="R29" s="10"/>
      <c r="S29" s="10"/>
      <c r="T29" s="10"/>
      <c r="U29" s="10"/>
    </row>
    <row r="30" spans="1:21" x14ac:dyDescent="0.25">
      <c r="A30">
        <v>11</v>
      </c>
      <c r="B30" t="s">
        <v>61</v>
      </c>
      <c r="C30" t="str">
        <f>IF(Expenses18[Expense Head]&lt;&gt;"",VLOOKUP(Expenses18[Expense Head],ExpenseHead[],2,FALSE),"")</f>
        <v>PERSONAL</v>
      </c>
      <c r="D30" s="2">
        <v>43058</v>
      </c>
      <c r="E30" s="7">
        <v>1000</v>
      </c>
      <c r="F30" s="7">
        <v>793.06</v>
      </c>
      <c r="G30" t="s">
        <v>2</v>
      </c>
      <c r="H30" t="s">
        <v>84</v>
      </c>
      <c r="I30" t="str">
        <f>IF(Expenses18[Status]="Done","",Expenses18[Due Date]-$F$1)</f>
        <v/>
      </c>
      <c r="K30" t="s">
        <v>89</v>
      </c>
      <c r="L30" t="s">
        <v>84</v>
      </c>
      <c r="M30" t="s">
        <v>85</v>
      </c>
      <c r="N30" t="s">
        <v>82</v>
      </c>
      <c r="O30" t="s">
        <v>93</v>
      </c>
      <c r="Q30" t="s">
        <v>89</v>
      </c>
      <c r="R30" t="s">
        <v>84</v>
      </c>
      <c r="S30" t="s">
        <v>85</v>
      </c>
      <c r="T30" t="s">
        <v>82</v>
      </c>
      <c r="U30" t="s">
        <v>93</v>
      </c>
    </row>
    <row r="31" spans="1:21" x14ac:dyDescent="0.25">
      <c r="A31">
        <v>12</v>
      </c>
      <c r="B31" t="s">
        <v>62</v>
      </c>
      <c r="C31" t="str">
        <f>IF(Expenses18[Expense Head]&lt;&gt;"",VLOOKUP(Expenses18[Expense Head],ExpenseHead[],2,FALSE),"")</f>
        <v>PERSONAL</v>
      </c>
      <c r="D31" s="2">
        <v>43058</v>
      </c>
      <c r="E31" s="7">
        <v>500</v>
      </c>
      <c r="F31" s="7">
        <v>689.93</v>
      </c>
      <c r="G31" t="s">
        <v>2</v>
      </c>
      <c r="H31" t="s">
        <v>84</v>
      </c>
      <c r="I31" t="str">
        <f>IF(Expenses18[Status]="Done","",Expenses18[Due Date]-$F$1)</f>
        <v/>
      </c>
      <c r="K31" t="s">
        <v>2</v>
      </c>
      <c r="L31" s="7">
        <f>SUMIFS(Expenses18[Actual Cost],Expenses18[Paid from Account],Table613[[#This Row],[Account]], Expenses18[Status],L$30)</f>
        <v>94343.040000000008</v>
      </c>
      <c r="M31" s="7">
        <f>SUMIFS(Expenses18[Actual Cost],Expenses18[Paid from Account],Table613[[#This Row],[Account]], Expenses18[Status],M$30)</f>
        <v>0</v>
      </c>
      <c r="N31" s="7">
        <f>SUMIFS(Expenses18[Projected / Budgeted Cost],Expenses18[Paid from Account],Table613[[#This Row],[Account]], Expenses18[Status],N$30)</f>
        <v>2957</v>
      </c>
      <c r="O31" s="7">
        <f>Table613[Done]+Table613[Partial-Done]+Table613[Pending]</f>
        <v>97300.040000000008</v>
      </c>
      <c r="Q31" t="s">
        <v>2</v>
      </c>
      <c r="R31" s="7">
        <f>SUMIFS(Transfer112[Actual Amount],Transfer112[From Account],Table814[[#This Row],[Account]], Transfer112[Status],R$30)</f>
        <v>10000</v>
      </c>
      <c r="S31" s="7">
        <f>SUMIFS(Transfer112[Actual Amount],Transfer112[From Account],Table814[[#This Row],[Account]], Transfer112[Status],S$30)</f>
        <v>0</v>
      </c>
      <c r="T31" s="7">
        <f>SUMIFS(Transfer112[Projected / Budgeted Amount],Transfer112[From Account],Table814[[#This Row],[Account]], Transfer112[Status],T$30)</f>
        <v>10000</v>
      </c>
      <c r="U31" s="7">
        <f>R31+S31+T31</f>
        <v>20000</v>
      </c>
    </row>
    <row r="32" spans="1:21" x14ac:dyDescent="0.25">
      <c r="A32">
        <v>13</v>
      </c>
      <c r="B32" t="s">
        <v>52</v>
      </c>
      <c r="C32" t="str">
        <f>IF(Expenses18[Expense Head]&lt;&gt;"",VLOOKUP(Expenses18[Expense Head],ExpenseHead[],2,FALSE),"")</f>
        <v>HOUSING</v>
      </c>
      <c r="D32" s="2">
        <v>43063</v>
      </c>
      <c r="E32" s="7">
        <v>707</v>
      </c>
      <c r="F32" s="7"/>
      <c r="G32" t="s">
        <v>2</v>
      </c>
      <c r="H32" t="s">
        <v>82</v>
      </c>
      <c r="I32">
        <f ca="1">IF(Expenses18[Status]="Done","",Expenses18[Due Date]-$F$1)</f>
        <v>-130</v>
      </c>
      <c r="K32" t="s">
        <v>3</v>
      </c>
      <c r="L32" s="7">
        <f>SUMIFS(Expenses18[Actual Cost],Expenses18[Paid from Account],Table613[[#This Row],[Account]], Expenses18[Status],L$30)</f>
        <v>0</v>
      </c>
      <c r="M32" s="7">
        <f>SUMIFS(Expenses18[Actual Cost],Expenses18[Paid from Account],Table613[[#This Row],[Account]], Expenses18[Status],M$30)</f>
        <v>0</v>
      </c>
      <c r="N32" s="7">
        <f>SUMIFS(Expenses18[Projected / Budgeted Cost],Expenses18[Paid from Account],Table613[[#This Row],[Account]], Expenses18[Status],N$30)</f>
        <v>0</v>
      </c>
      <c r="O32" s="7">
        <f>Table613[Done]+Table613[Partial-Done]+Table613[Pending]</f>
        <v>0</v>
      </c>
      <c r="Q32" t="s">
        <v>3</v>
      </c>
      <c r="R32" s="7">
        <f>SUMIFS(Transfer112[Actual Amount],Transfer112[From Account],Table814[[#This Row],[Account]], Transfer112[Status],R$30)</f>
        <v>0</v>
      </c>
      <c r="S32" s="7">
        <f>SUMIFS(Transfer112[Actual Amount],Transfer112[From Account],Table814[[#This Row],[Account]], Transfer112[Status],S$30)</f>
        <v>0</v>
      </c>
      <c r="T32" s="7">
        <f>SUMIFS(Transfer112[Projected / Budgeted Amount],Transfer112[From Account],Table814[[#This Row],[Account]], Transfer112[Status],T$30)</f>
        <v>0</v>
      </c>
      <c r="U32" s="7">
        <f>R32+S32+T32</f>
        <v>0</v>
      </c>
    </row>
    <row r="33" spans="1:21" x14ac:dyDescent="0.25">
      <c r="A33">
        <v>14</v>
      </c>
      <c r="B33" t="s">
        <v>72</v>
      </c>
      <c r="C33" t="str">
        <f>IF(Expenses18[Expense Head]&lt;&gt;"",VLOOKUP(Expenses18[Expense Head],ExpenseHead[],2,FALSE),"")</f>
        <v>TRANSPORTATION</v>
      </c>
      <c r="D33" s="2">
        <v>43043</v>
      </c>
      <c r="E33" s="7">
        <v>250</v>
      </c>
      <c r="F33" s="7"/>
      <c r="G33" t="s">
        <v>2</v>
      </c>
      <c r="H33" t="s">
        <v>82</v>
      </c>
      <c r="I33">
        <f ca="1">IF(Expenses18[Status]="Done","",Expenses18[Due Date]-$F$1)</f>
        <v>-150</v>
      </c>
      <c r="K33" t="s">
        <v>15</v>
      </c>
      <c r="L33" s="7">
        <f>SUMIFS(Expenses18[Actual Cost],Expenses18[Paid from Account],Table613[[#This Row],[Account]], Expenses18[Status],L$30)</f>
        <v>1337</v>
      </c>
      <c r="M33" s="7">
        <f>SUMIFS(Expenses18[Actual Cost],Expenses18[Paid from Account],Table613[[#This Row],[Account]], Expenses18[Status],M$30)</f>
        <v>0</v>
      </c>
      <c r="N33" s="7">
        <f>SUMIFS(Expenses18[Projected / Budgeted Cost],Expenses18[Paid from Account],Table613[[#This Row],[Account]], Expenses18[Status],N$30)</f>
        <v>2500</v>
      </c>
      <c r="O33" s="7">
        <f>Table613[Done]+Table613[Partial-Done]+Table613[Pending]</f>
        <v>3837</v>
      </c>
      <c r="Q33" t="s">
        <v>15</v>
      </c>
      <c r="R33" s="7">
        <f>SUMIFS(Transfer112[Actual Amount],Transfer112[From Account],Table814[[#This Row],[Account]], Transfer112[Status],R$30)</f>
        <v>0</v>
      </c>
      <c r="S33" s="7">
        <f>SUMIFS(Transfer112[Actual Amount],Transfer112[From Account],Table814[[#This Row],[Account]], Transfer112[Status],S$30)</f>
        <v>0</v>
      </c>
      <c r="T33" s="7">
        <f>SUMIFS(Transfer112[Projected / Budgeted Amount],Transfer112[From Account],Table814[[#This Row],[Account]], Transfer112[Status],T$30)</f>
        <v>0</v>
      </c>
      <c r="U33" s="7">
        <f>R33+S33+T33</f>
        <v>0</v>
      </c>
    </row>
    <row r="34" spans="1:21" x14ac:dyDescent="0.25">
      <c r="A34">
        <v>15</v>
      </c>
      <c r="B34" t="s">
        <v>77</v>
      </c>
      <c r="C34" t="str">
        <f>IF(Expenses18[Expense Head]&lt;&gt;"",VLOOKUP(Expenses18[Expense Head],ExpenseHead[],2,FALSE),"")</f>
        <v>HOUSING</v>
      </c>
      <c r="D34" s="2">
        <v>43041</v>
      </c>
      <c r="E34" s="7">
        <v>500</v>
      </c>
      <c r="F34" s="7">
        <v>600</v>
      </c>
      <c r="G34" t="s">
        <v>15</v>
      </c>
      <c r="H34" t="s">
        <v>84</v>
      </c>
      <c r="I34" t="str">
        <f>IF(Expenses18[Status]="Done","",Expenses18[Due Date]-$F$1)</f>
        <v/>
      </c>
      <c r="K34" t="s">
        <v>109</v>
      </c>
      <c r="L34" s="7">
        <f>SUMIFS(Expenses18[Actual Cost],Expenses18[Paid from Account],Table613[[#This Row],[Account]], Expenses18[Status],L$30)</f>
        <v>0</v>
      </c>
      <c r="M34" s="7">
        <f>SUMIFS(Expenses18[Actual Cost],Expenses18[Paid from Account],Table613[[#This Row],[Account]], Expenses18[Status],M$30)</f>
        <v>0</v>
      </c>
      <c r="N34" s="7">
        <f>SUMIFS(Expenses18[Projected / Budgeted Cost],Expenses18[Paid from Account],Table613[[#This Row],[Account]], Expenses18[Status],N$30)</f>
        <v>0</v>
      </c>
      <c r="O34" s="7">
        <f>Table613[Done]+Table613[Partial-Done]+Table613[Pending]</f>
        <v>0</v>
      </c>
      <c r="Q34" t="s">
        <v>93</v>
      </c>
      <c r="R34" s="7">
        <f>SUBTOTAL(109,Table814[Done])</f>
        <v>10000</v>
      </c>
      <c r="S34" s="7">
        <f>SUBTOTAL(109,Table814[Partial-Done])</f>
        <v>0</v>
      </c>
      <c r="T34" s="7">
        <f>SUBTOTAL(109,Table814[Pending])</f>
        <v>10000</v>
      </c>
      <c r="U34" s="7">
        <f>SUBTOTAL(109,Table814[Total])</f>
        <v>20000</v>
      </c>
    </row>
    <row r="35" spans="1:21" x14ac:dyDescent="0.25">
      <c r="A35">
        <v>16</v>
      </c>
      <c r="B35" t="s">
        <v>57</v>
      </c>
      <c r="C35" t="str">
        <f>IF(Expenses18[Expense Head]&lt;&gt;"",VLOOKUP(Expenses18[Expense Head],ExpenseHead[],2,FALSE),"")</f>
        <v>HOUSING</v>
      </c>
      <c r="D35" s="2">
        <v>43041</v>
      </c>
      <c r="E35" s="7">
        <v>1200</v>
      </c>
      <c r="F35" s="7"/>
      <c r="G35" t="s">
        <v>15</v>
      </c>
      <c r="H35" t="s">
        <v>82</v>
      </c>
      <c r="I35">
        <f ca="1">IF(Expenses18[Status]="Done","",Expenses18[Due Date]-$F$1)</f>
        <v>-152</v>
      </c>
      <c r="K35" t="s">
        <v>93</v>
      </c>
      <c r="L35" s="7">
        <f>SUBTOTAL(109,Table613[Done])</f>
        <v>95680.040000000008</v>
      </c>
      <c r="M35" s="7">
        <f>SUBTOTAL(109,Table613[Partial-Done])</f>
        <v>0</v>
      </c>
      <c r="N35" s="7">
        <f>SUBTOTAL(109,Table613[Pending])</f>
        <v>5457</v>
      </c>
      <c r="O35" s="7">
        <f>SUBTOTAL(109,Table613[Total])</f>
        <v>101137.04000000001</v>
      </c>
    </row>
    <row r="36" spans="1:21" x14ac:dyDescent="0.25">
      <c r="A36">
        <v>17</v>
      </c>
      <c r="B36" t="s">
        <v>44</v>
      </c>
      <c r="C36" t="str">
        <f>IF(Expenses18[Expense Head]&lt;&gt;"",VLOOKUP(Expenses18[Expense Head],ExpenseHead[],2,FALSE),"")</f>
        <v>HEALTH</v>
      </c>
      <c r="D36" s="2">
        <v>43049</v>
      </c>
      <c r="E36" s="7">
        <v>1000</v>
      </c>
      <c r="F36" s="7">
        <v>900</v>
      </c>
      <c r="G36" t="s">
        <v>2</v>
      </c>
      <c r="H36" t="s">
        <v>84</v>
      </c>
      <c r="I36" t="str">
        <f>IF(Expenses18[Status]="Done","",Expenses18[Due Date]-$F$1)</f>
        <v/>
      </c>
    </row>
    <row r="37" spans="1:21" x14ac:dyDescent="0.25">
      <c r="A37">
        <v>18</v>
      </c>
      <c r="B37" t="s">
        <v>30</v>
      </c>
      <c r="C37" t="str">
        <f>IF(Expenses18[Expense Head]&lt;&gt;"",VLOOKUP(Expenses18[Expense Head],ExpenseHead[],2,FALSE),"")</f>
        <v>HOUSING</v>
      </c>
      <c r="D37" s="2">
        <v>43041</v>
      </c>
      <c r="E37" s="7">
        <v>800</v>
      </c>
      <c r="F37" s="7"/>
      <c r="G37" t="s">
        <v>15</v>
      </c>
      <c r="H37" t="s">
        <v>82</v>
      </c>
      <c r="I37">
        <f ca="1">IF(Expenses18[Status]="Done","",Expenses18[Due Date]-$F$1)</f>
        <v>-152</v>
      </c>
    </row>
    <row r="38" spans="1:21" x14ac:dyDescent="0.25">
      <c r="A38">
        <v>19</v>
      </c>
      <c r="B38" t="s">
        <v>24</v>
      </c>
      <c r="C38" t="str">
        <f>IF(Expenses18[Expense Head]&lt;&gt;"",VLOOKUP(Expenses18[Expense Head],ExpenseHead[],2,FALSE),"")</f>
        <v>HOUSING</v>
      </c>
      <c r="D38" s="2">
        <v>43044</v>
      </c>
      <c r="E38" s="7">
        <v>500</v>
      </c>
      <c r="F38" s="7"/>
      <c r="G38" t="s">
        <v>15</v>
      </c>
      <c r="H38" t="s">
        <v>82</v>
      </c>
      <c r="I38">
        <f ca="1">IF(Expenses18[Status]="Done","",Expenses18[Due Date]-$F$1)</f>
        <v>-149</v>
      </c>
      <c r="K38" s="8" t="s">
        <v>10</v>
      </c>
      <c r="L38" t="s">
        <v>106</v>
      </c>
      <c r="M38" t="s">
        <v>107</v>
      </c>
    </row>
    <row r="39" spans="1:21" x14ac:dyDescent="0.25">
      <c r="A39">
        <v>20</v>
      </c>
      <c r="B39" t="s">
        <v>56</v>
      </c>
      <c r="C39" t="str">
        <f>IF(Expenses18[Expense Head]&lt;&gt;"",VLOOKUP(Expenses18[Expense Head],ExpenseHead[],2,FALSE),"")</f>
        <v>HOUSING</v>
      </c>
      <c r="D39" s="2">
        <v>43041</v>
      </c>
      <c r="E39" s="7">
        <v>600</v>
      </c>
      <c r="F39" s="7">
        <v>737</v>
      </c>
      <c r="G39" t="s">
        <v>15</v>
      </c>
      <c r="H39" t="s">
        <v>84</v>
      </c>
      <c r="I39" t="str">
        <f>IF(Expenses18[Status]="Done","",Expenses18[Due Date]-$F$1)</f>
        <v/>
      </c>
      <c r="K39" s="9" t="s">
        <v>25</v>
      </c>
      <c r="L39" s="7">
        <v>21957</v>
      </c>
      <c r="M39" s="7">
        <v>18727</v>
      </c>
    </row>
    <row r="40" spans="1:21" x14ac:dyDescent="0.25">
      <c r="A40">
        <v>21</v>
      </c>
      <c r="B40" t="s">
        <v>28</v>
      </c>
      <c r="C40" t="str">
        <f>IF(Expenses18[Expense Head]&lt;&gt;"",VLOOKUP(Expenses18[Expense Head],ExpenseHead[],2,FALSE),"")</f>
        <v>LOANS</v>
      </c>
      <c r="D40" s="2">
        <v>43048</v>
      </c>
      <c r="E40" s="7">
        <v>12396.62</v>
      </c>
      <c r="F40" s="7">
        <v>12396.62</v>
      </c>
      <c r="G40" t="s">
        <v>2</v>
      </c>
      <c r="H40" t="s">
        <v>84</v>
      </c>
      <c r="I40" t="str">
        <f>IF(Expenses18[Status]="Done","",Expenses18[Due Date]-$F$1)</f>
        <v/>
      </c>
      <c r="K40" s="9" t="s">
        <v>21</v>
      </c>
      <c r="L40" s="7">
        <v>54000</v>
      </c>
      <c r="M40" s="7">
        <v>52000</v>
      </c>
    </row>
    <row r="41" spans="1:21" x14ac:dyDescent="0.25">
      <c r="A41">
        <v>22</v>
      </c>
      <c r="B41" t="s">
        <v>53</v>
      </c>
      <c r="C41" t="str">
        <f>IF(Expenses18[Expense Head]&lt;&gt;"",VLOOKUP(Expenses18[Expense Head],ExpenseHead[],2,FALSE),"")</f>
        <v>SAVINGS/INVESTMENT</v>
      </c>
      <c r="D41" s="2">
        <v>43041</v>
      </c>
      <c r="E41" s="7">
        <v>50000</v>
      </c>
      <c r="F41" s="7">
        <v>50000</v>
      </c>
      <c r="G41" t="s">
        <v>2</v>
      </c>
      <c r="H41" t="s">
        <v>84</v>
      </c>
      <c r="I41" t="str">
        <f>IF(Expenses18[Status]="Done","",Expenses18[Due Date]-$F$1)</f>
        <v/>
      </c>
      <c r="K41" s="9" t="s">
        <v>29</v>
      </c>
      <c r="L41" s="7">
        <v>12396.62</v>
      </c>
      <c r="M41" s="7">
        <v>12396.62</v>
      </c>
    </row>
    <row r="42" spans="1:21" x14ac:dyDescent="0.25">
      <c r="A42">
        <v>23</v>
      </c>
      <c r="B42" t="s">
        <v>67</v>
      </c>
      <c r="C42" t="str">
        <f>IF(Expenses18[Expense Head]&lt;&gt;"",VLOOKUP(Expenses18[Expense Head],ExpenseHead[],2,FALSE),"")</f>
        <v>PERSONAL</v>
      </c>
      <c r="D42" s="2">
        <v>43044</v>
      </c>
      <c r="E42" s="7">
        <v>0</v>
      </c>
      <c r="F42" s="7">
        <v>120.62</v>
      </c>
      <c r="G42" t="s">
        <v>2</v>
      </c>
      <c r="H42" t="s">
        <v>84</v>
      </c>
      <c r="I42" t="str">
        <f>IF(Expenses18[Status]="Done","",Expenses18[Due Date]-$F$1)</f>
        <v/>
      </c>
      <c r="K42" s="9" t="s">
        <v>32</v>
      </c>
      <c r="L42" s="7">
        <v>4000</v>
      </c>
      <c r="M42" s="7">
        <v>8000.81</v>
      </c>
    </row>
    <row r="43" spans="1:21" x14ac:dyDescent="0.25">
      <c r="A43">
        <v>24</v>
      </c>
      <c r="B43" t="s">
        <v>77</v>
      </c>
      <c r="C43" t="str">
        <f>IF(Expenses18[Expense Head]&lt;&gt;"",VLOOKUP(Expenses18[Expense Head],ExpenseHead[],2,FALSE),"")</f>
        <v>HOUSING</v>
      </c>
      <c r="D43" s="2">
        <v>43044</v>
      </c>
      <c r="E43" s="7"/>
      <c r="F43" s="7"/>
      <c r="G43" t="s">
        <v>2</v>
      </c>
      <c r="H43" t="s">
        <v>82</v>
      </c>
      <c r="I43">
        <f ca="1">IF(Expenses18[Status]="Done","",Expenses18[Due Date]-$F$1)</f>
        <v>-149</v>
      </c>
      <c r="K43" s="9" t="s">
        <v>19</v>
      </c>
      <c r="L43" s="7">
        <v>1250</v>
      </c>
      <c r="M43" s="7">
        <v>1000</v>
      </c>
    </row>
    <row r="44" spans="1:21" x14ac:dyDescent="0.25">
      <c r="A44" t="s">
        <v>93</v>
      </c>
      <c r="E44" s="7">
        <f>SUBTOTAL(109,Expenses18[Projected / Budgeted Cost])</f>
        <v>96103.62</v>
      </c>
      <c r="F44" s="7">
        <f>SUBTOTAL(109,Expenses18[Actual Cost])</f>
        <v>95680.040000000008</v>
      </c>
      <c r="K44" s="9" t="s">
        <v>27</v>
      </c>
      <c r="L44" s="7">
        <v>1500</v>
      </c>
      <c r="M44" s="7">
        <v>2655.6099999999997</v>
      </c>
    </row>
    <row r="45" spans="1:21" x14ac:dyDescent="0.25">
      <c r="K45" s="9" t="s">
        <v>45</v>
      </c>
      <c r="L45" s="7">
        <v>1000</v>
      </c>
      <c r="M45" s="7">
        <v>900</v>
      </c>
    </row>
    <row r="46" spans="1:21" x14ac:dyDescent="0.25">
      <c r="K46" s="9" t="s">
        <v>104</v>
      </c>
      <c r="L46" s="7">
        <v>96103.62</v>
      </c>
      <c r="M46" s="7">
        <v>95680.04</v>
      </c>
    </row>
  </sheetData>
  <mergeCells count="6">
    <mergeCell ref="A4:I4"/>
    <mergeCell ref="A18:I18"/>
    <mergeCell ref="K20:N20"/>
    <mergeCell ref="Q20:T20"/>
    <mergeCell ref="K29:O29"/>
    <mergeCell ref="Q29:U29"/>
  </mergeCells>
  <conditionalFormatting sqref="A20:I43">
    <cfRule type="expression" dxfId="192" priority="1">
      <formula>$H$20="Pending"</formula>
    </cfRule>
  </conditionalFormatting>
  <dataValidations count="4">
    <dataValidation type="list" allowBlank="1" showInputMessage="1" showErrorMessage="1" sqref="H20:H43 H6:H7">
      <formula1>"Done, Partial-Done, Pending"</formula1>
    </dataValidation>
    <dataValidation type="list" allowBlank="1" showInputMessage="1" showErrorMessage="1" sqref="K31:K34 Q22:Q26 K22:K26 Q31:Q33 G20:G43 G6:G7 B6:B7">
      <formula1>Account_Name</formula1>
    </dataValidation>
    <dataValidation type="list" allowBlank="1" showInputMessage="1" showErrorMessage="1" sqref="B20:B43">
      <formula1>Expense_Head</formula1>
    </dataValidation>
    <dataValidation type="list" allowBlank="1" showInputMessage="1" showErrorMessage="1" sqref="C6:C7">
      <formula1>"Cash, Cheque, ECS"</formula1>
    </dataValidation>
  </dataValidations>
  <pageMargins left="0.7" right="0.7" top="0.75" bottom="0.75" header="0.3" footer="0.3"/>
  <pageSetup orientation="portrait" r:id="rId2"/>
  <drawing r:id="rId3"/>
  <tableParts count="6"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10" workbookViewId="0">
      <selection activeCell="E42" sqref="E42"/>
    </sheetView>
  </sheetViews>
  <sheetFormatPr defaultRowHeight="15" x14ac:dyDescent="0.25"/>
  <cols>
    <col min="2" max="2" width="15.5703125" customWidth="1"/>
    <col min="3" max="3" width="21.5703125" bestFit="1" customWidth="1"/>
    <col min="4" max="4" width="11.28515625" customWidth="1"/>
    <col min="5" max="5" width="29.5703125" customWidth="1"/>
    <col min="6" max="6" width="16.28515625" customWidth="1"/>
    <col min="7" max="7" width="19.28515625" customWidth="1"/>
    <col min="9" max="9" width="18.5703125" customWidth="1"/>
    <col min="10" max="10" width="2.7109375" customWidth="1"/>
    <col min="11" max="11" width="21.5703125" bestFit="1" customWidth="1"/>
    <col min="12" max="12" width="10" bestFit="1" customWidth="1"/>
    <col min="13" max="13" width="10" customWidth="1"/>
    <col min="14" max="14" width="11.28515625" customWidth="1"/>
    <col min="15" max="15" width="11.5703125" bestFit="1" customWidth="1"/>
    <col min="16" max="16" width="2.140625" customWidth="1"/>
    <col min="17" max="17" width="11" bestFit="1" customWidth="1"/>
    <col min="18" max="18" width="18" customWidth="1"/>
    <col min="19" max="19" width="19" customWidth="1"/>
    <col min="20" max="20" width="17.140625" customWidth="1"/>
    <col min="21" max="21" width="10" bestFit="1" customWidth="1"/>
  </cols>
  <sheetData>
    <row r="1" spans="1:23" ht="18.75" x14ac:dyDescent="0.3">
      <c r="B1" s="3" t="s">
        <v>86</v>
      </c>
      <c r="C1" s="4">
        <v>43070</v>
      </c>
      <c r="E1" s="3" t="s">
        <v>83</v>
      </c>
      <c r="F1" s="5">
        <f ca="1">TODAY()</f>
        <v>43193</v>
      </c>
    </row>
    <row r="4" spans="1:23" ht="18.75" x14ac:dyDescent="0.3">
      <c r="A4" s="12" t="s">
        <v>96</v>
      </c>
      <c r="B4" s="12"/>
      <c r="C4" s="12"/>
      <c r="D4" s="12"/>
      <c r="E4" s="12"/>
      <c r="F4" s="12"/>
      <c r="G4" s="12"/>
      <c r="H4" s="12"/>
      <c r="I4" s="12"/>
    </row>
    <row r="5" spans="1:23" x14ac:dyDescent="0.25">
      <c r="A5" t="s">
        <v>8</v>
      </c>
      <c r="B5" t="s">
        <v>98</v>
      </c>
      <c r="C5" t="s">
        <v>10</v>
      </c>
      <c r="D5" t="s">
        <v>11</v>
      </c>
      <c r="E5" s="6" t="s">
        <v>99</v>
      </c>
      <c r="F5" t="s">
        <v>100</v>
      </c>
      <c r="G5" t="s">
        <v>97</v>
      </c>
      <c r="H5" t="s">
        <v>16</v>
      </c>
      <c r="I5" t="s">
        <v>17</v>
      </c>
    </row>
    <row r="6" spans="1:23" x14ac:dyDescent="0.25">
      <c r="A6">
        <v>1</v>
      </c>
      <c r="B6" t="s">
        <v>15</v>
      </c>
      <c r="C6" t="s">
        <v>101</v>
      </c>
      <c r="D6" s="2">
        <v>43070</v>
      </c>
      <c r="E6" s="7">
        <v>5000</v>
      </c>
      <c r="F6" s="7">
        <v>6000</v>
      </c>
      <c r="G6" t="s">
        <v>2</v>
      </c>
      <c r="H6" t="s">
        <v>84</v>
      </c>
      <c r="I6" t="str">
        <f>IF(Transfer11218[Status]="Done","",Transfer11218[Due Date]-$F$1)</f>
        <v/>
      </c>
    </row>
    <row r="7" spans="1:23" x14ac:dyDescent="0.25">
      <c r="A7">
        <v>2</v>
      </c>
      <c r="B7" t="s">
        <v>108</v>
      </c>
      <c r="C7" t="s">
        <v>101</v>
      </c>
      <c r="D7" s="2">
        <v>43074</v>
      </c>
      <c r="E7" s="7"/>
      <c r="F7" s="7"/>
      <c r="G7" t="s">
        <v>2</v>
      </c>
      <c r="H7" t="s">
        <v>82</v>
      </c>
      <c r="I7">
        <f ca="1">IF(Transfer11218[Status]="Done","",Transfer11218[Due Date]-$F$1)</f>
        <v>-119</v>
      </c>
    </row>
    <row r="8" spans="1:23" x14ac:dyDescent="0.25">
      <c r="A8" t="s">
        <v>93</v>
      </c>
      <c r="E8" s="7">
        <f>SUBTOTAL(109,Transfer11218[Projected / Budgeted Amount])</f>
        <v>5000</v>
      </c>
      <c r="F8" s="7">
        <f>SUBTOTAL(109,Transfer11218[Actual Amount])</f>
        <v>6000</v>
      </c>
      <c r="V8">
        <v>15500</v>
      </c>
    </row>
    <row r="9" spans="1:23" x14ac:dyDescent="0.25">
      <c r="V9">
        <v>2790</v>
      </c>
      <c r="W9">
        <f>V9*3</f>
        <v>8370</v>
      </c>
    </row>
    <row r="18" spans="1:21" ht="18.75" x14ac:dyDescent="0.3">
      <c r="A18" s="13" t="s">
        <v>87</v>
      </c>
      <c r="B18" s="13"/>
      <c r="C18" s="13"/>
      <c r="D18" s="13"/>
      <c r="E18" s="13"/>
      <c r="F18" s="13"/>
      <c r="G18" s="13"/>
      <c r="H18" s="13"/>
      <c r="I18" s="13"/>
    </row>
    <row r="19" spans="1:21" x14ac:dyDescent="0.25">
      <c r="A19" t="s">
        <v>8</v>
      </c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16</v>
      </c>
      <c r="I19" t="s">
        <v>17</v>
      </c>
    </row>
    <row r="20" spans="1:21" ht="18.75" x14ac:dyDescent="0.3">
      <c r="A20">
        <v>1</v>
      </c>
      <c r="B20" t="s">
        <v>47</v>
      </c>
      <c r="C20" t="str">
        <f>IF(Expenses1816[Expense Head]&lt;&gt;"",VLOOKUP(Expenses1816[Expense Head],ExpenseHead[],2,FALSE),"")</f>
        <v>HOUSING</v>
      </c>
      <c r="D20" s="2">
        <v>43070</v>
      </c>
      <c r="E20" s="7">
        <v>16500</v>
      </c>
      <c r="F20" s="7">
        <v>16500</v>
      </c>
      <c r="G20" t="s">
        <v>2</v>
      </c>
      <c r="H20" t="s">
        <v>84</v>
      </c>
      <c r="I20" t="str">
        <f>IF(Expenses1816[Status]="Done","",Expenses1816[Due Date]-$F$1)</f>
        <v/>
      </c>
      <c r="K20" s="11" t="s">
        <v>88</v>
      </c>
      <c r="L20" s="11"/>
      <c r="M20" s="11"/>
      <c r="N20" s="11"/>
      <c r="Q20" s="10" t="s">
        <v>105</v>
      </c>
      <c r="R20" s="10"/>
      <c r="S20" s="10"/>
      <c r="T20" s="10"/>
    </row>
    <row r="21" spans="1:21" x14ac:dyDescent="0.25">
      <c r="A21">
        <v>2</v>
      </c>
      <c r="B21" t="s">
        <v>28</v>
      </c>
      <c r="C21" t="str">
        <f>IF(Expenses1816[Expense Head]&lt;&gt;"",VLOOKUP(Expenses1816[Expense Head],ExpenseHead[],2,FALSE),"")</f>
        <v>LOANS</v>
      </c>
      <c r="D21" s="2">
        <v>43073</v>
      </c>
      <c r="E21" s="7">
        <v>5837.14</v>
      </c>
      <c r="F21" s="7">
        <v>5837.14</v>
      </c>
      <c r="G21" t="s">
        <v>2</v>
      </c>
      <c r="H21" t="s">
        <v>84</v>
      </c>
      <c r="I21" t="str">
        <f>IF(Expenses1816[Status]="Done","",Expenses1816[Due Date]-$F$1)</f>
        <v/>
      </c>
      <c r="K21" t="s">
        <v>89</v>
      </c>
      <c r="L21" t="s">
        <v>91</v>
      </c>
      <c r="M21" t="s">
        <v>92</v>
      </c>
      <c r="N21" t="s">
        <v>93</v>
      </c>
      <c r="Q21" t="s">
        <v>89</v>
      </c>
      <c r="R21" t="s">
        <v>90</v>
      </c>
      <c r="S21" t="s">
        <v>94</v>
      </c>
      <c r="T21" t="s">
        <v>95</v>
      </c>
    </row>
    <row r="22" spans="1:21" x14ac:dyDescent="0.25">
      <c r="A22">
        <v>3</v>
      </c>
      <c r="B22" t="s">
        <v>20</v>
      </c>
      <c r="C22" t="str">
        <f>IF(Expenses1816[Expense Head]&lt;&gt;"",VLOOKUP(Expenses1816[Expense Head],ExpenseHead[],2,FALSE),"")</f>
        <v>SAVINGS/INVESTMENT</v>
      </c>
      <c r="D22" s="2">
        <v>43070</v>
      </c>
      <c r="E22" s="7">
        <v>2000</v>
      </c>
      <c r="F22" s="7">
        <v>2000</v>
      </c>
      <c r="G22" t="s">
        <v>2</v>
      </c>
      <c r="H22" t="s">
        <v>84</v>
      </c>
      <c r="I22" t="str">
        <f>IF(Expenses1816[Status]="Done","",Expenses1816[Due Date]-$F$1)</f>
        <v/>
      </c>
      <c r="K22" t="s">
        <v>2</v>
      </c>
      <c r="L22" s="7">
        <v>71037</v>
      </c>
      <c r="M22" s="7">
        <v>0</v>
      </c>
      <c r="N22" s="7">
        <f>Table41117[Salary]+Table41117[Others]</f>
        <v>71037</v>
      </c>
      <c r="Q22" t="s">
        <v>2</v>
      </c>
      <c r="R22" s="7"/>
      <c r="S22" s="7">
        <f>Table91521[Opening Balance]+SUMIFS(Table41117[Total],Table41117[Account],Table91521[[#This Row],[Account]])-SUMIF(Table61319[Account],Table91521[[#This Row],[Account]],Table61319[Total])-SUMIF(Table81420[Account],Table91521[[#This Row],[Account]],Table81420[Total])</f>
        <v>4187.8899999999994</v>
      </c>
      <c r="T22" s="7">
        <f>Table91521[Opening Balance]+SUMIFS(Table41117[Total],Table41117[Account],Table91521[[#This Row],[Account]])-SUMIF(Table61319[Account],Table91521[[#This Row],[Account]],Table61319[Done])-SUMIF(Table81420[Account],Table91521[[#This Row],[Account]],Table81420[Done])</f>
        <v>6187.8899999999994</v>
      </c>
    </row>
    <row r="23" spans="1:21" x14ac:dyDescent="0.25">
      <c r="A23">
        <v>4</v>
      </c>
      <c r="B23" t="s">
        <v>20</v>
      </c>
      <c r="C23" t="str">
        <f>IF(Expenses1816[Expense Head]&lt;&gt;"",VLOOKUP(Expenses1816[Expense Head],ExpenseHead[],2,FALSE),"")</f>
        <v>SAVINGS/INVESTMENT</v>
      </c>
      <c r="D23" s="2">
        <v>43084</v>
      </c>
      <c r="E23" s="7">
        <v>2000</v>
      </c>
      <c r="F23" s="7">
        <v>2000</v>
      </c>
      <c r="G23" t="s">
        <v>2</v>
      </c>
      <c r="H23" t="s">
        <v>84</v>
      </c>
      <c r="I23" t="str">
        <f>IF(Expenses1816[Status]="Done","",Expenses1816[Due Date]-$F$1)</f>
        <v/>
      </c>
      <c r="K23" t="s">
        <v>3</v>
      </c>
      <c r="L23" s="7"/>
      <c r="M23" s="7">
        <f>F6</f>
        <v>6000</v>
      </c>
      <c r="N23" s="7">
        <f>Table41117[Salary]+Table41117[Others]</f>
        <v>6000</v>
      </c>
      <c r="Q23" t="s">
        <v>3</v>
      </c>
      <c r="R23" s="7"/>
      <c r="S23" s="7">
        <f>Table91521[Opening Balance]+SUMIFS(Table41117[Total],Table41117[Account],Table91521[[#This Row],[Account]])-SUMIF(Table61319[Account],Table91521[[#This Row],[Account]],Table61319[Total])-SUMIF(Table81420[Account],Table91521[[#This Row],[Account]],Table81420[Total])</f>
        <v>6000</v>
      </c>
      <c r="T23" s="7">
        <f>Table91521[Opening Balance]+SUMIFS(Table41117[Total],Table41117[Account],Table91521[[#This Row],[Account]])-SUMIF(Table61319[Account],Table91521[[#This Row],[Account]],Table61319[Done])-SUMIF(Table81420[Account],Table91521[[#This Row],[Account]],Table81420[Done])</f>
        <v>6000</v>
      </c>
    </row>
    <row r="24" spans="1:21" x14ac:dyDescent="0.25">
      <c r="A24">
        <v>5</v>
      </c>
      <c r="B24" t="s">
        <v>69</v>
      </c>
      <c r="C24" t="str">
        <f>IF(Expenses1816[Expense Head]&lt;&gt;"",VLOOKUP(Expenses1816[Expense Head],ExpenseHead[],2,FALSE),"")</f>
        <v>SAVINGS/INVESTMENT</v>
      </c>
      <c r="D24" s="2">
        <v>43084</v>
      </c>
      <c r="E24" s="7">
        <v>0</v>
      </c>
      <c r="F24" s="7"/>
      <c r="G24" t="s">
        <v>3</v>
      </c>
      <c r="H24" t="s">
        <v>82</v>
      </c>
      <c r="I24">
        <f ca="1">IF(Expenses1816[Status]="Done","",Expenses1816[Due Date]-$F$1)</f>
        <v>-109</v>
      </c>
      <c r="K24" t="s">
        <v>15</v>
      </c>
      <c r="L24" s="7"/>
      <c r="M24" s="7"/>
      <c r="N24" s="7">
        <f>Table41117[Salary]+Table41117[Others]</f>
        <v>0</v>
      </c>
      <c r="Q24" t="s">
        <v>15</v>
      </c>
      <c r="R24" s="7"/>
      <c r="S24" s="7">
        <f>Table91521[Opening Balance]+SUMIFS(Table41117[Total],Table41117[Account],Table91521[[#This Row],[Account]])-SUMIF(Table61319[Account],Table91521[[#This Row],[Account]],Table61319[Total])-SUMIF(Table81420[Account],Table91521[[#This Row],[Account]],Table81420[Total])</f>
        <v>-3610</v>
      </c>
      <c r="T24" s="7">
        <f>Table91521[Opening Balance]+SUMIFS(Table41117[Total],Table41117[Account],Table91521[[#This Row],[Account]])-SUMIF(Table61319[Account],Table91521[[#This Row],[Account]],Table61319[Done])-SUMIF(Table81420[Account],Table91521[[#This Row],[Account]],Table81420[Done])</f>
        <v>-3610</v>
      </c>
    </row>
    <row r="25" spans="1:21" x14ac:dyDescent="0.25">
      <c r="A25">
        <v>6</v>
      </c>
      <c r="B25" t="s">
        <v>42</v>
      </c>
      <c r="C25" t="str">
        <f>IF(Expenses1816[Expense Head]&lt;&gt;"",VLOOKUP(Expenses1816[Expense Head],ExpenseHead[],2,FALSE),"")</f>
        <v>FOOD</v>
      </c>
      <c r="D25" s="2">
        <v>43071</v>
      </c>
      <c r="E25" s="7">
        <v>2000</v>
      </c>
      <c r="F25" s="7">
        <v>2990.13</v>
      </c>
      <c r="G25" t="s">
        <v>2</v>
      </c>
      <c r="H25" t="s">
        <v>84</v>
      </c>
      <c r="I25" t="str">
        <f>IF(Expenses1816[Status]="Done","",Expenses1816[Due Date]-$F$1)</f>
        <v/>
      </c>
      <c r="K25" t="s">
        <v>5</v>
      </c>
      <c r="L25" s="7"/>
      <c r="M25" s="7"/>
      <c r="N25" s="7">
        <f>Table41117[Salary]+Table41117[Others]</f>
        <v>0</v>
      </c>
      <c r="Q25" t="s">
        <v>5</v>
      </c>
      <c r="R25" s="7"/>
      <c r="S25" s="7">
        <f>Table91521[Opening Balance]+SUMIFS(Table41117[Total],Table41117[Account],Table91521[[#This Row],[Account]])-SUMIF(Table61319[Account],Table91521[[#This Row],[Account]],Table61319[Total])-SUMIF(Table81420[Account],Table91521[[#This Row],[Account]],Table81420[Total])</f>
        <v>0</v>
      </c>
      <c r="T25" s="7">
        <f>Table91521[Opening Balance]+SUMIFS(Table41117[Total],Table41117[Account],Table91521[[#This Row],[Account]])-SUMIF(Table61319[Account],Table91521[[#This Row],[Account]],Table61319[Done])-SUMIF(Table81420[Account],Table91521[[#This Row],[Account]],Table81420[Done])</f>
        <v>0</v>
      </c>
    </row>
    <row r="26" spans="1:21" x14ac:dyDescent="0.25">
      <c r="A26">
        <v>7</v>
      </c>
      <c r="B26" t="s">
        <v>23</v>
      </c>
      <c r="C26" t="str">
        <f>IF(Expenses1816[Expense Head]&lt;&gt;"",VLOOKUP(Expenses1816[Expense Head],ExpenseHead[],2,FALSE),"")</f>
        <v>TRANSPORTATION</v>
      </c>
      <c r="D26" s="2">
        <v>43074</v>
      </c>
      <c r="E26" s="7">
        <v>1000</v>
      </c>
      <c r="F26" s="7"/>
      <c r="G26" t="s">
        <v>2</v>
      </c>
      <c r="H26" t="s">
        <v>82</v>
      </c>
      <c r="I26">
        <f ca="1">IF(Expenses1816[Status]="Done","",Expenses1816[Due Date]-$F$1)</f>
        <v>-119</v>
      </c>
      <c r="K26" t="s">
        <v>7</v>
      </c>
      <c r="L26" s="7"/>
      <c r="M26" s="7"/>
      <c r="N26" s="7">
        <f>Table41117[Salary]+Table41117[Others]</f>
        <v>0</v>
      </c>
      <c r="Q26" t="s">
        <v>7</v>
      </c>
      <c r="R26" s="7"/>
      <c r="S26" s="7">
        <f>Table91521[Opening Balance]+SUMIFS(Table41117[Total],Table41117[Account],Table91521[[#This Row],[Account]])-SUMIF(Table61319[Account],Table91521[[#This Row],[Account]],Table61319[Total])-SUMIF(Table81420[Account],Table91521[[#This Row],[Account]],Table81420[Total])</f>
        <v>0</v>
      </c>
      <c r="T26" s="7">
        <f>Table91521[Opening Balance]+SUMIFS(Table41117[Total],Table41117[Account],Table91521[[#This Row],[Account]])-SUMIF(Table61319[Account],Table91521[[#This Row],[Account]],Table61319[Done])-SUMIF(Table81420[Account],Table91521[[#This Row],[Account]],Table81420[Done])</f>
        <v>0</v>
      </c>
    </row>
    <row r="27" spans="1:21" x14ac:dyDescent="0.25">
      <c r="A27">
        <v>8</v>
      </c>
      <c r="B27" t="s">
        <v>34</v>
      </c>
      <c r="C27" t="str">
        <f>IF(Expenses1816[Expense Head]&lt;&gt;"",VLOOKUP(Expenses1816[Expense Head],ExpenseHead[],2,FALSE),"")</f>
        <v>HOUSING</v>
      </c>
      <c r="D27" s="2">
        <v>43074</v>
      </c>
      <c r="E27" s="7">
        <v>500</v>
      </c>
      <c r="F27" s="7">
        <v>500</v>
      </c>
      <c r="G27" t="s">
        <v>2</v>
      </c>
      <c r="H27" t="s">
        <v>84</v>
      </c>
      <c r="I27" t="str">
        <f>IF(Expenses1816[Status]="Done","",Expenses1816[Due Date]-$F$1)</f>
        <v/>
      </c>
      <c r="K27" t="s">
        <v>93</v>
      </c>
      <c r="L27" s="7"/>
      <c r="M27" s="7"/>
      <c r="N27" s="7">
        <f>SUBTOTAL(109,Table41117[Total])</f>
        <v>77037</v>
      </c>
      <c r="Q27" t="s">
        <v>93</v>
      </c>
      <c r="R27" s="7">
        <f>SUBTOTAL(109,Table91521[Opening Balance])</f>
        <v>0</v>
      </c>
      <c r="S27" s="7">
        <f>SUBTOTAL(109,Table91521[Projected Balance])</f>
        <v>6577.8899999999994</v>
      </c>
      <c r="T27" s="7">
        <f>SUBTOTAL(109,Table91521[Current Balance])</f>
        <v>8577.89</v>
      </c>
    </row>
    <row r="28" spans="1:21" x14ac:dyDescent="0.25">
      <c r="A28">
        <v>9</v>
      </c>
      <c r="B28" t="s">
        <v>26</v>
      </c>
      <c r="C28" t="str">
        <f>IF(Expenses1816[Expense Head]&lt;&gt;"",VLOOKUP(Expenses1816[Expense Head],ExpenseHead[],2,FALSE),"")</f>
        <v>PERSONAL</v>
      </c>
      <c r="D28" s="2">
        <v>43074</v>
      </c>
      <c r="E28" s="7">
        <v>0</v>
      </c>
      <c r="F28" s="7"/>
      <c r="G28" t="s">
        <v>2</v>
      </c>
      <c r="H28" t="s">
        <v>82</v>
      </c>
      <c r="I28">
        <f ca="1">IF(Expenses1816[Status]="Done","",Expenses1816[Due Date]-$F$1)</f>
        <v>-119</v>
      </c>
    </row>
    <row r="29" spans="1:21" ht="18.75" x14ac:dyDescent="0.3">
      <c r="A29">
        <v>10</v>
      </c>
      <c r="B29" t="s">
        <v>35</v>
      </c>
      <c r="C29" t="str">
        <f>IF(Expenses1816[Expense Head]&lt;&gt;"",VLOOKUP(Expenses1816[Expense Head],ExpenseHead[],2,FALSE),"")</f>
        <v>HOUSING</v>
      </c>
      <c r="D29" s="2">
        <v>43084</v>
      </c>
      <c r="E29" s="7">
        <v>650</v>
      </c>
      <c r="F29" s="7">
        <v>440</v>
      </c>
      <c r="G29" t="s">
        <v>2</v>
      </c>
      <c r="H29" t="s">
        <v>84</v>
      </c>
      <c r="I29" t="str">
        <f>IF(Expenses1816[Status]="Done","",Expenses1816[Due Date]-$F$1)</f>
        <v/>
      </c>
      <c r="K29" s="10" t="s">
        <v>102</v>
      </c>
      <c r="L29" s="10"/>
      <c r="M29" s="10"/>
      <c r="N29" s="10"/>
      <c r="O29" s="10"/>
      <c r="Q29" s="10" t="s">
        <v>103</v>
      </c>
      <c r="R29" s="10"/>
      <c r="S29" s="10"/>
      <c r="T29" s="10"/>
      <c r="U29" s="10"/>
    </row>
    <row r="30" spans="1:21" x14ac:dyDescent="0.25">
      <c r="A30">
        <v>11</v>
      </c>
      <c r="B30" t="s">
        <v>61</v>
      </c>
      <c r="C30" t="str">
        <f>IF(Expenses1816[Expense Head]&lt;&gt;"",VLOOKUP(Expenses1816[Expense Head],ExpenseHead[],2,FALSE),"")</f>
        <v>PERSONAL</v>
      </c>
      <c r="D30" s="2">
        <v>43088</v>
      </c>
      <c r="E30" s="7">
        <v>700</v>
      </c>
      <c r="F30" s="7">
        <v>594.48</v>
      </c>
      <c r="G30" t="s">
        <v>2</v>
      </c>
      <c r="H30" t="s">
        <v>84</v>
      </c>
      <c r="I30" t="str">
        <f>IF(Expenses1816[Status]="Done","",Expenses1816[Due Date]-$F$1)</f>
        <v/>
      </c>
      <c r="K30" t="s">
        <v>89</v>
      </c>
      <c r="L30" t="s">
        <v>84</v>
      </c>
      <c r="M30" t="s">
        <v>85</v>
      </c>
      <c r="N30" t="s">
        <v>82</v>
      </c>
      <c r="O30" t="s">
        <v>93</v>
      </c>
      <c r="Q30" t="s">
        <v>89</v>
      </c>
      <c r="R30" t="s">
        <v>84</v>
      </c>
      <c r="S30" t="s">
        <v>85</v>
      </c>
      <c r="T30" t="s">
        <v>82</v>
      </c>
      <c r="U30" t="s">
        <v>93</v>
      </c>
    </row>
    <row r="31" spans="1:21" x14ac:dyDescent="0.25">
      <c r="A31">
        <v>12</v>
      </c>
      <c r="B31" t="s">
        <v>62</v>
      </c>
      <c r="C31" t="str">
        <f>IF(Expenses1816[Expense Head]&lt;&gt;"",VLOOKUP(Expenses1816[Expense Head],ExpenseHead[],2,FALSE),"")</f>
        <v>PERSONAL</v>
      </c>
      <c r="D31" s="2">
        <v>43088</v>
      </c>
      <c r="E31" s="7">
        <v>600</v>
      </c>
      <c r="F31" s="7">
        <v>474.36</v>
      </c>
      <c r="G31" t="s">
        <v>2</v>
      </c>
      <c r="H31" t="s">
        <v>84</v>
      </c>
      <c r="I31" t="str">
        <f>IF(Expenses1816[Status]="Done","",Expenses1816[Due Date]-$F$1)</f>
        <v/>
      </c>
      <c r="K31" t="s">
        <v>2</v>
      </c>
      <c r="L31" s="7">
        <f>SUMIFS(Expenses1816[Actual Cost],Expenses1816[Paid from Account],Table61319[[#This Row],[Account]], Expenses1816[Status],L$30)</f>
        <v>58849.11</v>
      </c>
      <c r="M31" s="7">
        <f>SUMIFS(Expenses1816[Actual Cost],Expenses1816[Paid from Account],Table61319[[#This Row],[Account]], Expenses1816[Status],M$30)</f>
        <v>0</v>
      </c>
      <c r="N31" s="7">
        <f>SUMIFS(Expenses1816[Projected / Budgeted Cost],Expenses1816[Paid from Account],Table61319[[#This Row],[Account]], Expenses1816[Status],N$30)</f>
        <v>2000</v>
      </c>
      <c r="O31" s="7">
        <f>Table61319[Done]+Table61319[Partial-Done]+Table61319[Pending]</f>
        <v>60849.11</v>
      </c>
      <c r="Q31" t="s">
        <v>2</v>
      </c>
      <c r="R31" s="7">
        <f>SUMIFS(Transfer11218[Actual Amount],Transfer11218[From Account],Table81420[[#This Row],[Account]], Transfer11218[Status],R$30)</f>
        <v>6000</v>
      </c>
      <c r="S31" s="7">
        <f>SUMIFS(Transfer11218[Actual Amount],Transfer11218[From Account],Table81420[[#This Row],[Account]], Transfer11218[Status],S$30)</f>
        <v>0</v>
      </c>
      <c r="T31" s="7">
        <f>SUMIFS(Transfer11218[Projected / Budgeted Amount],Transfer11218[From Account],Table81420[[#This Row],[Account]], Transfer11218[Status],T$30)</f>
        <v>0</v>
      </c>
      <c r="U31" s="7">
        <f>R31+S31+T31</f>
        <v>6000</v>
      </c>
    </row>
    <row r="32" spans="1:21" x14ac:dyDescent="0.25">
      <c r="A32">
        <v>13</v>
      </c>
      <c r="B32" t="s">
        <v>52</v>
      </c>
      <c r="C32" t="str">
        <f>IF(Expenses1816[Expense Head]&lt;&gt;"",VLOOKUP(Expenses1816[Expense Head],ExpenseHead[],2,FALSE),"")</f>
        <v>HOUSING</v>
      </c>
      <c r="D32" s="2">
        <v>43091</v>
      </c>
      <c r="E32" s="7">
        <v>707</v>
      </c>
      <c r="F32" s="7">
        <v>707</v>
      </c>
      <c r="G32" t="s">
        <v>2</v>
      </c>
      <c r="H32" t="s">
        <v>84</v>
      </c>
      <c r="I32" t="str">
        <f>IF(Expenses1816[Status]="Done","",Expenses1816[Due Date]-$F$1)</f>
        <v/>
      </c>
      <c r="K32" t="s">
        <v>3</v>
      </c>
      <c r="L32" s="7">
        <f>SUMIFS(Expenses1816[Actual Cost],Expenses1816[Paid from Account],Table61319[[#This Row],[Account]], Expenses1816[Status],L$30)</f>
        <v>0</v>
      </c>
      <c r="M32" s="7">
        <f>SUMIFS(Expenses1816[Actual Cost],Expenses1816[Paid from Account],Table61319[[#This Row],[Account]], Expenses1816[Status],M$30)</f>
        <v>0</v>
      </c>
      <c r="N32" s="7">
        <f>SUMIFS(Expenses1816[Projected / Budgeted Cost],Expenses1816[Paid from Account],Table61319[[#This Row],[Account]], Expenses1816[Status],N$30)</f>
        <v>0</v>
      </c>
      <c r="O32" s="7">
        <f>Table61319[Done]+Table61319[Partial-Done]+Table61319[Pending]</f>
        <v>0</v>
      </c>
      <c r="Q32" t="s">
        <v>3</v>
      </c>
      <c r="R32" s="7">
        <f>SUMIFS(Transfer11218[Actual Amount],Transfer11218[From Account],Table81420[[#This Row],[Account]], Transfer11218[Status],R$30)</f>
        <v>0</v>
      </c>
      <c r="S32" s="7">
        <f>SUMIFS(Transfer11218[Actual Amount],Transfer11218[From Account],Table81420[[#This Row],[Account]], Transfer11218[Status],S$30)</f>
        <v>0</v>
      </c>
      <c r="T32" s="7">
        <f>SUMIFS(Transfer11218[Projected / Budgeted Amount],Transfer11218[From Account],Table81420[[#This Row],[Account]], Transfer11218[Status],T$30)</f>
        <v>0</v>
      </c>
      <c r="U32" s="7">
        <f>R32+S32+T32</f>
        <v>0</v>
      </c>
    </row>
    <row r="33" spans="1:21" x14ac:dyDescent="0.25">
      <c r="A33">
        <v>14</v>
      </c>
      <c r="B33" t="s">
        <v>72</v>
      </c>
      <c r="C33" t="str">
        <f>IF(Expenses1816[Expense Head]&lt;&gt;"",VLOOKUP(Expenses1816[Expense Head],ExpenseHead[],2,FALSE),"")</f>
        <v>TRANSPORTATION</v>
      </c>
      <c r="D33" s="2">
        <v>43074</v>
      </c>
      <c r="E33" s="7">
        <v>500</v>
      </c>
      <c r="F33" s="7">
        <v>250</v>
      </c>
      <c r="G33" t="s">
        <v>2</v>
      </c>
      <c r="H33" t="s">
        <v>84</v>
      </c>
      <c r="I33" t="str">
        <f>IF(Expenses1816[Status]="Done","",Expenses1816[Due Date]-$F$1)</f>
        <v/>
      </c>
      <c r="K33" t="s">
        <v>15</v>
      </c>
      <c r="L33" s="7">
        <f>SUMIFS(Expenses1816[Actual Cost],Expenses1816[Paid from Account],Table61319[[#This Row],[Account]], Expenses1816[Status],L$30)</f>
        <v>3610</v>
      </c>
      <c r="M33" s="7">
        <f>SUMIFS(Expenses1816[Actual Cost],Expenses1816[Paid from Account],Table61319[[#This Row],[Account]], Expenses1816[Status],M$30)</f>
        <v>0</v>
      </c>
      <c r="N33" s="7">
        <f>SUMIFS(Expenses1816[Projected / Budgeted Cost],Expenses1816[Paid from Account],Table61319[[#This Row],[Account]], Expenses1816[Status],N$30)</f>
        <v>0</v>
      </c>
      <c r="O33" s="7">
        <f>Table61319[Done]+Table61319[Partial-Done]+Table61319[Pending]</f>
        <v>3610</v>
      </c>
      <c r="Q33" t="s">
        <v>15</v>
      </c>
      <c r="R33" s="7">
        <f>SUMIFS(Transfer11218[Actual Amount],Transfer11218[From Account],Table81420[[#This Row],[Account]], Transfer11218[Status],R$30)</f>
        <v>0</v>
      </c>
      <c r="S33" s="7">
        <f>SUMIFS(Transfer11218[Actual Amount],Transfer11218[From Account],Table81420[[#This Row],[Account]], Transfer11218[Status],S$30)</f>
        <v>0</v>
      </c>
      <c r="T33" s="7">
        <f>SUMIFS(Transfer11218[Projected / Budgeted Amount],Transfer11218[From Account],Table81420[[#This Row],[Account]], Transfer11218[Status],T$30)</f>
        <v>0</v>
      </c>
      <c r="U33" s="7">
        <f>R33+S33+T33</f>
        <v>0</v>
      </c>
    </row>
    <row r="34" spans="1:21" x14ac:dyDescent="0.25">
      <c r="A34">
        <v>15</v>
      </c>
      <c r="B34" t="s">
        <v>77</v>
      </c>
      <c r="C34" t="str">
        <f>IF(Expenses1816[Expense Head]&lt;&gt;"",VLOOKUP(Expenses1816[Expense Head],ExpenseHead[],2,FALSE),"")</f>
        <v>HOUSING</v>
      </c>
      <c r="D34" s="2">
        <v>43074</v>
      </c>
      <c r="E34" s="7">
        <v>1000</v>
      </c>
      <c r="F34" s="7">
        <v>550</v>
      </c>
      <c r="G34" t="s">
        <v>15</v>
      </c>
      <c r="H34" t="s">
        <v>84</v>
      </c>
      <c r="I34" t="str">
        <f>IF(Expenses1816[Status]="Done","",Expenses1816[Due Date]-$F$1)</f>
        <v/>
      </c>
      <c r="K34" t="s">
        <v>109</v>
      </c>
      <c r="L34" s="7">
        <f>SUMIFS(Expenses1816[Actual Cost],Expenses1816[Paid from Account],Table61319[[#This Row],[Account]], Expenses1816[Status],L$30)</f>
        <v>0</v>
      </c>
      <c r="M34" s="7">
        <f>SUMIFS(Expenses1816[Actual Cost],Expenses1816[Paid from Account],Table61319[[#This Row],[Account]], Expenses1816[Status],M$30)</f>
        <v>0</v>
      </c>
      <c r="N34" s="7">
        <f>SUMIFS(Expenses1816[Projected / Budgeted Cost],Expenses1816[Paid from Account],Table61319[[#This Row],[Account]], Expenses1816[Status],N$30)</f>
        <v>0</v>
      </c>
      <c r="O34" s="7">
        <f>Table61319[Done]+Table61319[Partial-Done]+Table61319[Pending]</f>
        <v>0</v>
      </c>
      <c r="Q34" t="s">
        <v>93</v>
      </c>
      <c r="R34" s="7">
        <f>SUBTOTAL(109,Table81420[Done])</f>
        <v>6000</v>
      </c>
      <c r="S34" s="7">
        <f>SUBTOTAL(109,Table81420[Partial-Done])</f>
        <v>0</v>
      </c>
      <c r="T34" s="7">
        <f>SUBTOTAL(109,Table81420[Pending])</f>
        <v>0</v>
      </c>
      <c r="U34" s="7">
        <f>SUBTOTAL(109,Table81420[Total])</f>
        <v>6000</v>
      </c>
    </row>
    <row r="35" spans="1:21" x14ac:dyDescent="0.25">
      <c r="A35">
        <v>16</v>
      </c>
      <c r="B35" t="s">
        <v>57</v>
      </c>
      <c r="C35" t="str">
        <f>IF(Expenses1816[Expense Head]&lt;&gt;"",VLOOKUP(Expenses1816[Expense Head],ExpenseHead[],2,FALSE),"")</f>
        <v>HOUSING</v>
      </c>
      <c r="D35" s="2">
        <v>43071</v>
      </c>
      <c r="E35" s="7">
        <v>1200</v>
      </c>
      <c r="F35" s="7">
        <v>500</v>
      </c>
      <c r="G35" t="s">
        <v>15</v>
      </c>
      <c r="H35" t="s">
        <v>84</v>
      </c>
      <c r="I35" t="str">
        <f>IF(Expenses1816[Status]="Done","",Expenses1816[Due Date]-$F$1)</f>
        <v/>
      </c>
      <c r="K35" t="s">
        <v>93</v>
      </c>
      <c r="L35" s="7">
        <f>SUBTOTAL(109,Table61319[Done])</f>
        <v>62459.11</v>
      </c>
      <c r="M35" s="7">
        <f>SUBTOTAL(109,Table61319[Partial-Done])</f>
        <v>0</v>
      </c>
      <c r="N35" s="7">
        <f>SUBTOTAL(109,Table61319[Pending])</f>
        <v>2000</v>
      </c>
      <c r="O35" s="7">
        <f>SUBTOTAL(109,Table61319[Total])</f>
        <v>64459.11</v>
      </c>
    </row>
    <row r="36" spans="1:21" x14ac:dyDescent="0.25">
      <c r="A36">
        <v>17</v>
      </c>
      <c r="B36" t="s">
        <v>44</v>
      </c>
      <c r="C36" t="str">
        <f>IF(Expenses1816[Expense Head]&lt;&gt;"",VLOOKUP(Expenses1816[Expense Head],ExpenseHead[],2,FALSE),"")</f>
        <v>HEALTH</v>
      </c>
      <c r="D36" s="2">
        <v>43084</v>
      </c>
      <c r="E36" s="7">
        <v>1000</v>
      </c>
      <c r="F36" s="7"/>
      <c r="G36" t="s">
        <v>2</v>
      </c>
      <c r="H36" t="s">
        <v>82</v>
      </c>
      <c r="I36">
        <f ca="1">IF(Expenses1816[Status]="Done","",Expenses1816[Due Date]-$F$1)</f>
        <v>-109</v>
      </c>
    </row>
    <row r="37" spans="1:21" x14ac:dyDescent="0.25">
      <c r="A37">
        <v>18</v>
      </c>
      <c r="B37" t="s">
        <v>30</v>
      </c>
      <c r="C37" t="str">
        <f>IF(Expenses1816[Expense Head]&lt;&gt;"",VLOOKUP(Expenses1816[Expense Head],ExpenseHead[],2,FALSE),"")</f>
        <v>HOUSING</v>
      </c>
      <c r="D37" s="2">
        <v>43071</v>
      </c>
      <c r="E37" s="7">
        <v>1400</v>
      </c>
      <c r="F37" s="7">
        <v>1320</v>
      </c>
      <c r="G37" t="s">
        <v>15</v>
      </c>
      <c r="H37" t="s">
        <v>84</v>
      </c>
      <c r="I37" t="str">
        <f>IF(Expenses1816[Status]="Done","",Expenses1816[Due Date]-$F$1)</f>
        <v/>
      </c>
    </row>
    <row r="38" spans="1:21" x14ac:dyDescent="0.25">
      <c r="A38">
        <v>19</v>
      </c>
      <c r="B38" t="s">
        <v>24</v>
      </c>
      <c r="C38" t="str">
        <f>IF(Expenses1816[Expense Head]&lt;&gt;"",VLOOKUP(Expenses1816[Expense Head],ExpenseHead[],2,FALSE),"")</f>
        <v>HOUSING</v>
      </c>
      <c r="D38" s="2">
        <v>43071</v>
      </c>
      <c r="E38" s="7">
        <v>500</v>
      </c>
      <c r="F38" s="7">
        <v>500</v>
      </c>
      <c r="G38" t="s">
        <v>15</v>
      </c>
      <c r="H38" t="s">
        <v>84</v>
      </c>
      <c r="I38" t="str">
        <f>IF(Expenses1816[Status]="Done","",Expenses1816[Due Date]-$F$1)</f>
        <v/>
      </c>
      <c r="K38" s="8" t="s">
        <v>10</v>
      </c>
      <c r="L38" t="s">
        <v>106</v>
      </c>
      <c r="M38" t="s">
        <v>107</v>
      </c>
    </row>
    <row r="39" spans="1:21" x14ac:dyDescent="0.25">
      <c r="A39">
        <v>20</v>
      </c>
      <c r="B39" t="s">
        <v>56</v>
      </c>
      <c r="C39" t="str">
        <f>IF(Expenses1816[Expense Head]&lt;&gt;"",VLOOKUP(Expenses1816[Expense Head],ExpenseHead[],2,FALSE),"")</f>
        <v>HOUSING</v>
      </c>
      <c r="D39" s="2">
        <v>43079</v>
      </c>
      <c r="E39" s="7">
        <v>750</v>
      </c>
      <c r="F39" s="7">
        <v>740</v>
      </c>
      <c r="G39" t="s">
        <v>15</v>
      </c>
      <c r="H39" t="s">
        <v>84</v>
      </c>
      <c r="I39" t="str">
        <f>IF(Expenses1816[Status]="Done","",Expenses1816[Due Date]-$F$1)</f>
        <v/>
      </c>
      <c r="K39" s="9" t="s">
        <v>25</v>
      </c>
      <c r="L39" s="7">
        <v>23207</v>
      </c>
      <c r="M39" s="7">
        <v>21757</v>
      </c>
    </row>
    <row r="40" spans="1:21" x14ac:dyDescent="0.25">
      <c r="A40">
        <v>21</v>
      </c>
      <c r="B40" t="s">
        <v>28</v>
      </c>
      <c r="C40" t="str">
        <f>IF(Expenses1816[Expense Head]&lt;&gt;"",VLOOKUP(Expenses1816[Expense Head],ExpenseHead[],2,FALSE),"")</f>
        <v>LOANS</v>
      </c>
      <c r="D40" s="2">
        <v>43077</v>
      </c>
      <c r="E40" s="7">
        <v>5556</v>
      </c>
      <c r="F40" s="7">
        <v>5556</v>
      </c>
      <c r="G40" t="s">
        <v>2</v>
      </c>
      <c r="H40" t="s">
        <v>84</v>
      </c>
      <c r="I40" t="str">
        <f>IF(Expenses1816[Status]="Done","",Expenses1816[Due Date]-$F$1)</f>
        <v/>
      </c>
      <c r="K40" s="9" t="s">
        <v>21</v>
      </c>
      <c r="L40" s="7">
        <v>24000</v>
      </c>
      <c r="M40" s="7">
        <v>25000</v>
      </c>
    </row>
    <row r="41" spans="1:21" x14ac:dyDescent="0.25">
      <c r="A41">
        <v>22</v>
      </c>
      <c r="B41" t="s">
        <v>53</v>
      </c>
      <c r="C41" t="str">
        <f>IF(Expenses1816[Expense Head]&lt;&gt;"",VLOOKUP(Expenses1816[Expense Head],ExpenseHead[],2,FALSE),"")</f>
        <v>SAVINGS/INVESTMENT</v>
      </c>
      <c r="D41" s="2">
        <v>43071</v>
      </c>
      <c r="E41" s="7"/>
      <c r="F41" s="7">
        <v>1000</v>
      </c>
      <c r="G41" t="s">
        <v>2</v>
      </c>
      <c r="H41" t="s">
        <v>84</v>
      </c>
      <c r="I41" t="str">
        <f>IF(Expenses1816[Status]="Done","",Expenses1816[Due Date]-$F$1)</f>
        <v/>
      </c>
      <c r="K41" s="9" t="s">
        <v>29</v>
      </c>
      <c r="L41" s="7">
        <v>11393.14</v>
      </c>
      <c r="M41" s="7">
        <v>11393.14</v>
      </c>
    </row>
    <row r="42" spans="1:21" x14ac:dyDescent="0.25">
      <c r="A42">
        <v>23</v>
      </c>
      <c r="B42" t="s">
        <v>65</v>
      </c>
      <c r="C42" t="str">
        <f>IF(Expenses1816[Expense Head]&lt;&gt;"",VLOOKUP(Expenses1816[Expense Head],ExpenseHead[],2,FALSE),"")</f>
        <v>SAVINGS/INVESTMENT</v>
      </c>
      <c r="D42" s="2">
        <v>43076</v>
      </c>
      <c r="E42" s="7">
        <v>20000</v>
      </c>
      <c r="F42" s="7">
        <v>20000</v>
      </c>
      <c r="G42" t="s">
        <v>2</v>
      </c>
      <c r="H42" t="s">
        <v>84</v>
      </c>
      <c r="I42" t="str">
        <f>IF(Expenses1816[Status]="Done","",Expenses1816[Due Date]-$F$1)</f>
        <v/>
      </c>
      <c r="K42" s="9" t="s">
        <v>32</v>
      </c>
      <c r="L42" s="7">
        <v>2000</v>
      </c>
      <c r="M42" s="7">
        <v>2990.13</v>
      </c>
    </row>
    <row r="43" spans="1:21" x14ac:dyDescent="0.25">
      <c r="A43">
        <v>24</v>
      </c>
      <c r="B43" t="s">
        <v>77</v>
      </c>
      <c r="C43" t="str">
        <f>IF(Expenses1816[Expense Head]&lt;&gt;"",VLOOKUP(Expenses1816[Expense Head],ExpenseHead[],2,FALSE),"")</f>
        <v>HOUSING</v>
      </c>
      <c r="D43" s="2">
        <v>43074</v>
      </c>
      <c r="E43" s="7"/>
      <c r="F43" s="7"/>
      <c r="G43" t="s">
        <v>2</v>
      </c>
      <c r="H43" t="s">
        <v>82</v>
      </c>
      <c r="I43">
        <f ca="1">IF(Expenses1816[Status]="Done","",Expenses1816[Due Date]-$F$1)</f>
        <v>-119</v>
      </c>
      <c r="K43" s="9" t="s">
        <v>19</v>
      </c>
      <c r="L43" s="7">
        <v>1500</v>
      </c>
      <c r="M43" s="7">
        <v>250</v>
      </c>
    </row>
    <row r="44" spans="1:21" x14ac:dyDescent="0.25">
      <c r="A44" t="s">
        <v>93</v>
      </c>
      <c r="E44" s="7">
        <f>SUBTOTAL(109,Expenses1816[Projected / Budgeted Cost])</f>
        <v>64400.14</v>
      </c>
      <c r="F44" s="7">
        <f>SUBTOTAL(109,Expenses1816[Actual Cost])</f>
        <v>62459.11</v>
      </c>
      <c r="K44" s="9" t="s">
        <v>27</v>
      </c>
      <c r="L44" s="7">
        <v>1300</v>
      </c>
      <c r="M44" s="7">
        <v>1068.8400000000001</v>
      </c>
    </row>
    <row r="45" spans="1:21" x14ac:dyDescent="0.25">
      <c r="K45" s="9" t="s">
        <v>45</v>
      </c>
      <c r="L45" s="7">
        <v>1000</v>
      </c>
      <c r="M45" s="7"/>
    </row>
    <row r="46" spans="1:21" x14ac:dyDescent="0.25">
      <c r="K46" s="9" t="s">
        <v>104</v>
      </c>
      <c r="L46" s="7">
        <v>64400.14</v>
      </c>
      <c r="M46" s="7">
        <v>62459.11</v>
      </c>
    </row>
  </sheetData>
  <mergeCells count="6">
    <mergeCell ref="A4:I4"/>
    <mergeCell ref="A18:I18"/>
    <mergeCell ref="K20:N20"/>
    <mergeCell ref="Q20:T20"/>
    <mergeCell ref="K29:O29"/>
    <mergeCell ref="Q29:U29"/>
  </mergeCells>
  <conditionalFormatting sqref="A20:I43">
    <cfRule type="expression" dxfId="155" priority="1">
      <formula>$H$20="Pending"</formula>
    </cfRule>
  </conditionalFormatting>
  <dataValidations count="4">
    <dataValidation type="list" allowBlank="1" showInputMessage="1" showErrorMessage="1" sqref="C6:C7">
      <formula1>"Cash, Cheque, ECS"</formula1>
    </dataValidation>
    <dataValidation type="list" allowBlank="1" showInputMessage="1" showErrorMessage="1" sqref="B20:B43">
      <formula1>Expense_Head</formula1>
    </dataValidation>
    <dataValidation type="list" allowBlank="1" showInputMessage="1" showErrorMessage="1" sqref="K31:K34 Q22:Q26 K22:K26 Q31:Q33 G20:G43 G6:G7 B6:B7">
      <formula1>Account_Name</formula1>
    </dataValidation>
    <dataValidation type="list" allowBlank="1" showInputMessage="1" showErrorMessage="1" sqref="H20:H43 H6:H7">
      <formula1>"Done, Partial-Done, Pending"</formula1>
    </dataValidation>
  </dataValidations>
  <pageMargins left="0.7" right="0.7" top="0.75" bottom="0.75" header="0.3" footer="0.3"/>
  <pageSetup orientation="portrait" r:id="rId2"/>
  <drawing r:id="rId3"/>
  <tableParts count="6">
    <tablePart r:id="rId4"/>
    <tablePart r:id="rId5"/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A6" workbookViewId="0">
      <selection activeCell="F27" sqref="F27"/>
    </sheetView>
  </sheetViews>
  <sheetFormatPr defaultRowHeight="15" x14ac:dyDescent="0.25"/>
  <cols>
    <col min="2" max="2" width="15.5703125" customWidth="1"/>
    <col min="3" max="3" width="21.5703125" bestFit="1" customWidth="1"/>
    <col min="4" max="4" width="11.28515625" customWidth="1"/>
    <col min="5" max="5" width="29.5703125" customWidth="1"/>
    <col min="6" max="6" width="16.28515625" customWidth="1"/>
    <col min="7" max="7" width="19.28515625" customWidth="1"/>
    <col min="9" max="9" width="18.5703125" customWidth="1"/>
    <col min="10" max="10" width="2.7109375" customWidth="1"/>
    <col min="11" max="11" width="21.5703125" bestFit="1" customWidth="1"/>
    <col min="12" max="12" width="10" bestFit="1" customWidth="1"/>
    <col min="13" max="13" width="10" customWidth="1"/>
    <col min="14" max="14" width="11.28515625" customWidth="1"/>
    <col min="15" max="15" width="11.5703125" bestFit="1" customWidth="1"/>
    <col min="16" max="16" width="2.140625" customWidth="1"/>
    <col min="17" max="17" width="11" bestFit="1" customWidth="1"/>
    <col min="18" max="18" width="18" customWidth="1"/>
    <col min="19" max="19" width="19" customWidth="1"/>
    <col min="20" max="20" width="17.140625" customWidth="1"/>
    <col min="21" max="21" width="10" bestFit="1" customWidth="1"/>
  </cols>
  <sheetData>
    <row r="1" spans="1:23" ht="18.75" x14ac:dyDescent="0.3">
      <c r="B1" s="3" t="s">
        <v>86</v>
      </c>
      <c r="C1" s="4">
        <v>43070</v>
      </c>
      <c r="E1" s="3" t="s">
        <v>83</v>
      </c>
      <c r="F1" s="5">
        <f ca="1">TODAY()</f>
        <v>43193</v>
      </c>
    </row>
    <row r="4" spans="1:23" ht="18.75" x14ac:dyDescent="0.3">
      <c r="A4" s="12" t="s">
        <v>96</v>
      </c>
      <c r="B4" s="12"/>
      <c r="C4" s="12"/>
      <c r="D4" s="12"/>
      <c r="E4" s="12"/>
      <c r="F4" s="12"/>
      <c r="G4" s="12"/>
      <c r="H4" s="12"/>
      <c r="I4" s="12"/>
    </row>
    <row r="5" spans="1:23" x14ac:dyDescent="0.25">
      <c r="A5" t="s">
        <v>8</v>
      </c>
      <c r="B5" t="s">
        <v>98</v>
      </c>
      <c r="C5" t="s">
        <v>10</v>
      </c>
      <c r="D5" t="s">
        <v>11</v>
      </c>
      <c r="E5" s="6" t="s">
        <v>99</v>
      </c>
      <c r="F5" t="s">
        <v>100</v>
      </c>
      <c r="G5" t="s">
        <v>97</v>
      </c>
      <c r="H5" t="s">
        <v>16</v>
      </c>
      <c r="I5" t="s">
        <v>17</v>
      </c>
    </row>
    <row r="6" spans="1:23" x14ac:dyDescent="0.25">
      <c r="A6">
        <v>1</v>
      </c>
      <c r="B6" t="s">
        <v>15</v>
      </c>
      <c r="C6" t="s">
        <v>101</v>
      </c>
      <c r="D6" s="2">
        <v>43101</v>
      </c>
      <c r="E6" s="7">
        <v>3000</v>
      </c>
      <c r="F6" s="7">
        <v>4000</v>
      </c>
      <c r="G6" t="s">
        <v>2</v>
      </c>
      <c r="H6" t="s">
        <v>84</v>
      </c>
      <c r="I6" t="str">
        <f>IF(Transfer1121824[Status]="Done","",Transfer1121824[Due Date]-$F$1)</f>
        <v/>
      </c>
    </row>
    <row r="7" spans="1:23" x14ac:dyDescent="0.25">
      <c r="A7">
        <v>2</v>
      </c>
      <c r="B7" t="s">
        <v>3</v>
      </c>
      <c r="C7" t="s">
        <v>101</v>
      </c>
      <c r="D7" s="2">
        <v>43102</v>
      </c>
      <c r="E7" s="7">
        <v>50000</v>
      </c>
      <c r="F7" s="7">
        <v>50000</v>
      </c>
      <c r="G7" t="s">
        <v>2</v>
      </c>
      <c r="H7" t="s">
        <v>84</v>
      </c>
      <c r="I7" t="str">
        <f>IF(Transfer1121824[Status]="Done","",Transfer1121824[Due Date]-$F$1)</f>
        <v/>
      </c>
    </row>
    <row r="8" spans="1:23" x14ac:dyDescent="0.25">
      <c r="A8" t="s">
        <v>93</v>
      </c>
      <c r="E8" s="7">
        <f>SUBTOTAL(109,Transfer1121824[Projected / Budgeted Amount])</f>
        <v>53000</v>
      </c>
      <c r="F8" s="7">
        <f>SUBTOTAL(109,Transfer1121824[Actual Amount])</f>
        <v>54000</v>
      </c>
      <c r="V8">
        <v>15500</v>
      </c>
    </row>
    <row r="9" spans="1:23" x14ac:dyDescent="0.25">
      <c r="V9">
        <v>2790</v>
      </c>
      <c r="W9">
        <f>V9*3</f>
        <v>8370</v>
      </c>
    </row>
    <row r="18" spans="1:21" ht="18.75" x14ac:dyDescent="0.3">
      <c r="A18" s="13" t="s">
        <v>87</v>
      </c>
      <c r="B18" s="13"/>
      <c r="C18" s="13"/>
      <c r="D18" s="13"/>
      <c r="E18" s="13"/>
      <c r="F18" s="13"/>
      <c r="G18" s="13"/>
      <c r="H18" s="13"/>
      <c r="I18" s="13"/>
    </row>
    <row r="19" spans="1:21" x14ac:dyDescent="0.25">
      <c r="A19" t="s">
        <v>8</v>
      </c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16</v>
      </c>
      <c r="I19" t="s">
        <v>17</v>
      </c>
    </row>
    <row r="20" spans="1:21" ht="18.75" x14ac:dyDescent="0.3">
      <c r="A20">
        <v>1</v>
      </c>
      <c r="B20" t="s">
        <v>47</v>
      </c>
      <c r="C20" t="str">
        <f>IF(Expenses_Jan[Expense Head]&lt;&gt;"",VLOOKUP(Expenses_Jan[Expense Head],ExpenseHead[],2,FALSE),"")</f>
        <v>HOUSING</v>
      </c>
      <c r="D20" s="2">
        <v>43102</v>
      </c>
      <c r="E20" s="7">
        <v>16500</v>
      </c>
      <c r="F20" s="7">
        <v>16500</v>
      </c>
      <c r="G20" t="s">
        <v>2</v>
      </c>
      <c r="H20" t="s">
        <v>84</v>
      </c>
      <c r="I20" t="str">
        <f>IF(Expenses_Jan[Status]="Done","",Expenses_Jan[Due Date]-$F$1)</f>
        <v/>
      </c>
      <c r="K20" s="11" t="s">
        <v>88</v>
      </c>
      <c r="L20" s="11"/>
      <c r="M20" s="11"/>
      <c r="N20" s="11"/>
      <c r="Q20" s="10" t="s">
        <v>105</v>
      </c>
      <c r="R20" s="10"/>
      <c r="S20" s="10"/>
      <c r="T20" s="10"/>
    </row>
    <row r="21" spans="1:21" x14ac:dyDescent="0.25">
      <c r="A21">
        <v>2</v>
      </c>
      <c r="B21" t="s">
        <v>28</v>
      </c>
      <c r="C21" t="str">
        <f>IF(Expenses_Jan[Expense Head]&lt;&gt;"",VLOOKUP(Expenses_Jan[Expense Head],ExpenseHead[],2,FALSE),"")</f>
        <v>LOANS</v>
      </c>
      <c r="D21" s="2">
        <v>43102</v>
      </c>
      <c r="E21" s="7">
        <v>11044</v>
      </c>
      <c r="F21" s="7">
        <v>11044</v>
      </c>
      <c r="G21" t="s">
        <v>2</v>
      </c>
      <c r="H21" t="s">
        <v>84</v>
      </c>
      <c r="I21" t="str">
        <f>IF(Expenses_Jan[Status]="Done","",Expenses_Jan[Due Date]-$F$1)</f>
        <v/>
      </c>
      <c r="K21" t="s">
        <v>89</v>
      </c>
      <c r="L21" t="s">
        <v>91</v>
      </c>
      <c r="M21" t="s">
        <v>92</v>
      </c>
      <c r="N21" t="s">
        <v>93</v>
      </c>
      <c r="Q21" t="s">
        <v>89</v>
      </c>
      <c r="R21" t="s">
        <v>90</v>
      </c>
      <c r="S21" t="s">
        <v>94</v>
      </c>
      <c r="T21" t="s">
        <v>95</v>
      </c>
    </row>
    <row r="22" spans="1:21" x14ac:dyDescent="0.25">
      <c r="A22">
        <v>3</v>
      </c>
      <c r="B22" t="s">
        <v>20</v>
      </c>
      <c r="C22" t="str">
        <f>IF(Expenses_Jan[Expense Head]&lt;&gt;"",VLOOKUP(Expenses_Jan[Expense Head],ExpenseHead[],2,FALSE),"")</f>
        <v>SAVINGS/INVESTMENT</v>
      </c>
      <c r="D22" s="2">
        <v>43101</v>
      </c>
      <c r="E22" s="7">
        <v>2000</v>
      </c>
      <c r="F22" s="7">
        <v>2000</v>
      </c>
      <c r="G22" t="s">
        <v>2</v>
      </c>
      <c r="H22" t="s">
        <v>84</v>
      </c>
      <c r="I22" t="str">
        <f>IF(Expenses_Jan[Status]="Done","",Expenses_Jan[Due Date]-$F$1)</f>
        <v/>
      </c>
      <c r="K22" t="s">
        <v>2</v>
      </c>
      <c r="L22" s="7">
        <v>93770</v>
      </c>
      <c r="M22" s="7">
        <v>25826</v>
      </c>
      <c r="N22" s="7">
        <f>Table4111723[Salary]+Table4111723[Others]</f>
        <v>119596</v>
      </c>
      <c r="Q22" t="s">
        <v>2</v>
      </c>
      <c r="R22" s="7"/>
      <c r="S22" s="7">
        <f>Table9152127[Opening Balance]+SUMIFS(Table4111723[Total],Table4111723[Account],Table9152127[[#This Row],[Account]])-SUMIF(Table6131925[Account],Table9152127[[#This Row],[Account]],Table6131925[Total])-SUMIF(Table8142026[Account],Table9152127[[#This Row],[Account]],Table8142026[Total])</f>
        <v>-13635.779999999999</v>
      </c>
      <c r="T22" s="7">
        <f>Table9152127[Opening Balance]+SUMIFS(Table4111723[Total],Table4111723[Account],Table9152127[[#This Row],[Account]])-SUMIF(Table6131925[Account],Table9152127[[#This Row],[Account]],Table6131925[Done])-SUMIF(Table8142026[Account],Table9152127[[#This Row],[Account]],Table8142026[Done])</f>
        <v>-3030.7799999999988</v>
      </c>
    </row>
    <row r="23" spans="1:21" x14ac:dyDescent="0.25">
      <c r="A23">
        <v>4</v>
      </c>
      <c r="B23" t="s">
        <v>20</v>
      </c>
      <c r="C23" t="str">
        <f>IF(Expenses_Jan[Expense Head]&lt;&gt;"",VLOOKUP(Expenses_Jan[Expense Head],ExpenseHead[],2,FALSE),"")</f>
        <v>SAVINGS/INVESTMENT</v>
      </c>
      <c r="D23" s="2">
        <v>43115</v>
      </c>
      <c r="E23" s="7">
        <v>2000</v>
      </c>
      <c r="F23" s="7">
        <v>2000</v>
      </c>
      <c r="G23" t="s">
        <v>2</v>
      </c>
      <c r="H23" t="s">
        <v>84</v>
      </c>
      <c r="I23" t="str">
        <f>IF(Expenses_Jan[Status]="Done","",Expenses_Jan[Due Date]-$F$1)</f>
        <v/>
      </c>
      <c r="K23" t="s">
        <v>3</v>
      </c>
      <c r="L23" s="7"/>
      <c r="M23" s="7">
        <f>F6</f>
        <v>4000</v>
      </c>
      <c r="N23" s="7">
        <f>Table4111723[Salary]+Table4111723[Others]</f>
        <v>4000</v>
      </c>
      <c r="Q23" t="s">
        <v>3</v>
      </c>
      <c r="R23" s="7"/>
      <c r="S23" s="7">
        <f>Table9152127[Opening Balance]+SUMIFS(Table4111723[Total],Table4111723[Account],Table9152127[[#This Row],[Account]])-SUMIF(Table6131925[Account],Table9152127[[#This Row],[Account]],Table6131925[Total])-SUMIF(Table8142026[Account],Table9152127[[#This Row],[Account]],Table8142026[Total])</f>
        <v>4000</v>
      </c>
      <c r="T23" s="7">
        <f>Table9152127[Opening Balance]+SUMIFS(Table4111723[Total],Table4111723[Account],Table9152127[[#This Row],[Account]])-SUMIF(Table6131925[Account],Table9152127[[#This Row],[Account]],Table6131925[Done])-SUMIF(Table8142026[Account],Table9152127[[#This Row],[Account]],Table8142026[Done])</f>
        <v>4000</v>
      </c>
    </row>
    <row r="24" spans="1:21" x14ac:dyDescent="0.25">
      <c r="A24">
        <v>5</v>
      </c>
      <c r="B24" t="s">
        <v>67</v>
      </c>
      <c r="C24" t="str">
        <f>IF(Expenses_Jan[Expense Head]&lt;&gt;"",VLOOKUP(Expenses_Jan[Expense Head],ExpenseHead[],2,FALSE),"")</f>
        <v>PERSONAL</v>
      </c>
      <c r="D24" s="2">
        <v>43115</v>
      </c>
      <c r="E24" s="7">
        <v>1000</v>
      </c>
      <c r="F24" s="7">
        <v>998</v>
      </c>
      <c r="G24" t="s">
        <v>2</v>
      </c>
      <c r="H24" t="s">
        <v>84</v>
      </c>
      <c r="I24" t="str">
        <f>IF(Expenses_Jan[Status]="Done","",Expenses_Jan[Due Date]-$F$1)</f>
        <v/>
      </c>
      <c r="K24" t="s">
        <v>15</v>
      </c>
      <c r="L24" s="7"/>
      <c r="M24" s="7"/>
      <c r="N24" s="7">
        <f>Table4111723[Salary]+Table4111723[Others]</f>
        <v>0</v>
      </c>
      <c r="Q24" t="s">
        <v>15</v>
      </c>
      <c r="R24" s="7"/>
      <c r="S24" s="7">
        <f>Table9152127[Opening Balance]+SUMIFS(Table4111723[Total],Table4111723[Account],Table9152127[[#This Row],[Account]])-SUMIF(Table6131925[Account],Table9152127[[#This Row],[Account]],Table6131925[Total])-SUMIF(Table8142026[Account],Table9152127[[#This Row],[Account]],Table8142026[Total])</f>
        <v>-2580</v>
      </c>
      <c r="T24" s="7">
        <f>Table9152127[Opening Balance]+SUMIFS(Table4111723[Total],Table4111723[Account],Table9152127[[#This Row],[Account]])-SUMIF(Table6131925[Account],Table9152127[[#This Row],[Account]],Table6131925[Done])-SUMIF(Table8142026[Account],Table9152127[[#This Row],[Account]],Table8142026[Done])</f>
        <v>-2080</v>
      </c>
    </row>
    <row r="25" spans="1:21" x14ac:dyDescent="0.25">
      <c r="A25">
        <v>6</v>
      </c>
      <c r="B25" t="s">
        <v>42</v>
      </c>
      <c r="C25" t="str">
        <f>IF(Expenses_Jan[Expense Head]&lt;&gt;"",VLOOKUP(Expenses_Jan[Expense Head],ExpenseHead[],2,FALSE),"")</f>
        <v>FOOD</v>
      </c>
      <c r="D25" s="2">
        <v>43105</v>
      </c>
      <c r="E25" s="7">
        <v>3000</v>
      </c>
      <c r="F25" s="7">
        <v>4119.78</v>
      </c>
      <c r="G25" t="s">
        <v>2</v>
      </c>
      <c r="H25" t="s">
        <v>84</v>
      </c>
      <c r="I25" t="str">
        <f>IF(Expenses_Jan[Status]="Done","",Expenses_Jan[Due Date]-$F$1)</f>
        <v/>
      </c>
      <c r="K25" t="s">
        <v>5</v>
      </c>
      <c r="L25" s="7"/>
      <c r="M25" s="7"/>
      <c r="N25" s="7">
        <f>Table4111723[Salary]+Table4111723[Others]</f>
        <v>0</v>
      </c>
      <c r="Q25" t="s">
        <v>5</v>
      </c>
      <c r="R25" s="7"/>
      <c r="S25" s="7">
        <f>Table9152127[Opening Balance]+SUMIFS(Table4111723[Total],Table4111723[Account],Table9152127[[#This Row],[Account]])-SUMIF(Table6131925[Account],Table9152127[[#This Row],[Account]],Table6131925[Total])-SUMIF(Table8142026[Account],Table9152127[[#This Row],[Account]],Table8142026[Total])</f>
        <v>0</v>
      </c>
      <c r="T25" s="7">
        <f>Table9152127[Opening Balance]+SUMIFS(Table4111723[Total],Table4111723[Account],Table9152127[[#This Row],[Account]])-SUMIF(Table6131925[Account],Table9152127[[#This Row],[Account]],Table6131925[Done])-SUMIF(Table8142026[Account],Table9152127[[#This Row],[Account]],Table8142026[Done])</f>
        <v>0</v>
      </c>
    </row>
    <row r="26" spans="1:21" x14ac:dyDescent="0.25">
      <c r="A26">
        <v>7</v>
      </c>
      <c r="B26" t="s">
        <v>23</v>
      </c>
      <c r="C26" t="str">
        <f>IF(Expenses_Jan[Expense Head]&lt;&gt;"",VLOOKUP(Expenses_Jan[Expense Head],ExpenseHead[],2,FALSE),"")</f>
        <v>TRANSPORTATION</v>
      </c>
      <c r="D26" s="2">
        <v>43101</v>
      </c>
      <c r="E26" s="7">
        <v>2000</v>
      </c>
      <c r="F26" s="7">
        <v>2500</v>
      </c>
      <c r="G26" t="s">
        <v>2</v>
      </c>
      <c r="H26" t="s">
        <v>84</v>
      </c>
      <c r="I26" t="str">
        <f>IF(Expenses_Jan[Status]="Done","",Expenses_Jan[Due Date]-$F$1)</f>
        <v/>
      </c>
      <c r="K26" t="s">
        <v>7</v>
      </c>
      <c r="L26" s="7"/>
      <c r="M26" s="7"/>
      <c r="N26" s="7">
        <f>Table4111723[Salary]+Table4111723[Others]</f>
        <v>0</v>
      </c>
      <c r="Q26" t="s">
        <v>7</v>
      </c>
      <c r="R26" s="7"/>
      <c r="S26" s="7">
        <f>Table9152127[Opening Balance]+SUMIFS(Table4111723[Total],Table4111723[Account],Table9152127[[#This Row],[Account]])-SUMIF(Table6131925[Account],Table9152127[[#This Row],[Account]],Table6131925[Total])-SUMIF(Table8142026[Account],Table9152127[[#This Row],[Account]],Table8142026[Total])</f>
        <v>0</v>
      </c>
      <c r="T26" s="7">
        <f>Table9152127[Opening Balance]+SUMIFS(Table4111723[Total],Table4111723[Account],Table9152127[[#This Row],[Account]])-SUMIF(Table6131925[Account],Table9152127[[#This Row],[Account]],Table6131925[Done])-SUMIF(Table8142026[Account],Table9152127[[#This Row],[Account]],Table8142026[Done])</f>
        <v>0</v>
      </c>
    </row>
    <row r="27" spans="1:21" x14ac:dyDescent="0.25">
      <c r="A27">
        <v>8</v>
      </c>
      <c r="B27" t="s">
        <v>34</v>
      </c>
      <c r="C27" t="str">
        <f>IF(Expenses_Jan[Expense Head]&lt;&gt;"",VLOOKUP(Expenses_Jan[Expense Head],ExpenseHead[],2,FALSE),"")</f>
        <v>HOUSING</v>
      </c>
      <c r="D27" s="2">
        <v>43105</v>
      </c>
      <c r="E27" s="7">
        <v>500</v>
      </c>
      <c r="F27" s="7">
        <v>500</v>
      </c>
      <c r="G27" t="s">
        <v>7</v>
      </c>
      <c r="H27" t="s">
        <v>84</v>
      </c>
      <c r="I27" t="str">
        <f>IF(Expenses_Jan[Status]="Done","",Expenses_Jan[Due Date]-$F$1)</f>
        <v/>
      </c>
      <c r="K27" t="s">
        <v>93</v>
      </c>
      <c r="L27" s="7"/>
      <c r="M27" s="7"/>
      <c r="N27" s="7">
        <f>SUBTOTAL(109,Table4111723[Total])</f>
        <v>123596</v>
      </c>
      <c r="Q27" t="s">
        <v>93</v>
      </c>
      <c r="R27" s="7">
        <f>SUBTOTAL(109,Table9152127[Opening Balance])</f>
        <v>0</v>
      </c>
      <c r="S27" s="7">
        <f>SUBTOTAL(109,Table9152127[Projected Balance])</f>
        <v>-12215.779999999999</v>
      </c>
      <c r="T27" s="7">
        <f>SUBTOTAL(109,Table9152127[Current Balance])</f>
        <v>-1110.7799999999988</v>
      </c>
    </row>
    <row r="28" spans="1:21" x14ac:dyDescent="0.25">
      <c r="A28">
        <v>9</v>
      </c>
      <c r="B28" t="s">
        <v>31</v>
      </c>
      <c r="C28" t="str">
        <f>IF(Expenses_Jan[Expense Head]&lt;&gt;"",VLOOKUP(Expenses_Jan[Expense Head],ExpenseHead[],2,FALSE),"")</f>
        <v>FOOD</v>
      </c>
      <c r="D28" s="2">
        <v>43101</v>
      </c>
      <c r="E28" s="7">
        <v>938</v>
      </c>
      <c r="F28" s="7">
        <v>938</v>
      </c>
      <c r="G28" t="s">
        <v>2</v>
      </c>
      <c r="H28" t="s">
        <v>84</v>
      </c>
      <c r="I28" t="str">
        <f>IF(Expenses_Jan[Status]="Done","",Expenses_Jan[Due Date]-$F$1)</f>
        <v/>
      </c>
    </row>
    <row r="29" spans="1:21" ht="18.75" x14ac:dyDescent="0.3">
      <c r="A29">
        <v>10</v>
      </c>
      <c r="B29" t="s">
        <v>35</v>
      </c>
      <c r="C29" t="str">
        <f>IF(Expenses_Jan[Expense Head]&lt;&gt;"",VLOOKUP(Expenses_Jan[Expense Head],ExpenseHead[],2,FALSE),"")</f>
        <v>HOUSING</v>
      </c>
      <c r="D29" s="2">
        <v>43115</v>
      </c>
      <c r="E29" s="7">
        <v>500</v>
      </c>
      <c r="F29" s="7">
        <v>380</v>
      </c>
      <c r="G29" t="s">
        <v>2</v>
      </c>
      <c r="H29" t="s">
        <v>84</v>
      </c>
      <c r="I29" t="str">
        <f>IF(Expenses_Jan[Status]="Done","",Expenses_Jan[Due Date]-$F$1)</f>
        <v/>
      </c>
      <c r="K29" s="10" t="s">
        <v>102</v>
      </c>
      <c r="L29" s="10"/>
      <c r="M29" s="10"/>
      <c r="N29" s="10"/>
      <c r="O29" s="10"/>
      <c r="Q29" s="10" t="s">
        <v>103</v>
      </c>
      <c r="R29" s="10"/>
      <c r="S29" s="10"/>
      <c r="T29" s="10"/>
      <c r="U29" s="10"/>
    </row>
    <row r="30" spans="1:21" x14ac:dyDescent="0.25">
      <c r="A30">
        <v>11</v>
      </c>
      <c r="B30" t="s">
        <v>61</v>
      </c>
      <c r="C30" t="str">
        <f>IF(Expenses_Jan[Expense Head]&lt;&gt;"",VLOOKUP(Expenses_Jan[Expense Head],ExpenseHead[],2,FALSE),"")</f>
        <v>PERSONAL</v>
      </c>
      <c r="D30" s="2">
        <v>43119</v>
      </c>
      <c r="E30" s="7">
        <v>550</v>
      </c>
      <c r="F30" s="7"/>
      <c r="G30" t="s">
        <v>2</v>
      </c>
      <c r="H30" t="s">
        <v>82</v>
      </c>
      <c r="I30">
        <f ca="1">IF(Expenses_Jan[Status]="Done","",Expenses_Jan[Due Date]-$F$1)</f>
        <v>-74</v>
      </c>
      <c r="K30" t="s">
        <v>89</v>
      </c>
      <c r="L30" t="s">
        <v>84</v>
      </c>
      <c r="M30" t="s">
        <v>85</v>
      </c>
      <c r="N30" t="s">
        <v>82</v>
      </c>
      <c r="O30" t="s">
        <v>93</v>
      </c>
      <c r="Q30" t="s">
        <v>89</v>
      </c>
      <c r="R30" t="s">
        <v>84</v>
      </c>
      <c r="S30" t="s">
        <v>85</v>
      </c>
      <c r="T30" t="s">
        <v>82</v>
      </c>
      <c r="U30" t="s">
        <v>93</v>
      </c>
    </row>
    <row r="31" spans="1:21" x14ac:dyDescent="0.25">
      <c r="A31">
        <v>12</v>
      </c>
      <c r="B31" t="s">
        <v>62</v>
      </c>
      <c r="C31" t="str">
        <f>IF(Expenses_Jan[Expense Head]&lt;&gt;"",VLOOKUP(Expenses_Jan[Expense Head],ExpenseHead[],2,FALSE),"")</f>
        <v>PERSONAL</v>
      </c>
      <c r="D31" s="2">
        <v>43119</v>
      </c>
      <c r="E31" s="7">
        <v>500</v>
      </c>
      <c r="F31" s="7"/>
      <c r="G31" t="s">
        <v>2</v>
      </c>
      <c r="H31" t="s">
        <v>82</v>
      </c>
      <c r="I31">
        <f ca="1">IF(Expenses_Jan[Status]="Done","",Expenses_Jan[Due Date]-$F$1)</f>
        <v>-74</v>
      </c>
      <c r="K31" t="s">
        <v>2</v>
      </c>
      <c r="L31" s="7">
        <f>SUMIFS(Expenses_Jan[Actual Cost],Expenses_Jan[Paid from Account],Table6131925[[#This Row],[Account]], Expenses_Jan[Status],L$30)</f>
        <v>68626.78</v>
      </c>
      <c r="M31" s="7">
        <f>SUMIFS(Expenses_Jan[Actual Cost],Expenses_Jan[Paid from Account],Table6131925[[#This Row],[Account]], Expenses_Jan[Status],M$30)</f>
        <v>0</v>
      </c>
      <c r="N31" s="7">
        <f>SUMIFS(Expenses_Jan[Projected / Budgeted Cost],Expenses_Jan[Paid from Account],Table6131925[[#This Row],[Account]], Expenses_Jan[Status],N$30)</f>
        <v>10605</v>
      </c>
      <c r="O31" s="7">
        <f>Table6131925[Done]+Table6131925[Partial-Done]+Table6131925[Pending]</f>
        <v>79231.78</v>
      </c>
      <c r="Q31" t="s">
        <v>2</v>
      </c>
      <c r="R31" s="7">
        <f>SUMIFS(Transfer1121824[Actual Amount],Transfer1121824[From Account],Table8142026[[#This Row],[Account]], Transfer1121824[Status],R$30)</f>
        <v>54000</v>
      </c>
      <c r="S31" s="7">
        <f>SUMIFS(Transfer1121824[Actual Amount],Transfer1121824[From Account],Table8142026[[#This Row],[Account]], Transfer1121824[Status],S$30)</f>
        <v>0</v>
      </c>
      <c r="T31" s="7">
        <f>SUMIFS(Transfer1121824[Projected / Budgeted Amount],Transfer1121824[From Account],Table8142026[[#This Row],[Account]], Transfer1121824[Status],T$30)</f>
        <v>0</v>
      </c>
      <c r="U31" s="7">
        <f>R31+S31+T31</f>
        <v>54000</v>
      </c>
    </row>
    <row r="32" spans="1:21" x14ac:dyDescent="0.25">
      <c r="A32">
        <v>13</v>
      </c>
      <c r="B32" t="s">
        <v>52</v>
      </c>
      <c r="C32" t="str">
        <f>IF(Expenses_Jan[Expense Head]&lt;&gt;"",VLOOKUP(Expenses_Jan[Expense Head],ExpenseHead[],2,FALSE),"")</f>
        <v>HOUSING</v>
      </c>
      <c r="D32" s="2">
        <v>43122</v>
      </c>
      <c r="E32" s="7">
        <v>707</v>
      </c>
      <c r="F32" s="7"/>
      <c r="G32" t="s">
        <v>2</v>
      </c>
      <c r="H32" t="s">
        <v>82</v>
      </c>
      <c r="I32">
        <f ca="1">IF(Expenses_Jan[Status]="Done","",Expenses_Jan[Due Date]-$F$1)</f>
        <v>-71</v>
      </c>
      <c r="K32" t="s">
        <v>3</v>
      </c>
      <c r="L32" s="7">
        <f>SUMIFS(Expenses_Jan[Actual Cost],Expenses_Jan[Paid from Account],Table6131925[[#This Row],[Account]], Expenses_Jan[Status],L$30)</f>
        <v>0</v>
      </c>
      <c r="M32" s="7">
        <f>SUMIFS(Expenses_Jan[Actual Cost],Expenses_Jan[Paid from Account],Table6131925[[#This Row],[Account]], Expenses_Jan[Status],M$30)</f>
        <v>0</v>
      </c>
      <c r="N32" s="7">
        <f>SUMIFS(Expenses_Jan[Projected / Budgeted Cost],Expenses_Jan[Paid from Account],Table6131925[[#This Row],[Account]], Expenses_Jan[Status],N$30)</f>
        <v>0</v>
      </c>
      <c r="O32" s="7">
        <f>Table6131925[Done]+Table6131925[Partial-Done]+Table6131925[Pending]</f>
        <v>0</v>
      </c>
      <c r="Q32" t="s">
        <v>3</v>
      </c>
      <c r="R32" s="7">
        <f>SUMIFS(Transfer1121824[Actual Amount],Transfer1121824[From Account],Table8142026[[#This Row],[Account]], Transfer1121824[Status],R$30)</f>
        <v>0</v>
      </c>
      <c r="S32" s="7">
        <f>SUMIFS(Transfer1121824[Actual Amount],Transfer1121824[From Account],Table8142026[[#This Row],[Account]], Transfer1121824[Status],S$30)</f>
        <v>0</v>
      </c>
      <c r="T32" s="7">
        <f>SUMIFS(Transfer1121824[Projected / Budgeted Amount],Transfer1121824[From Account],Table8142026[[#This Row],[Account]], Transfer1121824[Status],T$30)</f>
        <v>0</v>
      </c>
      <c r="U32" s="7">
        <f>R32+S32+T32</f>
        <v>0</v>
      </c>
    </row>
    <row r="33" spans="1:21" x14ac:dyDescent="0.25">
      <c r="A33">
        <v>14</v>
      </c>
      <c r="B33" t="s">
        <v>72</v>
      </c>
      <c r="C33" t="str">
        <f>IF(Expenses_Jan[Expense Head]&lt;&gt;"",VLOOKUP(Expenses_Jan[Expense Head],ExpenseHead[],2,FALSE),"")</f>
        <v>TRANSPORTATION</v>
      </c>
      <c r="D33" s="2">
        <v>43102</v>
      </c>
      <c r="E33" s="7">
        <v>500</v>
      </c>
      <c r="F33" s="7">
        <v>250</v>
      </c>
      <c r="G33" t="s">
        <v>2</v>
      </c>
      <c r="H33" t="s">
        <v>84</v>
      </c>
      <c r="I33" t="str">
        <f>IF(Expenses_Jan[Status]="Done","",Expenses_Jan[Due Date]-$F$1)</f>
        <v/>
      </c>
      <c r="K33" t="s">
        <v>15</v>
      </c>
      <c r="L33" s="7">
        <f>SUMIFS(Expenses_Jan[Actual Cost],Expenses_Jan[Paid from Account],Table6131925[[#This Row],[Account]], Expenses_Jan[Status],L$30)</f>
        <v>2080</v>
      </c>
      <c r="M33" s="7">
        <f>SUMIFS(Expenses_Jan[Actual Cost],Expenses_Jan[Paid from Account],Table6131925[[#This Row],[Account]], Expenses_Jan[Status],M$30)</f>
        <v>500</v>
      </c>
      <c r="N33" s="7">
        <f>SUMIFS(Expenses_Jan[Projected / Budgeted Cost],Expenses_Jan[Paid from Account],Table6131925[[#This Row],[Account]], Expenses_Jan[Status],N$30)</f>
        <v>0</v>
      </c>
      <c r="O33" s="7">
        <f>Table6131925[Done]+Table6131925[Partial-Done]+Table6131925[Pending]</f>
        <v>2580</v>
      </c>
      <c r="Q33" t="s">
        <v>15</v>
      </c>
      <c r="R33" s="7">
        <f>SUMIFS(Transfer1121824[Actual Amount],Transfer1121824[From Account],Table8142026[[#This Row],[Account]], Transfer1121824[Status],R$30)</f>
        <v>0</v>
      </c>
      <c r="S33" s="7">
        <f>SUMIFS(Transfer1121824[Actual Amount],Transfer1121824[From Account],Table8142026[[#This Row],[Account]], Transfer1121824[Status],S$30)</f>
        <v>0</v>
      </c>
      <c r="T33" s="7">
        <f>SUMIFS(Transfer1121824[Projected / Budgeted Amount],Transfer1121824[From Account],Table8142026[[#This Row],[Account]], Transfer1121824[Status],T$30)</f>
        <v>0</v>
      </c>
      <c r="U33" s="7">
        <f>R33+S33+T33</f>
        <v>0</v>
      </c>
    </row>
    <row r="34" spans="1:21" x14ac:dyDescent="0.25">
      <c r="A34">
        <v>15</v>
      </c>
      <c r="B34" t="s">
        <v>77</v>
      </c>
      <c r="C34" t="str">
        <f>IF(Expenses_Jan[Expense Head]&lt;&gt;"",VLOOKUP(Expenses_Jan[Expense Head],ExpenseHead[],2,FALSE),"")</f>
        <v>HOUSING</v>
      </c>
      <c r="D34" s="2">
        <v>43105</v>
      </c>
      <c r="E34" s="7">
        <v>1000</v>
      </c>
      <c r="F34" s="7">
        <v>400</v>
      </c>
      <c r="G34" t="s">
        <v>15</v>
      </c>
      <c r="H34" t="s">
        <v>84</v>
      </c>
      <c r="I34" t="str">
        <f>IF(Expenses_Jan[Status]="Done","",Expenses_Jan[Due Date]-$F$1)</f>
        <v/>
      </c>
      <c r="K34" t="s">
        <v>109</v>
      </c>
      <c r="L34" s="7">
        <f>SUMIFS(Expenses_Jan[Actual Cost],Expenses_Jan[Paid from Account],Table6131925[[#This Row],[Account]], Expenses_Jan[Status],L$30)</f>
        <v>0</v>
      </c>
      <c r="M34" s="7">
        <f>SUMIFS(Expenses_Jan[Actual Cost],Expenses_Jan[Paid from Account],Table6131925[[#This Row],[Account]], Expenses_Jan[Status],M$30)</f>
        <v>0</v>
      </c>
      <c r="N34" s="7">
        <f>SUMIFS(Expenses_Jan[Projected / Budgeted Cost],Expenses_Jan[Paid from Account],Table6131925[[#This Row],[Account]], Expenses_Jan[Status],N$30)</f>
        <v>0</v>
      </c>
      <c r="O34" s="7">
        <f>Table6131925[Done]+Table6131925[Partial-Done]+Table6131925[Pending]</f>
        <v>0</v>
      </c>
      <c r="Q34" t="s">
        <v>93</v>
      </c>
      <c r="R34" s="7">
        <f>SUBTOTAL(109,Table8142026[Done])</f>
        <v>54000</v>
      </c>
      <c r="S34" s="7">
        <f>SUBTOTAL(109,Table8142026[Partial-Done])</f>
        <v>0</v>
      </c>
      <c r="T34" s="7">
        <f>SUBTOTAL(109,Table8142026[Pending])</f>
        <v>0</v>
      </c>
      <c r="U34" s="7">
        <f>SUBTOTAL(109,Table8142026[Total])</f>
        <v>54000</v>
      </c>
    </row>
    <row r="35" spans="1:21" x14ac:dyDescent="0.25">
      <c r="A35">
        <v>16</v>
      </c>
      <c r="B35" t="s">
        <v>57</v>
      </c>
      <c r="C35" t="str">
        <f>IF(Expenses_Jan[Expense Head]&lt;&gt;"",VLOOKUP(Expenses_Jan[Expense Head],ExpenseHead[],2,FALSE),"")</f>
        <v>HOUSING</v>
      </c>
      <c r="D35" s="2">
        <v>43102</v>
      </c>
      <c r="E35" s="7">
        <v>1000</v>
      </c>
      <c r="F35" s="7">
        <v>800</v>
      </c>
      <c r="G35" t="s">
        <v>15</v>
      </c>
      <c r="H35" t="s">
        <v>84</v>
      </c>
      <c r="I35" t="str">
        <f>IF(Expenses_Jan[Status]="Done","",Expenses_Jan[Due Date]-$F$1)</f>
        <v/>
      </c>
      <c r="K35" t="s">
        <v>93</v>
      </c>
      <c r="L35" s="7">
        <f>SUBTOTAL(109,Table6131925[Done])</f>
        <v>70706.78</v>
      </c>
      <c r="M35" s="7">
        <f>SUBTOTAL(109,Table6131925[Partial-Done])</f>
        <v>500</v>
      </c>
      <c r="N35" s="7">
        <f>SUBTOTAL(109,Table6131925[Pending])</f>
        <v>10605</v>
      </c>
      <c r="O35" s="7">
        <f>SUBTOTAL(109,Table6131925[Total])</f>
        <v>81811.78</v>
      </c>
    </row>
    <row r="36" spans="1:21" x14ac:dyDescent="0.25">
      <c r="A36">
        <v>17</v>
      </c>
      <c r="B36" t="s">
        <v>44</v>
      </c>
      <c r="C36" t="str">
        <f>IF(Expenses_Jan[Expense Head]&lt;&gt;"",VLOOKUP(Expenses_Jan[Expense Head],ExpenseHead[],2,FALSE),"")</f>
        <v>HEALTH</v>
      </c>
      <c r="D36" s="2">
        <v>43115</v>
      </c>
      <c r="E36" s="7">
        <v>1000</v>
      </c>
      <c r="F36" s="7"/>
      <c r="G36" t="s">
        <v>2</v>
      </c>
      <c r="H36" t="s">
        <v>82</v>
      </c>
      <c r="I36">
        <f ca="1">IF(Expenses_Jan[Status]="Done","",Expenses_Jan[Due Date]-$F$1)</f>
        <v>-78</v>
      </c>
    </row>
    <row r="37" spans="1:21" x14ac:dyDescent="0.25">
      <c r="A37">
        <v>18</v>
      </c>
      <c r="B37" t="s">
        <v>30</v>
      </c>
      <c r="C37" t="str">
        <f>IF(Expenses_Jan[Expense Head]&lt;&gt;"",VLOOKUP(Expenses_Jan[Expense Head],ExpenseHead[],2,FALSE),"")</f>
        <v>HOUSING</v>
      </c>
      <c r="D37" s="2">
        <v>43105</v>
      </c>
      <c r="E37" s="7">
        <v>800</v>
      </c>
      <c r="F37" s="7">
        <v>880</v>
      </c>
      <c r="G37" t="s">
        <v>15</v>
      </c>
      <c r="H37" t="s">
        <v>84</v>
      </c>
      <c r="I37" t="str">
        <f>IF(Expenses_Jan[Status]="Done","",Expenses_Jan[Due Date]-$F$1)</f>
        <v/>
      </c>
    </row>
    <row r="38" spans="1:21" x14ac:dyDescent="0.25">
      <c r="A38">
        <v>19</v>
      </c>
      <c r="B38" t="s">
        <v>24</v>
      </c>
      <c r="C38" t="str">
        <f>IF(Expenses_Jan[Expense Head]&lt;&gt;"",VLOOKUP(Expenses_Jan[Expense Head],ExpenseHead[],2,FALSE),"")</f>
        <v>HOUSING</v>
      </c>
      <c r="D38" s="2">
        <v>43105</v>
      </c>
      <c r="E38" s="7">
        <v>500</v>
      </c>
      <c r="F38" s="7">
        <v>500</v>
      </c>
      <c r="G38" t="s">
        <v>15</v>
      </c>
      <c r="H38" t="s">
        <v>85</v>
      </c>
      <c r="I38">
        <f ca="1">IF(Expenses_Jan[Status]="Done","",Expenses_Jan[Due Date]-$F$1)</f>
        <v>-88</v>
      </c>
      <c r="K38" s="8" t="s">
        <v>10</v>
      </c>
      <c r="L38" t="s">
        <v>106</v>
      </c>
      <c r="M38" t="s">
        <v>107</v>
      </c>
    </row>
    <row r="39" spans="1:21" x14ac:dyDescent="0.25">
      <c r="A39">
        <v>20</v>
      </c>
      <c r="B39" t="s">
        <v>56</v>
      </c>
      <c r="C39" t="str">
        <f>IF(Expenses_Jan[Expense Head]&lt;&gt;"",VLOOKUP(Expenses_Jan[Expense Head],ExpenseHead[],2,FALSE),"")</f>
        <v>HOUSING</v>
      </c>
      <c r="D39" s="2">
        <v>43110</v>
      </c>
      <c r="E39" s="7">
        <v>0</v>
      </c>
      <c r="F39" s="7"/>
      <c r="G39" t="s">
        <v>15</v>
      </c>
      <c r="H39" t="s">
        <v>84</v>
      </c>
      <c r="I39" t="str">
        <f>IF(Expenses_Jan[Status]="Done","",Expenses_Jan[Due Date]-$F$1)</f>
        <v/>
      </c>
      <c r="K39" s="9" t="s">
        <v>25</v>
      </c>
      <c r="L39" s="7">
        <v>21507</v>
      </c>
      <c r="M39" s="7">
        <v>19960</v>
      </c>
    </row>
    <row r="40" spans="1:21" x14ac:dyDescent="0.25">
      <c r="A40">
        <v>21</v>
      </c>
      <c r="B40" t="s">
        <v>28</v>
      </c>
      <c r="C40" t="str">
        <f>IF(Expenses_Jan[Expense Head]&lt;&gt;"",VLOOKUP(Expenses_Jan[Expense Head],ExpenseHead[],2,FALSE),"")</f>
        <v>LOANS</v>
      </c>
      <c r="D40" s="2">
        <v>43108</v>
      </c>
      <c r="E40" s="7">
        <v>1497</v>
      </c>
      <c r="F40" s="7">
        <v>1497</v>
      </c>
      <c r="G40" t="s">
        <v>2</v>
      </c>
      <c r="H40" t="s">
        <v>84</v>
      </c>
      <c r="I40" t="str">
        <f>IF(Expenses_Jan[Status]="Done","",Expenses_Jan[Due Date]-$F$1)</f>
        <v/>
      </c>
      <c r="K40" s="9" t="s">
        <v>21</v>
      </c>
      <c r="L40" s="7">
        <v>24000</v>
      </c>
      <c r="M40" s="7">
        <v>24000</v>
      </c>
    </row>
    <row r="41" spans="1:21" x14ac:dyDescent="0.25">
      <c r="A41">
        <v>22</v>
      </c>
      <c r="B41" t="s">
        <v>60</v>
      </c>
      <c r="C41" t="str">
        <f>IF(Expenses_Jan[Expense Head]&lt;&gt;"",VLOOKUP(Expenses_Jan[Expense Head],ExpenseHead[],2,FALSE),"")</f>
        <v>PERSONAL</v>
      </c>
      <c r="D41" s="2">
        <v>43102</v>
      </c>
      <c r="E41" s="7">
        <v>6400</v>
      </c>
      <c r="F41" s="7">
        <v>6400</v>
      </c>
      <c r="G41" t="s">
        <v>2</v>
      </c>
      <c r="H41" t="s">
        <v>84</v>
      </c>
      <c r="I41" t="str">
        <f>IF(Expenses_Jan[Status]="Done","",Expenses_Jan[Due Date]-$F$1)</f>
        <v/>
      </c>
      <c r="K41" s="9" t="s">
        <v>29</v>
      </c>
      <c r="L41" s="7">
        <v>12541</v>
      </c>
      <c r="M41" s="7">
        <v>12541</v>
      </c>
    </row>
    <row r="42" spans="1:21" x14ac:dyDescent="0.25">
      <c r="A42">
        <v>23</v>
      </c>
      <c r="B42" t="s">
        <v>65</v>
      </c>
      <c r="C42" t="str">
        <f>IF(Expenses_Jan[Expense Head]&lt;&gt;"",VLOOKUP(Expenses_Jan[Expense Head],ExpenseHead[],2,FALSE),"")</f>
        <v>SAVINGS/INVESTMENT</v>
      </c>
      <c r="D42" s="2">
        <v>43107</v>
      </c>
      <c r="E42" s="7">
        <v>20000</v>
      </c>
      <c r="F42" s="7">
        <v>20000</v>
      </c>
      <c r="G42" t="s">
        <v>2</v>
      </c>
      <c r="H42" t="s">
        <v>84</v>
      </c>
      <c r="I42" t="str">
        <f>IF(Expenses_Jan[Status]="Done","",Expenses_Jan[Due Date]-$F$1)</f>
        <v/>
      </c>
      <c r="K42" s="9" t="s">
        <v>32</v>
      </c>
      <c r="L42" s="7">
        <v>3938</v>
      </c>
      <c r="M42" s="7">
        <v>5057.78</v>
      </c>
    </row>
    <row r="43" spans="1:21" x14ac:dyDescent="0.25">
      <c r="A43">
        <v>24</v>
      </c>
      <c r="B43" t="s">
        <v>55</v>
      </c>
      <c r="C43" t="str">
        <f>IF(Expenses_Jan[Expense Head]&lt;&gt;"",VLOOKUP(Expenses_Jan[Expense Head],ExpenseHead[],2,FALSE),"")</f>
        <v>INSURANCE</v>
      </c>
      <c r="D43" s="2">
        <v>43128</v>
      </c>
      <c r="E43" s="7">
        <v>7848</v>
      </c>
      <c r="F43" s="7"/>
      <c r="G43" t="s">
        <v>2</v>
      </c>
      <c r="H43" t="s">
        <v>82</v>
      </c>
      <c r="I43">
        <f ca="1">IF(Expenses_Jan[Status]="Done","",Expenses_Jan[Due Date]-$F$1)</f>
        <v>-65</v>
      </c>
      <c r="K43" s="9" t="s">
        <v>19</v>
      </c>
      <c r="L43" s="7">
        <v>2500</v>
      </c>
      <c r="M43" s="7">
        <v>2750</v>
      </c>
    </row>
    <row r="44" spans="1:21" x14ac:dyDescent="0.25">
      <c r="A44" t="s">
        <v>93</v>
      </c>
      <c r="E44" s="7">
        <f>SUBTOTAL(109,Expenses_Jan[Projected / Budgeted Cost])</f>
        <v>81784</v>
      </c>
      <c r="F44" s="7">
        <f>SUBTOTAL(109,Expenses_Jan[Actual Cost])</f>
        <v>71706.78</v>
      </c>
      <c r="K44" s="9" t="s">
        <v>27</v>
      </c>
      <c r="L44" s="7">
        <v>8450</v>
      </c>
      <c r="M44" s="7">
        <v>7398</v>
      </c>
    </row>
    <row r="45" spans="1:21" x14ac:dyDescent="0.25">
      <c r="K45" s="9" t="s">
        <v>45</v>
      </c>
      <c r="L45" s="7">
        <v>1000</v>
      </c>
      <c r="M45" s="7"/>
    </row>
    <row r="46" spans="1:21" x14ac:dyDescent="0.25">
      <c r="K46" s="9" t="s">
        <v>50</v>
      </c>
      <c r="L46" s="7">
        <v>7848</v>
      </c>
      <c r="M46" s="7"/>
    </row>
    <row r="47" spans="1:21" x14ac:dyDescent="0.25">
      <c r="K47" s="9" t="s">
        <v>104</v>
      </c>
      <c r="L47" s="7">
        <v>81784</v>
      </c>
      <c r="M47" s="7">
        <v>71706.78</v>
      </c>
    </row>
  </sheetData>
  <mergeCells count="6">
    <mergeCell ref="A4:I4"/>
    <mergeCell ref="A18:I18"/>
    <mergeCell ref="K20:N20"/>
    <mergeCell ref="Q20:T20"/>
    <mergeCell ref="K29:O29"/>
    <mergeCell ref="Q29:U29"/>
  </mergeCells>
  <conditionalFormatting sqref="A20:I43">
    <cfRule type="expression" dxfId="116" priority="1">
      <formula>$H$20="Pending"</formula>
    </cfRule>
  </conditionalFormatting>
  <dataValidations count="4">
    <dataValidation type="list" allowBlank="1" showInputMessage="1" showErrorMessage="1" sqref="H20:H43 H6:H7">
      <formula1>"Done, Partial-Done, Pending"</formula1>
    </dataValidation>
    <dataValidation type="list" allowBlank="1" showInputMessage="1" showErrorMessage="1" sqref="K31:K34 Q22:Q26 K22:K26 Q31:Q33 G20:G43 G6:G7 B6:B7">
      <formula1>Account_Name</formula1>
    </dataValidation>
    <dataValidation type="list" allowBlank="1" showInputMessage="1" showErrorMessage="1" sqref="B20:B43">
      <formula1>Expense_Head</formula1>
    </dataValidation>
    <dataValidation type="list" allowBlank="1" showInputMessage="1" showErrorMessage="1" sqref="C6:C7">
      <formula1>"Cash, Cheque, ECS"</formula1>
    </dataValidation>
  </dataValidations>
  <pageMargins left="0.7" right="0.7" top="0.75" bottom="0.75" header="0.3" footer="0.3"/>
  <pageSetup orientation="portrait" r:id="rId2"/>
  <drawing r:id="rId3"/>
  <tableParts count="6"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A10" workbookViewId="0">
      <selection activeCell="I12" sqref="I12"/>
    </sheetView>
  </sheetViews>
  <sheetFormatPr defaultRowHeight="15" x14ac:dyDescent="0.25"/>
  <cols>
    <col min="2" max="2" width="15.5703125" customWidth="1"/>
    <col min="3" max="3" width="21.5703125" bestFit="1" customWidth="1"/>
    <col min="4" max="4" width="11.28515625" customWidth="1"/>
    <col min="5" max="5" width="29.5703125" customWidth="1"/>
    <col min="6" max="6" width="16.28515625" customWidth="1"/>
    <col min="7" max="7" width="19.28515625" customWidth="1"/>
    <col min="9" max="9" width="18.5703125" customWidth="1"/>
    <col min="10" max="10" width="2.7109375" customWidth="1"/>
    <col min="11" max="11" width="21.5703125" bestFit="1" customWidth="1"/>
    <col min="12" max="12" width="10" bestFit="1" customWidth="1"/>
    <col min="13" max="13" width="6.5703125" customWidth="1"/>
    <col min="14" max="14" width="11.28515625" customWidth="1"/>
    <col min="15" max="15" width="11.5703125" bestFit="1" customWidth="1"/>
    <col min="16" max="16" width="2.140625" customWidth="1"/>
    <col min="17" max="17" width="11" bestFit="1" customWidth="1"/>
    <col min="18" max="18" width="18" customWidth="1"/>
    <col min="19" max="19" width="19" customWidth="1"/>
    <col min="20" max="20" width="17.140625" customWidth="1"/>
    <col min="21" max="21" width="10" bestFit="1" customWidth="1"/>
  </cols>
  <sheetData>
    <row r="1" spans="1:23" ht="18.75" x14ac:dyDescent="0.3">
      <c r="B1" s="3" t="s">
        <v>86</v>
      </c>
      <c r="C1" s="4">
        <v>43070</v>
      </c>
      <c r="E1" s="3" t="s">
        <v>83</v>
      </c>
      <c r="F1" s="5">
        <f ca="1">TODAY()</f>
        <v>43193</v>
      </c>
    </row>
    <row r="4" spans="1:23" ht="18.75" x14ac:dyDescent="0.3">
      <c r="A4" s="12" t="s">
        <v>96</v>
      </c>
      <c r="B4" s="12"/>
      <c r="C4" s="12"/>
      <c r="D4" s="12"/>
      <c r="E4" s="12"/>
      <c r="F4" s="12"/>
      <c r="G4" s="12"/>
      <c r="H4" s="12"/>
      <c r="I4" s="12"/>
    </row>
    <row r="5" spans="1:23" x14ac:dyDescent="0.25">
      <c r="A5" t="s">
        <v>8</v>
      </c>
      <c r="B5" t="s">
        <v>98</v>
      </c>
      <c r="C5" t="s">
        <v>10</v>
      </c>
      <c r="D5" t="s">
        <v>11</v>
      </c>
      <c r="E5" s="6" t="s">
        <v>99</v>
      </c>
      <c r="F5" t="s">
        <v>100</v>
      </c>
      <c r="G5" t="s">
        <v>97</v>
      </c>
      <c r="H5" t="s">
        <v>16</v>
      </c>
      <c r="I5" t="s">
        <v>17</v>
      </c>
    </row>
    <row r="6" spans="1:23" x14ac:dyDescent="0.25">
      <c r="A6">
        <v>1</v>
      </c>
      <c r="B6" t="s">
        <v>15</v>
      </c>
      <c r="C6" t="s">
        <v>101</v>
      </c>
      <c r="D6" s="2">
        <v>43134</v>
      </c>
      <c r="E6" s="7"/>
      <c r="F6" s="7"/>
      <c r="G6" t="s">
        <v>2</v>
      </c>
      <c r="H6" t="s">
        <v>84</v>
      </c>
      <c r="I6" t="str">
        <f>IF(Transfer112182430[Status]="Done","",Transfer112182430[Due Date]-$F$1)</f>
        <v/>
      </c>
    </row>
    <row r="7" spans="1:23" x14ac:dyDescent="0.25">
      <c r="A7">
        <v>2</v>
      </c>
      <c r="B7" t="s">
        <v>3</v>
      </c>
      <c r="C7" t="s">
        <v>101</v>
      </c>
      <c r="D7" s="2">
        <v>43133</v>
      </c>
      <c r="E7" s="7"/>
      <c r="F7" s="7"/>
      <c r="G7" t="s">
        <v>2</v>
      </c>
      <c r="H7" t="s">
        <v>84</v>
      </c>
      <c r="I7" t="str">
        <f>IF(Transfer112182430[Status]="Done","",Transfer112182430[Due Date]-$F$1)</f>
        <v/>
      </c>
    </row>
    <row r="8" spans="1:23" x14ac:dyDescent="0.25">
      <c r="A8" t="s">
        <v>93</v>
      </c>
      <c r="E8" s="7">
        <f>SUBTOTAL(109,Transfer112182430[Projected / Budgeted Amount])</f>
        <v>0</v>
      </c>
      <c r="F8" s="7">
        <f>SUBTOTAL(109,Transfer112182430[Actual Amount])</f>
        <v>0</v>
      </c>
      <c r="V8">
        <v>15500</v>
      </c>
    </row>
    <row r="9" spans="1:23" x14ac:dyDescent="0.25">
      <c r="V9">
        <v>2790</v>
      </c>
      <c r="W9">
        <f>V9*3</f>
        <v>8370</v>
      </c>
    </row>
    <row r="18" spans="1:21" ht="18.75" x14ac:dyDescent="0.3">
      <c r="A18" s="13" t="s">
        <v>87</v>
      </c>
      <c r="B18" s="13"/>
      <c r="C18" s="13"/>
      <c r="D18" s="13"/>
      <c r="E18" s="13"/>
      <c r="F18" s="13"/>
      <c r="G18" s="13"/>
      <c r="H18" s="13"/>
      <c r="I18" s="13"/>
    </row>
    <row r="19" spans="1:21" x14ac:dyDescent="0.25">
      <c r="A19" t="s">
        <v>8</v>
      </c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16</v>
      </c>
      <c r="I19" t="s">
        <v>17</v>
      </c>
    </row>
    <row r="20" spans="1:21" ht="18.75" x14ac:dyDescent="0.3">
      <c r="A20">
        <v>1</v>
      </c>
      <c r="B20" t="s">
        <v>47</v>
      </c>
      <c r="C20" t="str">
        <f>IF(Expenses_Feb[Expense Head]&lt;&gt;"",VLOOKUP(Expenses_Feb[Expense Head],ExpenseHead[],2,FALSE),"")</f>
        <v>HOUSING</v>
      </c>
      <c r="D20" s="2">
        <v>43132</v>
      </c>
      <c r="E20" s="7">
        <v>16500</v>
      </c>
      <c r="F20" s="7"/>
      <c r="G20" t="s">
        <v>2</v>
      </c>
      <c r="H20" t="s">
        <v>82</v>
      </c>
      <c r="I20">
        <f ca="1">IF(Expenses_Feb[Status]="Done","",Expenses_Feb[Due Date]-$F$1)</f>
        <v>-61</v>
      </c>
      <c r="K20" s="11" t="s">
        <v>88</v>
      </c>
      <c r="L20" s="11"/>
      <c r="M20" s="11"/>
      <c r="N20" s="11"/>
      <c r="Q20" s="10" t="s">
        <v>105</v>
      </c>
      <c r="R20" s="10"/>
      <c r="S20" s="10"/>
      <c r="T20" s="10"/>
    </row>
    <row r="21" spans="1:21" x14ac:dyDescent="0.25">
      <c r="A21">
        <v>2</v>
      </c>
      <c r="B21" t="s">
        <v>28</v>
      </c>
      <c r="C21" t="str">
        <f>IF(Expenses_Feb[Expense Head]&lt;&gt;"",VLOOKUP(Expenses_Feb[Expense Head],ExpenseHead[],2,FALSE),"")</f>
        <v>LOANS</v>
      </c>
      <c r="D21" s="2">
        <v>43133</v>
      </c>
      <c r="E21" s="7">
        <v>4895.4799999999996</v>
      </c>
      <c r="F21" s="7"/>
      <c r="G21" t="s">
        <v>2</v>
      </c>
      <c r="H21" t="s">
        <v>82</v>
      </c>
      <c r="I21">
        <f ca="1">IF(Expenses_Feb[Status]="Done","",Expenses_Feb[Due Date]-$F$1)</f>
        <v>-60</v>
      </c>
      <c r="K21" t="s">
        <v>89</v>
      </c>
      <c r="L21" t="s">
        <v>91</v>
      </c>
      <c r="M21" t="s">
        <v>92</v>
      </c>
      <c r="N21" t="s">
        <v>93</v>
      </c>
      <c r="Q21" t="s">
        <v>89</v>
      </c>
      <c r="R21" t="s">
        <v>90</v>
      </c>
      <c r="S21" t="s">
        <v>94</v>
      </c>
      <c r="T21" t="s">
        <v>95</v>
      </c>
    </row>
    <row r="22" spans="1:21" x14ac:dyDescent="0.25">
      <c r="A22">
        <v>3</v>
      </c>
      <c r="B22" t="s">
        <v>20</v>
      </c>
      <c r="C22" t="str">
        <f>IF(Expenses_Feb[Expense Head]&lt;&gt;"",VLOOKUP(Expenses_Feb[Expense Head],ExpenseHead[],2,FALSE),"")</f>
        <v>SAVINGS/INVESTMENT</v>
      </c>
      <c r="D22" s="2">
        <v>43132</v>
      </c>
      <c r="E22" s="7">
        <v>2000</v>
      </c>
      <c r="F22" s="7"/>
      <c r="G22" t="s">
        <v>2</v>
      </c>
      <c r="H22" t="s">
        <v>82</v>
      </c>
      <c r="I22">
        <f ca="1">IF(Expenses_Feb[Status]="Done","",Expenses_Feb[Due Date]-$F$1)</f>
        <v>-61</v>
      </c>
      <c r="K22" t="s">
        <v>2</v>
      </c>
      <c r="L22" s="7">
        <v>66862</v>
      </c>
      <c r="M22" s="7"/>
      <c r="N22" s="7">
        <f>Table411172329[Salary]+Table411172329[Others]</f>
        <v>66862</v>
      </c>
      <c r="Q22" t="s">
        <v>2</v>
      </c>
      <c r="R22" s="7"/>
      <c r="S22" s="7">
        <f>Table915212733[Opening Balance]+SUMIFS(Table411172329[Total],Table411172329[Account],Table915212733[[#This Row],[Account]])-SUMIF(Table613192531[Account],Table915212733[[#This Row],[Account]],Table613192531[Total])-SUMIF(Table814202632[Account],Table915212733[[#This Row],[Account]],Table814202632[Total])</f>
        <v>8321.9700000000012</v>
      </c>
      <c r="T22" s="7">
        <f>Table915212733[Opening Balance]+SUMIFS(Table411172329[Total],Table411172329[Account],Table915212733[[#This Row],[Account]])-SUMIF(Table613192531[Account],Table915212733[[#This Row],[Account]],Table613192531[Done])-SUMIF(Table814202632[Account],Table915212733[[#This Row],[Account]],Table814202632[Done])</f>
        <v>66862</v>
      </c>
    </row>
    <row r="23" spans="1:21" x14ac:dyDescent="0.25">
      <c r="A23">
        <v>4</v>
      </c>
      <c r="B23" t="s">
        <v>20</v>
      </c>
      <c r="C23" t="str">
        <f>IF(Expenses_Feb[Expense Head]&lt;&gt;"",VLOOKUP(Expenses_Feb[Expense Head],ExpenseHead[],2,FALSE),"")</f>
        <v>SAVINGS/INVESTMENT</v>
      </c>
      <c r="D23" s="2">
        <v>43146</v>
      </c>
      <c r="E23" s="7">
        <v>2000</v>
      </c>
      <c r="F23" s="7"/>
      <c r="G23" t="s">
        <v>2</v>
      </c>
      <c r="H23" t="s">
        <v>82</v>
      </c>
      <c r="I23">
        <f ca="1">IF(Expenses_Feb[Status]="Done","",Expenses_Feb[Due Date]-$F$1)</f>
        <v>-47</v>
      </c>
      <c r="K23" t="s">
        <v>3</v>
      </c>
      <c r="L23" s="7"/>
      <c r="M23" s="7">
        <f>F6</f>
        <v>0</v>
      </c>
      <c r="N23" s="7">
        <f>Table411172329[Salary]+Table411172329[Others]</f>
        <v>0</v>
      </c>
      <c r="Q23" t="s">
        <v>3</v>
      </c>
      <c r="R23" s="7"/>
      <c r="S23" s="7">
        <f>Table915212733[Opening Balance]+SUMIFS(Table411172329[Total],Table411172329[Account],Table915212733[[#This Row],[Account]])-SUMIF(Table613192531[Account],Table915212733[[#This Row],[Account]],Table613192531[Total])-SUMIF(Table814202632[Account],Table915212733[[#This Row],[Account]],Table814202632[Total])</f>
        <v>0</v>
      </c>
      <c r="T23" s="7">
        <f>Table915212733[Opening Balance]+SUMIFS(Table411172329[Total],Table411172329[Account],Table915212733[[#This Row],[Account]])-SUMIF(Table613192531[Account],Table915212733[[#This Row],[Account]],Table613192531[Done])-SUMIF(Table814202632[Account],Table915212733[[#This Row],[Account]],Table814202632[Done])</f>
        <v>0</v>
      </c>
    </row>
    <row r="24" spans="1:21" x14ac:dyDescent="0.25">
      <c r="A24">
        <v>5</v>
      </c>
      <c r="B24" t="s">
        <v>67</v>
      </c>
      <c r="C24" t="str">
        <f>IF(Expenses_Feb[Expense Head]&lt;&gt;"",VLOOKUP(Expenses_Feb[Expense Head],ExpenseHead[],2,FALSE),"")</f>
        <v>PERSONAL</v>
      </c>
      <c r="D24" s="2">
        <v>43146</v>
      </c>
      <c r="E24" s="7">
        <v>0</v>
      </c>
      <c r="F24" s="7"/>
      <c r="G24" t="s">
        <v>2</v>
      </c>
      <c r="H24" t="s">
        <v>82</v>
      </c>
      <c r="I24">
        <f ca="1">IF(Expenses_Feb[Status]="Done","",Expenses_Feb[Due Date]-$F$1)</f>
        <v>-47</v>
      </c>
      <c r="K24" t="s">
        <v>15</v>
      </c>
      <c r="L24" s="7"/>
      <c r="M24" s="7"/>
      <c r="N24" s="7">
        <f>Table411172329[Salary]+Table411172329[Others]</f>
        <v>0</v>
      </c>
      <c r="Q24" t="s">
        <v>15</v>
      </c>
      <c r="R24" s="7"/>
      <c r="S24" s="7">
        <f>Table915212733[Opening Balance]+SUMIFS(Table411172329[Total],Table411172329[Account],Table915212733[[#This Row],[Account]])-SUMIF(Table613192531[Account],Table915212733[[#This Row],[Account]],Table613192531[Total])-SUMIF(Table814202632[Account],Table915212733[[#This Row],[Account]],Table814202632[Total])</f>
        <v>-3600</v>
      </c>
      <c r="T24" s="7">
        <f>Table915212733[Opening Balance]+SUMIFS(Table411172329[Total],Table411172329[Account],Table915212733[[#This Row],[Account]])-SUMIF(Table613192531[Account],Table915212733[[#This Row],[Account]],Table613192531[Done])-SUMIF(Table814202632[Account],Table915212733[[#This Row],[Account]],Table814202632[Done])</f>
        <v>0</v>
      </c>
    </row>
    <row r="25" spans="1:21" x14ac:dyDescent="0.25">
      <c r="A25">
        <v>6</v>
      </c>
      <c r="B25" t="s">
        <v>42</v>
      </c>
      <c r="C25" t="str">
        <f>IF(Expenses_Feb[Expense Head]&lt;&gt;"",VLOOKUP(Expenses_Feb[Expense Head],ExpenseHead[],2,FALSE),"")</f>
        <v>FOOD</v>
      </c>
      <c r="D25" s="2">
        <v>43134</v>
      </c>
      <c r="E25" s="7">
        <v>3000</v>
      </c>
      <c r="F25" s="7"/>
      <c r="G25" t="s">
        <v>2</v>
      </c>
      <c r="H25" t="s">
        <v>82</v>
      </c>
      <c r="I25">
        <f ca="1">IF(Expenses_Feb[Status]="Done","",Expenses_Feb[Due Date]-$F$1)</f>
        <v>-59</v>
      </c>
      <c r="K25" t="s">
        <v>5</v>
      </c>
      <c r="L25" s="7"/>
      <c r="M25" s="7"/>
      <c r="N25" s="7">
        <f>Table411172329[Salary]+Table411172329[Others]</f>
        <v>0</v>
      </c>
      <c r="Q25" t="s">
        <v>5</v>
      </c>
      <c r="R25" s="7"/>
      <c r="S25" s="7">
        <f>Table915212733[Opening Balance]+SUMIFS(Table411172329[Total],Table411172329[Account],Table915212733[[#This Row],[Account]])-SUMIF(Table613192531[Account],Table915212733[[#This Row],[Account]],Table613192531[Total])-SUMIF(Table814202632[Account],Table915212733[[#This Row],[Account]],Table814202632[Total])</f>
        <v>0</v>
      </c>
      <c r="T25" s="7">
        <f>Table915212733[Opening Balance]+SUMIFS(Table411172329[Total],Table411172329[Account],Table915212733[[#This Row],[Account]])-SUMIF(Table613192531[Account],Table915212733[[#This Row],[Account]],Table613192531[Done])-SUMIF(Table814202632[Account],Table915212733[[#This Row],[Account]],Table814202632[Done])</f>
        <v>0</v>
      </c>
    </row>
    <row r="26" spans="1:21" x14ac:dyDescent="0.25">
      <c r="A26">
        <v>7</v>
      </c>
      <c r="B26" t="s">
        <v>23</v>
      </c>
      <c r="C26" t="str">
        <f>IF(Expenses_Feb[Expense Head]&lt;&gt;"",VLOOKUP(Expenses_Feb[Expense Head],ExpenseHead[],2,FALSE),"")</f>
        <v>TRANSPORTATION</v>
      </c>
      <c r="D26" s="2">
        <v>43141</v>
      </c>
      <c r="E26" s="7">
        <v>1000</v>
      </c>
      <c r="F26" s="7"/>
      <c r="G26" t="s">
        <v>2</v>
      </c>
      <c r="H26" t="s">
        <v>82</v>
      </c>
      <c r="I26">
        <f ca="1">IF(Expenses_Feb[Status]="Done","",Expenses_Feb[Due Date]-$F$1)</f>
        <v>-52</v>
      </c>
      <c r="K26" t="s">
        <v>7</v>
      </c>
      <c r="L26" s="7"/>
      <c r="M26" s="7"/>
      <c r="N26" s="7">
        <f>Table411172329[Salary]+Table411172329[Others]</f>
        <v>0</v>
      </c>
      <c r="Q26" t="s">
        <v>7</v>
      </c>
      <c r="R26" s="7"/>
      <c r="S26" s="7">
        <f>Table915212733[Opening Balance]+SUMIFS(Table411172329[Total],Table411172329[Account],Table915212733[[#This Row],[Account]])-SUMIF(Table613192531[Account],Table915212733[[#This Row],[Account]],Table613192531[Total])-SUMIF(Table814202632[Account],Table915212733[[#This Row],[Account]],Table814202632[Total])</f>
        <v>0</v>
      </c>
      <c r="T26" s="7">
        <f>Table915212733[Opening Balance]+SUMIFS(Table411172329[Total],Table411172329[Account],Table915212733[[#This Row],[Account]])-SUMIF(Table613192531[Account],Table915212733[[#This Row],[Account]],Table613192531[Done])-SUMIF(Table814202632[Account],Table915212733[[#This Row],[Account]],Table814202632[Done])</f>
        <v>0</v>
      </c>
    </row>
    <row r="27" spans="1:21" x14ac:dyDescent="0.25">
      <c r="A27">
        <v>8</v>
      </c>
      <c r="B27" t="s">
        <v>34</v>
      </c>
      <c r="C27" t="str">
        <f>IF(Expenses_Feb[Expense Head]&lt;&gt;"",VLOOKUP(Expenses_Feb[Expense Head],ExpenseHead[],2,FALSE),"")</f>
        <v>HOUSING</v>
      </c>
      <c r="D27" s="2">
        <v>43136</v>
      </c>
      <c r="E27" s="7">
        <v>500</v>
      </c>
      <c r="F27" s="7"/>
      <c r="G27" t="s">
        <v>2</v>
      </c>
      <c r="H27" t="s">
        <v>82</v>
      </c>
      <c r="I27">
        <f ca="1">IF(Expenses_Feb[Status]="Done","",Expenses_Feb[Due Date]-$F$1)</f>
        <v>-57</v>
      </c>
      <c r="K27" t="s">
        <v>93</v>
      </c>
      <c r="L27" s="7"/>
      <c r="M27" s="7"/>
      <c r="N27" s="7">
        <f>SUBTOTAL(109,Table411172329[Total])</f>
        <v>66862</v>
      </c>
      <c r="Q27" t="s">
        <v>93</v>
      </c>
      <c r="R27" s="7">
        <f>SUBTOTAL(109,Table915212733[Opening Balance])</f>
        <v>0</v>
      </c>
      <c r="S27" s="7">
        <f>SUBTOTAL(109,Table915212733[Projected Balance])</f>
        <v>4721.9700000000012</v>
      </c>
      <c r="T27" s="7">
        <f>SUBTOTAL(109,Table915212733[Current Balance])</f>
        <v>66862</v>
      </c>
    </row>
    <row r="28" spans="1:21" x14ac:dyDescent="0.25">
      <c r="A28">
        <v>9</v>
      </c>
      <c r="B28" t="s">
        <v>31</v>
      </c>
      <c r="C28" t="str">
        <f>IF(Expenses_Feb[Expense Head]&lt;&gt;"",VLOOKUP(Expenses_Feb[Expense Head],ExpenseHead[],2,FALSE),"")</f>
        <v>FOOD</v>
      </c>
      <c r="D28" s="2">
        <v>43132</v>
      </c>
      <c r="E28" s="7"/>
      <c r="F28" s="7"/>
      <c r="G28" t="s">
        <v>2</v>
      </c>
      <c r="H28" t="s">
        <v>82</v>
      </c>
      <c r="I28">
        <f ca="1">IF(Expenses_Feb[Status]="Done","",Expenses_Feb[Due Date]-$F$1)</f>
        <v>-61</v>
      </c>
    </row>
    <row r="29" spans="1:21" ht="18.75" x14ac:dyDescent="0.3">
      <c r="A29">
        <v>10</v>
      </c>
      <c r="B29" t="s">
        <v>35</v>
      </c>
      <c r="C29" t="str">
        <f>IF(Expenses_Feb[Expense Head]&lt;&gt;"",VLOOKUP(Expenses_Feb[Expense Head],ExpenseHead[],2,FALSE),"")</f>
        <v>HOUSING</v>
      </c>
      <c r="D29" s="2">
        <v>43146</v>
      </c>
      <c r="E29" s="7">
        <v>500</v>
      </c>
      <c r="F29" s="7"/>
      <c r="G29" t="s">
        <v>2</v>
      </c>
      <c r="H29" t="s">
        <v>82</v>
      </c>
      <c r="I29">
        <f ca="1">IF(Expenses_Feb[Status]="Done","",Expenses_Feb[Due Date]-$F$1)</f>
        <v>-47</v>
      </c>
      <c r="K29" s="10" t="s">
        <v>102</v>
      </c>
      <c r="L29" s="10"/>
      <c r="M29" s="10"/>
      <c r="N29" s="10"/>
      <c r="O29" s="10"/>
      <c r="Q29" s="10" t="s">
        <v>103</v>
      </c>
      <c r="R29" s="10"/>
      <c r="S29" s="10"/>
      <c r="T29" s="10"/>
      <c r="U29" s="10"/>
    </row>
    <row r="30" spans="1:21" x14ac:dyDescent="0.25">
      <c r="A30">
        <v>11</v>
      </c>
      <c r="B30" t="s">
        <v>61</v>
      </c>
      <c r="C30" t="str">
        <f>IF(Expenses_Feb[Expense Head]&lt;&gt;"",VLOOKUP(Expenses_Feb[Expense Head],ExpenseHead[],2,FALSE),"")</f>
        <v>PERSONAL</v>
      </c>
      <c r="D30" s="2">
        <v>43150</v>
      </c>
      <c r="E30" s="7">
        <v>600</v>
      </c>
      <c r="F30" s="7"/>
      <c r="G30" t="s">
        <v>2</v>
      </c>
      <c r="H30" t="s">
        <v>82</v>
      </c>
      <c r="I30">
        <f ca="1">IF(Expenses_Feb[Status]="Done","",Expenses_Feb[Due Date]-$F$1)</f>
        <v>-43</v>
      </c>
      <c r="K30" t="s">
        <v>89</v>
      </c>
      <c r="L30" t="s">
        <v>84</v>
      </c>
      <c r="M30" t="s">
        <v>85</v>
      </c>
      <c r="N30" t="s">
        <v>82</v>
      </c>
      <c r="O30" t="s">
        <v>93</v>
      </c>
      <c r="Q30" t="s">
        <v>89</v>
      </c>
      <c r="R30" t="s">
        <v>84</v>
      </c>
      <c r="S30" t="s">
        <v>85</v>
      </c>
      <c r="T30" t="s">
        <v>82</v>
      </c>
      <c r="U30" t="s">
        <v>93</v>
      </c>
    </row>
    <row r="31" spans="1:21" x14ac:dyDescent="0.25">
      <c r="A31">
        <v>12</v>
      </c>
      <c r="B31" t="s">
        <v>62</v>
      </c>
      <c r="C31" t="str">
        <f>IF(Expenses_Feb[Expense Head]&lt;&gt;"",VLOOKUP(Expenses_Feb[Expense Head],ExpenseHead[],2,FALSE),"")</f>
        <v>PERSONAL</v>
      </c>
      <c r="D31" s="2">
        <v>43150</v>
      </c>
      <c r="E31" s="7">
        <v>500</v>
      </c>
      <c r="F31" s="7"/>
      <c r="G31" t="s">
        <v>2</v>
      </c>
      <c r="H31" t="s">
        <v>82</v>
      </c>
      <c r="I31">
        <f ca="1">IF(Expenses_Feb[Status]="Done","",Expenses_Feb[Due Date]-$F$1)</f>
        <v>-43</v>
      </c>
      <c r="K31" t="s">
        <v>2</v>
      </c>
      <c r="L31" s="7">
        <f>SUMIFS(Expenses_Feb[Actual Cost],Expenses_Feb[Paid from Account],Table613192531[[#This Row],[Account]], Expenses_Feb[Status],L$30)</f>
        <v>0</v>
      </c>
      <c r="M31" s="7">
        <f>SUMIFS(Expenses_Feb[Actual Cost],Expenses_Feb[Paid from Account],Table613192531[[#This Row],[Account]], Expenses_Feb[Status],M$30)</f>
        <v>0</v>
      </c>
      <c r="N31" s="7">
        <f>SUMIFS(Expenses_Feb[Projected / Budgeted Cost],Expenses_Feb[Paid from Account],Table613192531[[#This Row],[Account]], Expenses_Feb[Status],N$30)</f>
        <v>58540.03</v>
      </c>
      <c r="O31" s="7">
        <f>Table613192531[Done]+Table613192531[Partial-Done]+Table613192531[Pending]</f>
        <v>58540.03</v>
      </c>
      <c r="Q31" t="s">
        <v>2</v>
      </c>
      <c r="R31" s="7">
        <f>SUMIFS(Transfer112182430[Actual Amount],Transfer112182430[From Account],Table814202632[[#This Row],[Account]], Transfer112182430[Status],R$30)</f>
        <v>0</v>
      </c>
      <c r="S31" s="7">
        <f>SUMIFS(Transfer112182430[Actual Amount],Transfer112182430[From Account],Table814202632[[#This Row],[Account]], Transfer112182430[Status],S$30)</f>
        <v>0</v>
      </c>
      <c r="T31" s="7">
        <f>SUMIFS(Transfer112182430[Projected / Budgeted Amount],Transfer112182430[From Account],Table814202632[[#This Row],[Account]], Transfer112182430[Status],T$30)</f>
        <v>0</v>
      </c>
      <c r="U31" s="7">
        <f>R31+S31+T31</f>
        <v>0</v>
      </c>
    </row>
    <row r="32" spans="1:21" x14ac:dyDescent="0.25">
      <c r="A32">
        <v>13</v>
      </c>
      <c r="B32" t="s">
        <v>52</v>
      </c>
      <c r="C32" t="str">
        <f>IF(Expenses_Feb[Expense Head]&lt;&gt;"",VLOOKUP(Expenses_Feb[Expense Head],ExpenseHead[],2,FALSE),"")</f>
        <v>HOUSING</v>
      </c>
      <c r="D32" s="2">
        <v>43155</v>
      </c>
      <c r="E32" s="7">
        <v>707</v>
      </c>
      <c r="F32" s="7"/>
      <c r="G32" t="s">
        <v>2</v>
      </c>
      <c r="H32" t="s">
        <v>82</v>
      </c>
      <c r="I32">
        <f ca="1">IF(Expenses_Feb[Status]="Done","",Expenses_Feb[Due Date]-$F$1)</f>
        <v>-38</v>
      </c>
      <c r="K32" t="s">
        <v>3</v>
      </c>
      <c r="L32" s="7">
        <f>SUMIFS(Expenses_Feb[Actual Cost],Expenses_Feb[Paid from Account],Table613192531[[#This Row],[Account]], Expenses_Feb[Status],L$30)</f>
        <v>0</v>
      </c>
      <c r="M32" s="7">
        <f>SUMIFS(Expenses_Feb[Actual Cost],Expenses_Feb[Paid from Account],Table613192531[[#This Row],[Account]], Expenses_Feb[Status],M$30)</f>
        <v>0</v>
      </c>
      <c r="N32" s="7">
        <f>SUMIFS(Expenses_Feb[Projected / Budgeted Cost],Expenses_Feb[Paid from Account],Table613192531[[#This Row],[Account]], Expenses_Feb[Status],N$30)</f>
        <v>0</v>
      </c>
      <c r="O32" s="7">
        <f>Table613192531[Done]+Table613192531[Partial-Done]+Table613192531[Pending]</f>
        <v>0</v>
      </c>
      <c r="Q32" t="s">
        <v>3</v>
      </c>
      <c r="R32" s="7">
        <f>SUMIFS(Transfer112182430[Actual Amount],Transfer112182430[From Account],Table814202632[[#This Row],[Account]], Transfer112182430[Status],R$30)</f>
        <v>0</v>
      </c>
      <c r="S32" s="7">
        <f>SUMIFS(Transfer112182430[Actual Amount],Transfer112182430[From Account],Table814202632[[#This Row],[Account]], Transfer112182430[Status],S$30)</f>
        <v>0</v>
      </c>
      <c r="T32" s="7">
        <f>SUMIFS(Transfer112182430[Projected / Budgeted Amount],Transfer112182430[From Account],Table814202632[[#This Row],[Account]], Transfer112182430[Status],T$30)</f>
        <v>0</v>
      </c>
      <c r="U32" s="7">
        <f>R32+S32+T32</f>
        <v>0</v>
      </c>
    </row>
    <row r="33" spans="1:21" x14ac:dyDescent="0.25">
      <c r="A33">
        <v>14</v>
      </c>
      <c r="B33" t="s">
        <v>72</v>
      </c>
      <c r="C33" t="str">
        <f>IF(Expenses_Feb[Expense Head]&lt;&gt;"",VLOOKUP(Expenses_Feb[Expense Head],ExpenseHead[],2,FALSE),"")</f>
        <v>TRANSPORTATION</v>
      </c>
      <c r="D33" s="2">
        <v>43141</v>
      </c>
      <c r="E33" s="7">
        <v>500</v>
      </c>
      <c r="F33" s="7"/>
      <c r="G33" t="s">
        <v>2</v>
      </c>
      <c r="H33" t="s">
        <v>82</v>
      </c>
      <c r="I33">
        <f ca="1">IF(Expenses_Feb[Status]="Done","",Expenses_Feb[Due Date]-$F$1)</f>
        <v>-52</v>
      </c>
      <c r="K33" t="s">
        <v>15</v>
      </c>
      <c r="L33" s="7">
        <f>SUMIFS(Expenses_Feb[Actual Cost],Expenses_Feb[Paid from Account],Table613192531[[#This Row],[Account]], Expenses_Feb[Status],L$30)</f>
        <v>0</v>
      </c>
      <c r="M33" s="7">
        <f>SUMIFS(Expenses_Feb[Actual Cost],Expenses_Feb[Paid from Account],Table613192531[[#This Row],[Account]], Expenses_Feb[Status],M$30)</f>
        <v>0</v>
      </c>
      <c r="N33" s="7">
        <f>SUMIFS(Expenses_Feb[Projected / Budgeted Cost],Expenses_Feb[Paid from Account],Table613192531[[#This Row],[Account]], Expenses_Feb[Status],N$30)</f>
        <v>3600</v>
      </c>
      <c r="O33" s="7">
        <f>Table613192531[Done]+Table613192531[Partial-Done]+Table613192531[Pending]</f>
        <v>3600</v>
      </c>
      <c r="Q33" t="s">
        <v>15</v>
      </c>
      <c r="R33" s="7">
        <f>SUMIFS(Transfer112182430[Actual Amount],Transfer112182430[From Account],Table814202632[[#This Row],[Account]], Transfer112182430[Status],R$30)</f>
        <v>0</v>
      </c>
      <c r="S33" s="7">
        <f>SUMIFS(Transfer112182430[Actual Amount],Transfer112182430[From Account],Table814202632[[#This Row],[Account]], Transfer112182430[Status],S$30)</f>
        <v>0</v>
      </c>
      <c r="T33" s="7">
        <f>SUMIFS(Transfer112182430[Projected / Budgeted Amount],Transfer112182430[From Account],Table814202632[[#This Row],[Account]], Transfer112182430[Status],T$30)</f>
        <v>0</v>
      </c>
      <c r="U33" s="7">
        <f>R33+S33+T33</f>
        <v>0</v>
      </c>
    </row>
    <row r="34" spans="1:21" x14ac:dyDescent="0.25">
      <c r="A34">
        <v>15</v>
      </c>
      <c r="B34" t="s">
        <v>77</v>
      </c>
      <c r="C34" t="str">
        <f>IF(Expenses_Feb[Expense Head]&lt;&gt;"",VLOOKUP(Expenses_Feb[Expense Head],ExpenseHead[],2,FALSE),"")</f>
        <v>HOUSING</v>
      </c>
      <c r="D34" s="2">
        <v>43141</v>
      </c>
      <c r="E34" s="7">
        <v>500</v>
      </c>
      <c r="F34" s="7"/>
      <c r="G34" t="s">
        <v>15</v>
      </c>
      <c r="H34" t="s">
        <v>82</v>
      </c>
      <c r="I34">
        <f ca="1">IF(Expenses_Feb[Status]="Done","",Expenses_Feb[Due Date]-$F$1)</f>
        <v>-52</v>
      </c>
      <c r="K34" t="s">
        <v>109</v>
      </c>
      <c r="L34" s="7">
        <f>SUMIFS(Expenses_Feb[Actual Cost],Expenses_Feb[Paid from Account],Table613192531[[#This Row],[Account]], Expenses_Feb[Status],L$30)</f>
        <v>0</v>
      </c>
      <c r="M34" s="7">
        <f>SUMIFS(Expenses_Feb[Actual Cost],Expenses_Feb[Paid from Account],Table613192531[[#This Row],[Account]], Expenses_Feb[Status],M$30)</f>
        <v>0</v>
      </c>
      <c r="N34" s="7">
        <f>SUMIFS(Expenses_Feb[Projected / Budgeted Cost],Expenses_Feb[Paid from Account],Table613192531[[#This Row],[Account]], Expenses_Feb[Status],N$30)</f>
        <v>0</v>
      </c>
      <c r="O34" s="7">
        <f>Table613192531[Done]+Table613192531[Partial-Done]+Table613192531[Pending]</f>
        <v>0</v>
      </c>
      <c r="Q34" t="s">
        <v>93</v>
      </c>
      <c r="R34" s="7">
        <f>SUBTOTAL(109,Table814202632[Done])</f>
        <v>0</v>
      </c>
      <c r="S34" s="7">
        <f>SUBTOTAL(109,Table814202632[Partial-Done])</f>
        <v>0</v>
      </c>
      <c r="T34" s="7">
        <f>SUBTOTAL(109,Table814202632[Pending])</f>
        <v>0</v>
      </c>
      <c r="U34" s="7">
        <f>SUBTOTAL(109,Table814202632[Total])</f>
        <v>0</v>
      </c>
    </row>
    <row r="35" spans="1:21" x14ac:dyDescent="0.25">
      <c r="A35">
        <v>16</v>
      </c>
      <c r="B35" t="s">
        <v>57</v>
      </c>
      <c r="C35" t="str">
        <f>IF(Expenses_Feb[Expense Head]&lt;&gt;"",VLOOKUP(Expenses_Feb[Expense Head],ExpenseHead[],2,FALSE),"")</f>
        <v>HOUSING</v>
      </c>
      <c r="D35" s="2">
        <v>43133</v>
      </c>
      <c r="E35" s="7">
        <v>1000</v>
      </c>
      <c r="F35" s="7"/>
      <c r="G35" t="s">
        <v>15</v>
      </c>
      <c r="H35" t="s">
        <v>82</v>
      </c>
      <c r="I35">
        <f ca="1">IF(Expenses_Feb[Status]="Done","",Expenses_Feb[Due Date]-$F$1)</f>
        <v>-60</v>
      </c>
      <c r="K35" t="s">
        <v>93</v>
      </c>
      <c r="L35" s="7">
        <f>SUBTOTAL(109,Table613192531[Done])</f>
        <v>0</v>
      </c>
      <c r="M35" s="7">
        <f>SUBTOTAL(109,Table613192531[Partial-Done])</f>
        <v>0</v>
      </c>
      <c r="N35" s="7">
        <f>SUBTOTAL(109,Table613192531[Pending])</f>
        <v>62140.03</v>
      </c>
      <c r="O35" s="7">
        <f>SUBTOTAL(109,Table613192531[Total])</f>
        <v>62140.03</v>
      </c>
    </row>
    <row r="36" spans="1:21" x14ac:dyDescent="0.25">
      <c r="A36">
        <v>17</v>
      </c>
      <c r="B36" t="s">
        <v>44</v>
      </c>
      <c r="C36" t="str">
        <f>IF(Expenses_Feb[Expense Head]&lt;&gt;"",VLOOKUP(Expenses_Feb[Expense Head],ExpenseHead[],2,FALSE),"")</f>
        <v>HEALTH</v>
      </c>
      <c r="D36" s="2">
        <v>43146</v>
      </c>
      <c r="E36" s="7"/>
      <c r="F36" s="7"/>
      <c r="G36" t="s">
        <v>2</v>
      </c>
      <c r="H36" t="s">
        <v>82</v>
      </c>
      <c r="I36">
        <f ca="1">IF(Expenses_Feb[Status]="Done","",Expenses_Feb[Due Date]-$F$1)</f>
        <v>-47</v>
      </c>
    </row>
    <row r="37" spans="1:21" x14ac:dyDescent="0.25">
      <c r="A37">
        <v>18</v>
      </c>
      <c r="B37" t="s">
        <v>30</v>
      </c>
      <c r="C37" t="str">
        <f>IF(Expenses_Feb[Expense Head]&lt;&gt;"",VLOOKUP(Expenses_Feb[Expense Head],ExpenseHead[],2,FALSE),"")</f>
        <v>HOUSING</v>
      </c>
      <c r="D37" s="2">
        <v>43141</v>
      </c>
      <c r="E37" s="7">
        <v>800</v>
      </c>
      <c r="F37" s="7"/>
      <c r="G37" t="s">
        <v>15</v>
      </c>
      <c r="H37" t="s">
        <v>82</v>
      </c>
      <c r="I37">
        <f ca="1">IF(Expenses_Feb[Status]="Done","",Expenses_Feb[Due Date]-$F$1)</f>
        <v>-52</v>
      </c>
    </row>
    <row r="38" spans="1:21" x14ac:dyDescent="0.25">
      <c r="A38">
        <v>19</v>
      </c>
      <c r="B38" t="s">
        <v>24</v>
      </c>
      <c r="C38" t="str">
        <f>IF(Expenses_Feb[Expense Head]&lt;&gt;"",VLOOKUP(Expenses_Feb[Expense Head],ExpenseHead[],2,FALSE),"")</f>
        <v>HOUSING</v>
      </c>
      <c r="D38" s="2">
        <v>43136</v>
      </c>
      <c r="E38" s="7">
        <v>500</v>
      </c>
      <c r="F38" s="7"/>
      <c r="G38" t="s">
        <v>15</v>
      </c>
      <c r="H38" t="s">
        <v>82</v>
      </c>
      <c r="I38">
        <f ca="1">IF(Expenses_Feb[Status]="Done","",Expenses_Feb[Due Date]-$F$1)</f>
        <v>-57</v>
      </c>
      <c r="K38" s="8" t="s">
        <v>10</v>
      </c>
      <c r="L38" t="s">
        <v>106</v>
      </c>
      <c r="M38" t="s">
        <v>107</v>
      </c>
    </row>
    <row r="39" spans="1:21" x14ac:dyDescent="0.25">
      <c r="A39">
        <v>20</v>
      </c>
      <c r="B39" t="s">
        <v>56</v>
      </c>
      <c r="C39" t="str">
        <f>IF(Expenses_Feb[Expense Head]&lt;&gt;"",VLOOKUP(Expenses_Feb[Expense Head],ExpenseHead[],2,FALSE),"")</f>
        <v>HOUSING</v>
      </c>
      <c r="D39" s="2">
        <v>43134</v>
      </c>
      <c r="E39" s="7">
        <v>800</v>
      </c>
      <c r="F39" s="7"/>
      <c r="G39" t="s">
        <v>15</v>
      </c>
      <c r="H39" t="s">
        <v>82</v>
      </c>
      <c r="I39">
        <f ca="1">IF(Expenses_Feb[Status]="Done","",Expenses_Feb[Due Date]-$F$1)</f>
        <v>-59</v>
      </c>
      <c r="K39" s="9" t="s">
        <v>25</v>
      </c>
      <c r="L39" s="7">
        <v>21807</v>
      </c>
      <c r="M39" s="7"/>
    </row>
    <row r="40" spans="1:21" x14ac:dyDescent="0.25">
      <c r="A40">
        <v>21</v>
      </c>
      <c r="B40" t="s">
        <v>28</v>
      </c>
      <c r="C40" t="str">
        <f>IF(Expenses_Feb[Expense Head]&lt;&gt;"",VLOOKUP(Expenses_Feb[Expense Head],ExpenseHead[],2,FALSE),"")</f>
        <v>LOANS</v>
      </c>
      <c r="D40" s="2">
        <v>43138</v>
      </c>
      <c r="E40" s="7">
        <v>5837.55</v>
      </c>
      <c r="F40" s="7"/>
      <c r="G40" t="s">
        <v>2</v>
      </c>
      <c r="H40" t="s">
        <v>82</v>
      </c>
      <c r="I40">
        <f ca="1">IF(Expenses_Feb[Status]="Done","",Expenses_Feb[Due Date]-$F$1)</f>
        <v>-55</v>
      </c>
      <c r="K40" s="9" t="s">
        <v>21</v>
      </c>
      <c r="L40" s="7">
        <v>24000</v>
      </c>
      <c r="M40" s="7"/>
    </row>
    <row r="41" spans="1:21" x14ac:dyDescent="0.25">
      <c r="A41">
        <v>22</v>
      </c>
      <c r="B41" t="s">
        <v>60</v>
      </c>
      <c r="C41" t="str">
        <f>IF(Expenses_Feb[Expense Head]&lt;&gt;"",VLOOKUP(Expenses_Feb[Expense Head],ExpenseHead[],2,FALSE),"")</f>
        <v>PERSONAL</v>
      </c>
      <c r="D41" s="2">
        <v>43102</v>
      </c>
      <c r="E41" s="7"/>
      <c r="F41" s="7"/>
      <c r="G41" t="s">
        <v>2</v>
      </c>
      <c r="H41" t="s">
        <v>82</v>
      </c>
      <c r="I41">
        <f ca="1">IF(Expenses_Feb[Status]="Done","",Expenses_Feb[Due Date]-$F$1)</f>
        <v>-91</v>
      </c>
      <c r="K41" s="9" t="s">
        <v>29</v>
      </c>
      <c r="L41" s="7">
        <v>10733.029999999999</v>
      </c>
      <c r="M41" s="7"/>
    </row>
    <row r="42" spans="1:21" x14ac:dyDescent="0.25">
      <c r="A42">
        <v>23</v>
      </c>
      <c r="B42" t="s">
        <v>65</v>
      </c>
      <c r="C42" t="str">
        <f>IF(Expenses_Feb[Expense Head]&lt;&gt;"",VLOOKUP(Expenses_Feb[Expense Head],ExpenseHead[],2,FALSE),"")</f>
        <v>SAVINGS/INVESTMENT</v>
      </c>
      <c r="D42" s="2">
        <v>43107</v>
      </c>
      <c r="E42" s="7">
        <v>20000</v>
      </c>
      <c r="F42" s="7"/>
      <c r="G42" t="s">
        <v>2</v>
      </c>
      <c r="H42" t="s">
        <v>82</v>
      </c>
      <c r="I42">
        <f ca="1">IF(Expenses_Feb[Status]="Done","",Expenses_Feb[Due Date]-$F$1)</f>
        <v>-86</v>
      </c>
      <c r="K42" s="9" t="s">
        <v>32</v>
      </c>
      <c r="L42" s="7">
        <v>3000</v>
      </c>
      <c r="M42" s="7"/>
    </row>
    <row r="43" spans="1:21" x14ac:dyDescent="0.25">
      <c r="A43">
        <v>24</v>
      </c>
      <c r="B43" t="s">
        <v>55</v>
      </c>
      <c r="C43" t="str">
        <f>IF(Expenses_Feb[Expense Head]&lt;&gt;"",VLOOKUP(Expenses_Feb[Expense Head],ExpenseHead[],2,FALSE),"")</f>
        <v>INSURANCE</v>
      </c>
      <c r="D43" s="2">
        <v>43128</v>
      </c>
      <c r="E43" s="7"/>
      <c r="F43" s="7"/>
      <c r="G43" t="s">
        <v>2</v>
      </c>
      <c r="H43" t="s">
        <v>82</v>
      </c>
      <c r="I43">
        <f ca="1">IF(Expenses_Feb[Status]="Done","",Expenses_Feb[Due Date]-$F$1)</f>
        <v>-65</v>
      </c>
      <c r="K43" s="9" t="s">
        <v>19</v>
      </c>
      <c r="L43" s="7">
        <v>1500</v>
      </c>
      <c r="M43" s="7"/>
    </row>
    <row r="44" spans="1:21" x14ac:dyDescent="0.25">
      <c r="A44" t="s">
        <v>93</v>
      </c>
      <c r="E44" s="7">
        <f>SUBTOTAL(109,Expenses_Feb[Projected / Budgeted Cost])</f>
        <v>62140.03</v>
      </c>
      <c r="F44" s="7">
        <f>SUBTOTAL(109,Expenses_Feb[Actual Cost])</f>
        <v>0</v>
      </c>
      <c r="K44" s="9" t="s">
        <v>27</v>
      </c>
      <c r="L44" s="7">
        <v>1100</v>
      </c>
      <c r="M44" s="7"/>
    </row>
    <row r="45" spans="1:21" x14ac:dyDescent="0.25">
      <c r="K45" s="9" t="s">
        <v>45</v>
      </c>
      <c r="L45" s="7"/>
      <c r="M45" s="7"/>
    </row>
    <row r="46" spans="1:21" x14ac:dyDescent="0.25">
      <c r="K46" s="9" t="s">
        <v>50</v>
      </c>
      <c r="L46" s="7"/>
      <c r="M46" s="7"/>
    </row>
    <row r="47" spans="1:21" x14ac:dyDescent="0.25">
      <c r="K47" s="9" t="s">
        <v>104</v>
      </c>
      <c r="L47" s="7">
        <v>62140.03</v>
      </c>
      <c r="M47" s="7"/>
    </row>
  </sheetData>
  <mergeCells count="6">
    <mergeCell ref="A4:I4"/>
    <mergeCell ref="A18:I18"/>
    <mergeCell ref="K20:N20"/>
    <mergeCell ref="Q20:T20"/>
    <mergeCell ref="K29:O29"/>
    <mergeCell ref="Q29:U29"/>
  </mergeCells>
  <conditionalFormatting sqref="A20:I43">
    <cfRule type="expression" dxfId="77" priority="1">
      <formula>$H$20="Pending"</formula>
    </cfRule>
  </conditionalFormatting>
  <dataValidations disablePrompts="1" count="4">
    <dataValidation type="list" allowBlank="1" showInputMessage="1" showErrorMessage="1" sqref="C6:C7">
      <formula1>"Cash, Cheque, ECS"</formula1>
    </dataValidation>
    <dataValidation type="list" allowBlank="1" showInputMessage="1" showErrorMessage="1" sqref="B20:B43">
      <formula1>Expense_Head</formula1>
    </dataValidation>
    <dataValidation type="list" allowBlank="1" showInputMessage="1" showErrorMessage="1" sqref="K31:K34 Q22:Q26 K22:K26 Q31:Q33 G20:G43 G6:G7 B6:B7">
      <formula1>Account_Name</formula1>
    </dataValidation>
    <dataValidation type="list" allowBlank="1" showInputMessage="1" showErrorMessage="1" sqref="H20:H43 H6:H7">
      <formula1>"Done, Partial-Done, Pending"</formula1>
    </dataValidation>
  </dataValidations>
  <pageMargins left="0.7" right="0.7" top="0.75" bottom="0.75" header="0.3" footer="0.3"/>
  <pageSetup orientation="portrait" r:id="rId2"/>
  <drawing r:id="rId3"/>
  <tableParts count="6"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abSelected="1" topLeftCell="A16" workbookViewId="0">
      <selection activeCell="S22" sqref="S22"/>
    </sheetView>
  </sheetViews>
  <sheetFormatPr defaultRowHeight="15" x14ac:dyDescent="0.25"/>
  <cols>
    <col min="2" max="2" width="15.5703125" customWidth="1"/>
    <col min="3" max="3" width="21.5703125" bestFit="1" customWidth="1"/>
    <col min="4" max="4" width="11.28515625" customWidth="1"/>
    <col min="5" max="5" width="29.5703125" customWidth="1"/>
    <col min="6" max="6" width="16.28515625" customWidth="1"/>
    <col min="7" max="7" width="19.28515625" customWidth="1"/>
    <col min="9" max="9" width="18.5703125" customWidth="1"/>
    <col min="10" max="10" width="2.7109375" customWidth="1"/>
    <col min="11" max="11" width="21.5703125" bestFit="1" customWidth="1"/>
    <col min="12" max="12" width="10" bestFit="1" customWidth="1"/>
    <col min="13" max="13" width="6.5703125" customWidth="1"/>
    <col min="14" max="14" width="11.28515625" customWidth="1"/>
    <col min="15" max="15" width="11.5703125" bestFit="1" customWidth="1"/>
    <col min="16" max="16" width="2.140625" customWidth="1"/>
    <col min="17" max="17" width="11" bestFit="1" customWidth="1"/>
    <col min="18" max="18" width="18" customWidth="1"/>
    <col min="19" max="19" width="19" customWidth="1"/>
    <col min="20" max="20" width="17.140625" customWidth="1"/>
    <col min="21" max="21" width="10" bestFit="1" customWidth="1"/>
  </cols>
  <sheetData>
    <row r="1" spans="1:23" ht="18.75" x14ac:dyDescent="0.3">
      <c r="B1" s="3" t="s">
        <v>86</v>
      </c>
      <c r="C1" s="4">
        <v>43191</v>
      </c>
      <c r="E1" s="3" t="s">
        <v>83</v>
      </c>
      <c r="F1" s="5">
        <f ca="1">TODAY()</f>
        <v>43193</v>
      </c>
    </row>
    <row r="4" spans="1:23" ht="18.75" x14ac:dyDescent="0.3">
      <c r="A4" s="12" t="s">
        <v>96</v>
      </c>
      <c r="B4" s="12"/>
      <c r="C4" s="12"/>
      <c r="D4" s="12"/>
      <c r="E4" s="12"/>
      <c r="F4" s="12"/>
      <c r="G4" s="12"/>
      <c r="H4" s="12"/>
      <c r="I4" s="12"/>
    </row>
    <row r="5" spans="1:23" x14ac:dyDescent="0.25">
      <c r="A5" t="s">
        <v>8</v>
      </c>
      <c r="B5" t="s">
        <v>98</v>
      </c>
      <c r="C5" t="s">
        <v>10</v>
      </c>
      <c r="D5" t="s">
        <v>11</v>
      </c>
      <c r="E5" s="6" t="s">
        <v>99</v>
      </c>
      <c r="F5" t="s">
        <v>100</v>
      </c>
      <c r="G5" t="s">
        <v>97</v>
      </c>
      <c r="H5" t="s">
        <v>16</v>
      </c>
      <c r="I5" t="s">
        <v>17</v>
      </c>
    </row>
    <row r="6" spans="1:23" x14ac:dyDescent="0.25">
      <c r="A6">
        <v>1</v>
      </c>
      <c r="B6" t="s">
        <v>15</v>
      </c>
      <c r="C6" t="s">
        <v>101</v>
      </c>
      <c r="D6" s="2">
        <v>43134</v>
      </c>
      <c r="E6" s="7"/>
      <c r="F6" s="7"/>
      <c r="G6" t="s">
        <v>2</v>
      </c>
      <c r="H6" t="s">
        <v>84</v>
      </c>
      <c r="I6" t="str">
        <f>IF(Transfer11218243036[Status]="Done","",Transfer11218243036[Due Date]-$F$1)</f>
        <v/>
      </c>
    </row>
    <row r="7" spans="1:23" x14ac:dyDescent="0.25">
      <c r="A7">
        <v>2</v>
      </c>
      <c r="B7" t="s">
        <v>3</v>
      </c>
      <c r="C7" t="s">
        <v>101</v>
      </c>
      <c r="D7" s="2">
        <v>43192</v>
      </c>
      <c r="E7" s="7">
        <v>15000</v>
      </c>
      <c r="F7" s="7"/>
      <c r="G7" t="s">
        <v>2</v>
      </c>
      <c r="H7" t="s">
        <v>82</v>
      </c>
      <c r="I7">
        <f ca="1">IF(Transfer11218243036[Status]="Done","",Transfer11218243036[Due Date]-$F$1)</f>
        <v>-1</v>
      </c>
    </row>
    <row r="8" spans="1:23" x14ac:dyDescent="0.25">
      <c r="A8" t="s">
        <v>93</v>
      </c>
      <c r="E8" s="7">
        <f>SUBTOTAL(109,Transfer11218243036[Projected / Budgeted Amount])</f>
        <v>15000</v>
      </c>
      <c r="F8" s="7">
        <f>SUBTOTAL(109,Transfer11218243036[Actual Amount])</f>
        <v>0</v>
      </c>
      <c r="V8">
        <v>15500</v>
      </c>
    </row>
    <row r="9" spans="1:23" x14ac:dyDescent="0.25">
      <c r="V9">
        <v>2790</v>
      </c>
      <c r="W9">
        <f>V9*3</f>
        <v>8370</v>
      </c>
    </row>
    <row r="18" spans="1:21" ht="18.75" x14ac:dyDescent="0.3">
      <c r="A18" s="13" t="s">
        <v>87</v>
      </c>
      <c r="B18" s="13"/>
      <c r="C18" s="13"/>
      <c r="D18" s="13"/>
      <c r="E18" s="13"/>
      <c r="F18" s="13"/>
      <c r="G18" s="13"/>
      <c r="H18" s="13"/>
      <c r="I18" s="13"/>
    </row>
    <row r="19" spans="1:21" x14ac:dyDescent="0.25">
      <c r="A19" t="s">
        <v>8</v>
      </c>
      <c r="B19" t="s">
        <v>9</v>
      </c>
      <c r="C19" t="s">
        <v>10</v>
      </c>
      <c r="D19" t="s">
        <v>11</v>
      </c>
      <c r="E19" t="s">
        <v>12</v>
      </c>
      <c r="F19" t="s">
        <v>13</v>
      </c>
      <c r="G19" t="s">
        <v>14</v>
      </c>
      <c r="H19" t="s">
        <v>16</v>
      </c>
      <c r="I19" t="s">
        <v>17</v>
      </c>
    </row>
    <row r="20" spans="1:21" ht="18.75" x14ac:dyDescent="0.3">
      <c r="A20">
        <v>1</v>
      </c>
      <c r="B20" t="s">
        <v>47</v>
      </c>
      <c r="C20" t="str">
        <f>IF(Expenses_Apr[Expense Head]&lt;&gt;"",VLOOKUP(Expenses_Apr[Expense Head],ExpenseHead[],2,FALSE),"")</f>
        <v>HOUSING</v>
      </c>
      <c r="D20" s="2">
        <v>43191</v>
      </c>
      <c r="E20" s="7">
        <v>16500</v>
      </c>
      <c r="F20" s="7">
        <v>16500</v>
      </c>
      <c r="G20" t="s">
        <v>2</v>
      </c>
      <c r="H20" t="s">
        <v>84</v>
      </c>
      <c r="I20" t="str">
        <f>IF(Expenses_Apr[Status]="Done","",Expenses_Apr[Due Date]-$F$1)</f>
        <v/>
      </c>
      <c r="K20" s="11" t="s">
        <v>88</v>
      </c>
      <c r="L20" s="11"/>
      <c r="M20" s="11"/>
      <c r="N20" s="11"/>
      <c r="Q20" s="10" t="s">
        <v>105</v>
      </c>
      <c r="R20" s="10"/>
      <c r="S20" s="10"/>
      <c r="T20" s="10"/>
    </row>
    <row r="21" spans="1:21" x14ac:dyDescent="0.25">
      <c r="A21">
        <v>2</v>
      </c>
      <c r="B21" t="s">
        <v>28</v>
      </c>
      <c r="C21" t="str">
        <f>IF(Expenses_Apr[Expense Head]&lt;&gt;"",VLOOKUP(Expenses_Apr[Expense Head],ExpenseHead[],2,FALSE),"")</f>
        <v>LOANS</v>
      </c>
      <c r="D21" s="2">
        <v>43192</v>
      </c>
      <c r="E21" s="7">
        <v>5116.58</v>
      </c>
      <c r="F21" s="7"/>
      <c r="G21" t="s">
        <v>2</v>
      </c>
      <c r="H21" t="s">
        <v>82</v>
      </c>
      <c r="I21">
        <f ca="1">IF(Expenses_Apr[Status]="Done","",Expenses_Apr[Due Date]-$F$1)</f>
        <v>-1</v>
      </c>
      <c r="K21" t="s">
        <v>89</v>
      </c>
      <c r="L21" t="s">
        <v>91</v>
      </c>
      <c r="M21" t="s">
        <v>92</v>
      </c>
      <c r="N21" t="s">
        <v>93</v>
      </c>
      <c r="Q21" t="s">
        <v>89</v>
      </c>
      <c r="R21" t="s">
        <v>90</v>
      </c>
      <c r="S21" t="s">
        <v>94</v>
      </c>
      <c r="T21" t="s">
        <v>95</v>
      </c>
    </row>
    <row r="22" spans="1:21" x14ac:dyDescent="0.25">
      <c r="A22">
        <v>3</v>
      </c>
      <c r="B22" t="s">
        <v>20</v>
      </c>
      <c r="C22" t="str">
        <f>IF(Expenses_Apr[Expense Head]&lt;&gt;"",VLOOKUP(Expenses_Apr[Expense Head],ExpenseHead[],2,FALSE),"")</f>
        <v>SAVINGS/INVESTMENT</v>
      </c>
      <c r="D22" s="2">
        <v>43191</v>
      </c>
      <c r="E22" s="7">
        <v>2000</v>
      </c>
      <c r="F22" s="7"/>
      <c r="G22" t="s">
        <v>2</v>
      </c>
      <c r="H22" t="s">
        <v>82</v>
      </c>
      <c r="I22">
        <f ca="1">IF(Expenses_Apr[Status]="Done","",Expenses_Apr[Due Date]-$F$1)</f>
        <v>-2</v>
      </c>
      <c r="K22" t="s">
        <v>2</v>
      </c>
      <c r="L22" s="7">
        <v>0</v>
      </c>
      <c r="M22" s="7">
        <v>62075</v>
      </c>
      <c r="N22" s="7">
        <f>Table41117232935[Salary]+Table41117232935[Others]</f>
        <v>62075</v>
      </c>
      <c r="Q22" t="s">
        <v>2</v>
      </c>
      <c r="R22" s="7"/>
      <c r="S22" s="7">
        <f>Table91521273339[Opening Balance]+SUMIFS(Table41117232935[Total],Table41117232935[Account],Table91521273339[[#This Row],[Account]])-SUMIF(Table61319253137[Account],Table91521273339[[#This Row],[Account]],Table61319253137[Total])-SUMIF(Table81420263238[Account],Table91521273339[[#This Row],[Account]],Table81420263238[Total])</f>
        <v>12004.61</v>
      </c>
      <c r="T22" s="7">
        <f>Table91521273339[Opening Balance]+SUMIFS(Table41117232935[Total],Table41117232935[Account],Table91521273339[[#This Row],[Account]])-SUMIF(Table61319253137[Account],Table91521273339[[#This Row],[Account]],Table61319253137[Done])-SUMIF(Table81420263238[Account],Table91521273339[[#This Row],[Account]],Table81420263238[Done])</f>
        <v>45575</v>
      </c>
    </row>
    <row r="23" spans="1:21" x14ac:dyDescent="0.25">
      <c r="A23">
        <v>4</v>
      </c>
      <c r="B23" t="s">
        <v>20</v>
      </c>
      <c r="C23" t="str">
        <f>IF(Expenses_Apr[Expense Head]&lt;&gt;"",VLOOKUP(Expenses_Apr[Expense Head],ExpenseHead[],2,FALSE),"")</f>
        <v>SAVINGS/INVESTMENT</v>
      </c>
      <c r="D23" s="2">
        <v>43205</v>
      </c>
      <c r="E23" s="7">
        <v>2000</v>
      </c>
      <c r="F23" s="7"/>
      <c r="G23" t="s">
        <v>2</v>
      </c>
      <c r="H23" t="s">
        <v>82</v>
      </c>
      <c r="I23">
        <f ca="1">IF(Expenses_Apr[Status]="Done","",Expenses_Apr[Due Date]-$F$1)</f>
        <v>12</v>
      </c>
      <c r="K23" t="s">
        <v>3</v>
      </c>
      <c r="L23" s="7"/>
      <c r="M23" s="7">
        <f>F6</f>
        <v>0</v>
      </c>
      <c r="N23" s="7">
        <f>Table41117232935[Salary]+Table41117232935[Others]</f>
        <v>0</v>
      </c>
      <c r="Q23" t="s">
        <v>3</v>
      </c>
      <c r="R23" s="7"/>
      <c r="S23" s="7">
        <f>Table91521273339[Opening Balance]+SUMIFS(Table41117232935[Total],Table41117232935[Account],Table91521273339[[#This Row],[Account]])-SUMIF(Table61319253137[Account],Table91521273339[[#This Row],[Account]],Table61319253137[Total])-SUMIF(Table81420263238[Account],Table91521273339[[#This Row],[Account]],Table81420263238[Total])</f>
        <v>0</v>
      </c>
      <c r="T23" s="7">
        <f>Table91521273339[Opening Balance]+SUMIFS(Table41117232935[Total],Table41117232935[Account],Table91521273339[[#This Row],[Account]])-SUMIF(Table61319253137[Account],Table91521273339[[#This Row],[Account]],Table61319253137[Done])-SUMIF(Table81420263238[Account],Table91521273339[[#This Row],[Account]],Table81420263238[Done])</f>
        <v>0</v>
      </c>
    </row>
    <row r="24" spans="1:21" x14ac:dyDescent="0.25">
      <c r="A24">
        <v>5</v>
      </c>
      <c r="B24" t="s">
        <v>67</v>
      </c>
      <c r="C24" t="str">
        <f>IF(Expenses_Apr[Expense Head]&lt;&gt;"",VLOOKUP(Expenses_Apr[Expense Head],ExpenseHead[],2,FALSE),"")</f>
        <v>PERSONAL</v>
      </c>
      <c r="D24" s="2">
        <v>43205</v>
      </c>
      <c r="E24" s="7">
        <v>0</v>
      </c>
      <c r="F24" s="7"/>
      <c r="G24" t="s">
        <v>2</v>
      </c>
      <c r="H24" t="s">
        <v>82</v>
      </c>
      <c r="I24">
        <f ca="1">IF(Expenses_Apr[Status]="Done","",Expenses_Apr[Due Date]-$F$1)</f>
        <v>12</v>
      </c>
      <c r="K24" t="s">
        <v>15</v>
      </c>
      <c r="L24" s="7"/>
      <c r="M24" s="7"/>
      <c r="N24" s="7">
        <f>Table41117232935[Salary]+Table41117232935[Others]</f>
        <v>0</v>
      </c>
      <c r="Q24" t="s">
        <v>15</v>
      </c>
      <c r="R24" s="7"/>
      <c r="S24" s="7">
        <f>Table91521273339[Opening Balance]+SUMIFS(Table41117232935[Total],Table41117232935[Account],Table91521273339[[#This Row],[Account]])-SUMIF(Table61319253137[Account],Table91521273339[[#This Row],[Account]],Table61319253137[Total])-SUMIF(Table81420263238[Account],Table91521273339[[#This Row],[Account]],Table81420263238[Total])</f>
        <v>-3500</v>
      </c>
      <c r="T24" s="7">
        <f>Table91521273339[Opening Balance]+SUMIFS(Table41117232935[Total],Table41117232935[Account],Table91521273339[[#This Row],[Account]])-SUMIF(Table61319253137[Account],Table91521273339[[#This Row],[Account]],Table61319253137[Done])-SUMIF(Table81420263238[Account],Table91521273339[[#This Row],[Account]],Table81420263238[Done])</f>
        <v>0</v>
      </c>
    </row>
    <row r="25" spans="1:21" x14ac:dyDescent="0.25">
      <c r="A25">
        <v>6</v>
      </c>
      <c r="B25" t="s">
        <v>42</v>
      </c>
      <c r="C25" t="str">
        <f>IF(Expenses_Apr[Expense Head]&lt;&gt;"",VLOOKUP(Expenses_Apr[Expense Head],ExpenseHead[],2,FALSE),"")</f>
        <v>FOOD</v>
      </c>
      <c r="D25" s="2">
        <v>43193</v>
      </c>
      <c r="E25" s="7">
        <v>3000</v>
      </c>
      <c r="F25" s="7"/>
      <c r="G25" t="s">
        <v>2</v>
      </c>
      <c r="H25" t="s">
        <v>82</v>
      </c>
      <c r="I25">
        <f ca="1">IF(Expenses_Apr[Status]="Done","",Expenses_Apr[Due Date]-$F$1)</f>
        <v>0</v>
      </c>
      <c r="K25" t="s">
        <v>5</v>
      </c>
      <c r="L25" s="7"/>
      <c r="M25" s="7"/>
      <c r="N25" s="7">
        <f>Table41117232935[Salary]+Table41117232935[Others]</f>
        <v>0</v>
      </c>
      <c r="Q25" t="s">
        <v>5</v>
      </c>
      <c r="R25" s="7"/>
      <c r="S25" s="7">
        <f>Table91521273339[Opening Balance]+SUMIFS(Table41117232935[Total],Table41117232935[Account],Table91521273339[[#This Row],[Account]])-SUMIF(Table61319253137[Account],Table91521273339[[#This Row],[Account]],Table61319253137[Total])-SUMIF(Table81420263238[Account],Table91521273339[[#This Row],[Account]],Table81420263238[Total])</f>
        <v>0</v>
      </c>
      <c r="T25" s="7">
        <f>Table91521273339[Opening Balance]+SUMIFS(Table41117232935[Total],Table41117232935[Account],Table91521273339[[#This Row],[Account]])-SUMIF(Table61319253137[Account],Table91521273339[[#This Row],[Account]],Table61319253137[Done])-SUMIF(Table81420263238[Account],Table91521273339[[#This Row],[Account]],Table81420263238[Done])</f>
        <v>0</v>
      </c>
    </row>
    <row r="26" spans="1:21" x14ac:dyDescent="0.25">
      <c r="A26">
        <v>7</v>
      </c>
      <c r="B26" t="s">
        <v>23</v>
      </c>
      <c r="C26" t="str">
        <f>IF(Expenses_Apr[Expense Head]&lt;&gt;"",VLOOKUP(Expenses_Apr[Expense Head],ExpenseHead[],2,FALSE),"")</f>
        <v>TRANSPORTATION</v>
      </c>
      <c r="D26" s="2">
        <v>43200</v>
      </c>
      <c r="E26" s="7">
        <v>0</v>
      </c>
      <c r="F26" s="7"/>
      <c r="G26" t="s">
        <v>2</v>
      </c>
      <c r="H26" t="s">
        <v>82</v>
      </c>
      <c r="I26">
        <f ca="1">IF(Expenses_Apr[Status]="Done","",Expenses_Apr[Due Date]-$F$1)</f>
        <v>7</v>
      </c>
      <c r="K26" t="s">
        <v>7</v>
      </c>
      <c r="L26" s="7"/>
      <c r="M26" s="7"/>
      <c r="N26" s="7">
        <f>Table41117232935[Salary]+Table41117232935[Others]</f>
        <v>0</v>
      </c>
      <c r="Q26" t="s">
        <v>7</v>
      </c>
      <c r="R26" s="7"/>
      <c r="S26" s="7">
        <f>Table91521273339[Opening Balance]+SUMIFS(Table41117232935[Total],Table41117232935[Account],Table91521273339[[#This Row],[Account]])-SUMIF(Table61319253137[Account],Table91521273339[[#This Row],[Account]],Table61319253137[Total])-SUMIF(Table81420263238[Account],Table91521273339[[#This Row],[Account]],Table81420263238[Total])</f>
        <v>0</v>
      </c>
      <c r="T26" s="7">
        <f>Table91521273339[Opening Balance]+SUMIFS(Table41117232935[Total],Table41117232935[Account],Table91521273339[[#This Row],[Account]])-SUMIF(Table61319253137[Account],Table91521273339[[#This Row],[Account]],Table61319253137[Done])-SUMIF(Table81420263238[Account],Table91521273339[[#This Row],[Account]],Table81420263238[Done])</f>
        <v>0</v>
      </c>
    </row>
    <row r="27" spans="1:21" x14ac:dyDescent="0.25">
      <c r="A27">
        <v>8</v>
      </c>
      <c r="B27" t="s">
        <v>34</v>
      </c>
      <c r="C27" t="str">
        <f>IF(Expenses_Apr[Expense Head]&lt;&gt;"",VLOOKUP(Expenses_Apr[Expense Head],ExpenseHead[],2,FALSE),"")</f>
        <v>HOUSING</v>
      </c>
      <c r="D27" s="2">
        <v>43195</v>
      </c>
      <c r="E27" s="7">
        <v>500</v>
      </c>
      <c r="F27" s="7"/>
      <c r="G27" t="s">
        <v>2</v>
      </c>
      <c r="H27" t="s">
        <v>82</v>
      </c>
      <c r="I27">
        <f ca="1">IF(Expenses_Apr[Status]="Done","",Expenses_Apr[Due Date]-$F$1)</f>
        <v>2</v>
      </c>
      <c r="K27" t="s">
        <v>93</v>
      </c>
      <c r="L27" s="7"/>
      <c r="M27" s="7"/>
      <c r="N27" s="7">
        <f>SUBTOTAL(109,Table41117232935[Total])</f>
        <v>62075</v>
      </c>
      <c r="Q27" t="s">
        <v>93</v>
      </c>
      <c r="R27" s="7">
        <f>SUBTOTAL(109,Table91521273339[Opening Balance])</f>
        <v>0</v>
      </c>
      <c r="S27" s="7">
        <f>SUBTOTAL(109,Table91521273339[Projected Balance])</f>
        <v>8504.61</v>
      </c>
      <c r="T27" s="7">
        <f>SUBTOTAL(109,Table91521273339[Current Balance])</f>
        <v>45575</v>
      </c>
    </row>
    <row r="28" spans="1:21" x14ac:dyDescent="0.25">
      <c r="A28">
        <v>9</v>
      </c>
      <c r="B28" t="s">
        <v>31</v>
      </c>
      <c r="C28" t="str">
        <f>IF(Expenses_Apr[Expense Head]&lt;&gt;"",VLOOKUP(Expenses_Apr[Expense Head],ExpenseHead[],2,FALSE),"")</f>
        <v>FOOD</v>
      </c>
      <c r="D28" s="2">
        <v>43191</v>
      </c>
      <c r="E28" s="7"/>
      <c r="F28" s="7"/>
      <c r="G28" t="s">
        <v>2</v>
      </c>
      <c r="H28" t="s">
        <v>82</v>
      </c>
      <c r="I28">
        <f ca="1">IF(Expenses_Apr[Status]="Done","",Expenses_Apr[Due Date]-$F$1)</f>
        <v>-2</v>
      </c>
    </row>
    <row r="29" spans="1:21" ht="18.75" x14ac:dyDescent="0.3">
      <c r="A29">
        <v>10</v>
      </c>
      <c r="B29" t="s">
        <v>35</v>
      </c>
      <c r="C29" t="str">
        <f>IF(Expenses_Apr[Expense Head]&lt;&gt;"",VLOOKUP(Expenses_Apr[Expense Head],ExpenseHead[],2,FALSE),"")</f>
        <v>HOUSING</v>
      </c>
      <c r="D29" s="2">
        <v>43205</v>
      </c>
      <c r="E29" s="7">
        <v>500</v>
      </c>
      <c r="F29" s="7"/>
      <c r="G29" t="s">
        <v>2</v>
      </c>
      <c r="H29" t="s">
        <v>82</v>
      </c>
      <c r="I29">
        <f ca="1">IF(Expenses_Apr[Status]="Done","",Expenses_Apr[Due Date]-$F$1)</f>
        <v>12</v>
      </c>
      <c r="K29" s="10" t="s">
        <v>102</v>
      </c>
      <c r="L29" s="10"/>
      <c r="M29" s="10"/>
      <c r="N29" s="10"/>
      <c r="O29" s="10"/>
      <c r="Q29" s="10" t="s">
        <v>103</v>
      </c>
      <c r="R29" s="10"/>
      <c r="S29" s="10"/>
      <c r="T29" s="10"/>
      <c r="U29" s="10"/>
    </row>
    <row r="30" spans="1:21" x14ac:dyDescent="0.25">
      <c r="A30">
        <v>11</v>
      </c>
      <c r="B30" t="s">
        <v>61</v>
      </c>
      <c r="C30" t="str">
        <f>IF(Expenses_Apr[Expense Head]&lt;&gt;"",VLOOKUP(Expenses_Apr[Expense Head],ExpenseHead[],2,FALSE),"")</f>
        <v>PERSONAL</v>
      </c>
      <c r="D30" s="2">
        <v>43209</v>
      </c>
      <c r="E30" s="7">
        <v>600</v>
      </c>
      <c r="F30" s="7"/>
      <c r="G30" t="s">
        <v>2</v>
      </c>
      <c r="H30" t="s">
        <v>82</v>
      </c>
      <c r="I30">
        <f ca="1">IF(Expenses_Apr[Status]="Done","",Expenses_Apr[Due Date]-$F$1)</f>
        <v>16</v>
      </c>
      <c r="K30" t="s">
        <v>89</v>
      </c>
      <c r="L30" t="s">
        <v>84</v>
      </c>
      <c r="M30" t="s">
        <v>85</v>
      </c>
      <c r="N30" t="s">
        <v>82</v>
      </c>
      <c r="O30" t="s">
        <v>93</v>
      </c>
      <c r="Q30" t="s">
        <v>89</v>
      </c>
      <c r="R30" t="s">
        <v>84</v>
      </c>
      <c r="S30" t="s">
        <v>85</v>
      </c>
      <c r="T30" t="s">
        <v>82</v>
      </c>
      <c r="U30" t="s">
        <v>93</v>
      </c>
    </row>
    <row r="31" spans="1:21" x14ac:dyDescent="0.25">
      <c r="A31">
        <v>12</v>
      </c>
      <c r="B31" t="s">
        <v>62</v>
      </c>
      <c r="C31" t="str">
        <f>IF(Expenses_Apr[Expense Head]&lt;&gt;"",VLOOKUP(Expenses_Apr[Expense Head],ExpenseHead[],2,FALSE),"")</f>
        <v>PERSONAL</v>
      </c>
      <c r="D31" s="2">
        <v>43209</v>
      </c>
      <c r="E31" s="7">
        <v>500</v>
      </c>
      <c r="F31" s="7"/>
      <c r="G31" t="s">
        <v>2</v>
      </c>
      <c r="H31" t="s">
        <v>82</v>
      </c>
      <c r="I31">
        <f ca="1">IF(Expenses_Apr[Status]="Done","",Expenses_Apr[Due Date]-$F$1)</f>
        <v>16</v>
      </c>
      <c r="K31" t="s">
        <v>2</v>
      </c>
      <c r="L31" s="7">
        <f>SUMIFS(Expenses_Apr[Actual Cost],Expenses_Apr[Paid from Account],Table61319253137[[#This Row],[Account]], Expenses_Apr[Status],L$30)</f>
        <v>16500</v>
      </c>
      <c r="M31" s="7">
        <f>SUMIFS(Expenses_Apr[Actual Cost],Expenses_Apr[Paid from Account],Table61319253137[[#This Row],[Account]], Expenses_Apr[Status],M$30)</f>
        <v>250</v>
      </c>
      <c r="N31" s="7">
        <f>SUMIFS(Expenses_Apr[Projected / Budgeted Cost],Expenses_Apr[Paid from Account],Table61319253137[[#This Row],[Account]], Expenses_Apr[Status],N$30)</f>
        <v>18320.39</v>
      </c>
      <c r="O31" s="7">
        <f>Table61319253137[Done]+Table61319253137[Partial-Done]+Table61319253137[Pending]</f>
        <v>35070.39</v>
      </c>
      <c r="Q31" t="s">
        <v>2</v>
      </c>
      <c r="R31" s="7">
        <f>SUMIFS(Transfer11218243036[Actual Amount],Transfer11218243036[From Account],Table81420263238[[#This Row],[Account]], Transfer11218243036[Status],R$30)</f>
        <v>0</v>
      </c>
      <c r="S31" s="7">
        <f>SUMIFS(Transfer11218243036[Actual Amount],Transfer11218243036[From Account],Table81420263238[[#This Row],[Account]], Transfer11218243036[Status],S$30)</f>
        <v>0</v>
      </c>
      <c r="T31" s="7">
        <f>SUMIFS(Transfer11218243036[Projected / Budgeted Amount],Transfer11218243036[From Account],Table81420263238[[#This Row],[Account]], Transfer11218243036[Status],T$30)</f>
        <v>15000</v>
      </c>
      <c r="U31" s="7">
        <f>R31+S31+T31</f>
        <v>15000</v>
      </c>
    </row>
    <row r="32" spans="1:21" x14ac:dyDescent="0.25">
      <c r="A32">
        <v>13</v>
      </c>
      <c r="B32" t="s">
        <v>52</v>
      </c>
      <c r="C32" t="str">
        <f>IF(Expenses_Apr[Expense Head]&lt;&gt;"",VLOOKUP(Expenses_Apr[Expense Head],ExpenseHead[],2,FALSE),"")</f>
        <v>HOUSING</v>
      </c>
      <c r="D32" s="2">
        <v>43214</v>
      </c>
      <c r="E32" s="7">
        <v>707</v>
      </c>
      <c r="F32" s="7"/>
      <c r="G32" t="s">
        <v>2</v>
      </c>
      <c r="H32" t="s">
        <v>82</v>
      </c>
      <c r="I32">
        <f ca="1">IF(Expenses_Apr[Status]="Done","",Expenses_Apr[Due Date]-$F$1)</f>
        <v>21</v>
      </c>
      <c r="K32" t="s">
        <v>3</v>
      </c>
      <c r="L32" s="7">
        <f>SUMIFS(Expenses_Apr[Actual Cost],Expenses_Apr[Paid from Account],Table61319253137[[#This Row],[Account]], Expenses_Apr[Status],L$30)</f>
        <v>0</v>
      </c>
      <c r="M32" s="7">
        <f>SUMIFS(Expenses_Apr[Actual Cost],Expenses_Apr[Paid from Account],Table61319253137[[#This Row],[Account]], Expenses_Apr[Status],M$30)</f>
        <v>0</v>
      </c>
      <c r="N32" s="7">
        <f>SUMIFS(Expenses_Apr[Projected / Budgeted Cost],Expenses_Apr[Paid from Account],Table61319253137[[#This Row],[Account]], Expenses_Apr[Status],N$30)</f>
        <v>0</v>
      </c>
      <c r="O32" s="7">
        <f>Table61319253137[Done]+Table61319253137[Partial-Done]+Table61319253137[Pending]</f>
        <v>0</v>
      </c>
      <c r="Q32" t="s">
        <v>3</v>
      </c>
      <c r="R32" s="7">
        <f>SUMIFS(Transfer11218243036[Actual Amount],Transfer11218243036[From Account],Table81420263238[[#This Row],[Account]], Transfer11218243036[Status],R$30)</f>
        <v>0</v>
      </c>
      <c r="S32" s="7">
        <f>SUMIFS(Transfer11218243036[Actual Amount],Transfer11218243036[From Account],Table81420263238[[#This Row],[Account]], Transfer11218243036[Status],S$30)</f>
        <v>0</v>
      </c>
      <c r="T32" s="7">
        <f>SUMIFS(Transfer11218243036[Projected / Budgeted Amount],Transfer11218243036[From Account],Table81420263238[[#This Row],[Account]], Transfer11218243036[Status],T$30)</f>
        <v>0</v>
      </c>
      <c r="U32" s="7">
        <f>R32+S32+T32</f>
        <v>0</v>
      </c>
    </row>
    <row r="33" spans="1:21" x14ac:dyDescent="0.25">
      <c r="A33">
        <v>14</v>
      </c>
      <c r="B33" t="s">
        <v>72</v>
      </c>
      <c r="C33" t="str">
        <f>IF(Expenses_Apr[Expense Head]&lt;&gt;"",VLOOKUP(Expenses_Apr[Expense Head],ExpenseHead[],2,FALSE),"")</f>
        <v>TRANSPORTATION</v>
      </c>
      <c r="D33" s="2">
        <v>43191</v>
      </c>
      <c r="E33" s="7">
        <v>500</v>
      </c>
      <c r="F33" s="7">
        <v>250</v>
      </c>
      <c r="G33" t="s">
        <v>2</v>
      </c>
      <c r="H33" t="s">
        <v>85</v>
      </c>
      <c r="I33">
        <f ca="1">IF(Expenses_Apr[Status]="Done","",Expenses_Apr[Due Date]-$F$1)</f>
        <v>-2</v>
      </c>
      <c r="K33" t="s">
        <v>15</v>
      </c>
      <c r="L33" s="7">
        <f>SUMIFS(Expenses_Apr[Actual Cost],Expenses_Apr[Paid from Account],Table61319253137[[#This Row],[Account]], Expenses_Apr[Status],L$30)</f>
        <v>0</v>
      </c>
      <c r="M33" s="7">
        <f>SUMIFS(Expenses_Apr[Actual Cost],Expenses_Apr[Paid from Account],Table61319253137[[#This Row],[Account]], Expenses_Apr[Status],M$30)</f>
        <v>0</v>
      </c>
      <c r="N33" s="7">
        <f>SUMIFS(Expenses_Apr[Projected / Budgeted Cost],Expenses_Apr[Paid from Account],Table61319253137[[#This Row],[Account]], Expenses_Apr[Status],N$30)</f>
        <v>3500</v>
      </c>
      <c r="O33" s="7">
        <f>Table61319253137[Done]+Table61319253137[Partial-Done]+Table61319253137[Pending]</f>
        <v>3500</v>
      </c>
      <c r="Q33" t="s">
        <v>15</v>
      </c>
      <c r="R33" s="7">
        <f>SUMIFS(Transfer11218243036[Actual Amount],Transfer11218243036[From Account],Table81420263238[[#This Row],[Account]], Transfer11218243036[Status],R$30)</f>
        <v>0</v>
      </c>
      <c r="S33" s="7">
        <f>SUMIFS(Transfer11218243036[Actual Amount],Transfer11218243036[From Account],Table81420263238[[#This Row],[Account]], Transfer11218243036[Status],S$30)</f>
        <v>0</v>
      </c>
      <c r="T33" s="7">
        <f>SUMIFS(Transfer11218243036[Projected / Budgeted Amount],Transfer11218243036[From Account],Table81420263238[[#This Row],[Account]], Transfer11218243036[Status],T$30)</f>
        <v>0</v>
      </c>
      <c r="U33" s="7">
        <f>R33+S33+T33</f>
        <v>0</v>
      </c>
    </row>
    <row r="34" spans="1:21" x14ac:dyDescent="0.25">
      <c r="A34">
        <v>15</v>
      </c>
      <c r="B34" t="s">
        <v>77</v>
      </c>
      <c r="C34" t="str">
        <f>IF(Expenses_Apr[Expense Head]&lt;&gt;"",VLOOKUP(Expenses_Apr[Expense Head],ExpenseHead[],2,FALSE),"")</f>
        <v>HOUSING</v>
      </c>
      <c r="D34" s="2">
        <v>43195</v>
      </c>
      <c r="E34" s="7">
        <v>500</v>
      </c>
      <c r="F34" s="7"/>
      <c r="G34" t="s">
        <v>15</v>
      </c>
      <c r="H34" t="s">
        <v>82</v>
      </c>
      <c r="I34">
        <f ca="1">IF(Expenses_Apr[Status]="Done","",Expenses_Apr[Due Date]-$F$1)</f>
        <v>2</v>
      </c>
      <c r="K34" t="s">
        <v>109</v>
      </c>
      <c r="L34" s="7">
        <f>SUMIFS(Expenses_Apr[Actual Cost],Expenses_Apr[Paid from Account],Table61319253137[[#This Row],[Account]], Expenses_Apr[Status],L$30)</f>
        <v>0</v>
      </c>
      <c r="M34" s="7">
        <f>SUMIFS(Expenses_Apr[Actual Cost],Expenses_Apr[Paid from Account],Table61319253137[[#This Row],[Account]], Expenses_Apr[Status],M$30)</f>
        <v>0</v>
      </c>
      <c r="N34" s="7">
        <f>SUMIFS(Expenses_Apr[Projected / Budgeted Cost],Expenses_Apr[Paid from Account],Table61319253137[[#This Row],[Account]], Expenses_Apr[Status],N$30)</f>
        <v>0</v>
      </c>
      <c r="O34" s="7">
        <f>Table61319253137[Done]+Table61319253137[Partial-Done]+Table61319253137[Pending]</f>
        <v>0</v>
      </c>
      <c r="Q34" t="s">
        <v>93</v>
      </c>
      <c r="R34" s="7">
        <f>SUBTOTAL(109,Table81420263238[Done])</f>
        <v>0</v>
      </c>
      <c r="S34" s="7">
        <f>SUBTOTAL(109,Table81420263238[Partial-Done])</f>
        <v>0</v>
      </c>
      <c r="T34" s="7">
        <f>SUBTOTAL(109,Table81420263238[Pending])</f>
        <v>15000</v>
      </c>
      <c r="U34" s="7">
        <f>SUBTOTAL(109,Table81420263238[Total])</f>
        <v>15000</v>
      </c>
    </row>
    <row r="35" spans="1:21" x14ac:dyDescent="0.25">
      <c r="A35">
        <v>16</v>
      </c>
      <c r="B35" t="s">
        <v>57</v>
      </c>
      <c r="C35" t="str">
        <f>IF(Expenses_Apr[Expense Head]&lt;&gt;"",VLOOKUP(Expenses_Apr[Expense Head],ExpenseHead[],2,FALSE),"")</f>
        <v>HOUSING</v>
      </c>
      <c r="D35" s="2">
        <v>43192</v>
      </c>
      <c r="E35" s="7">
        <v>1000</v>
      </c>
      <c r="F35" s="7"/>
      <c r="G35" t="s">
        <v>15</v>
      </c>
      <c r="H35" t="s">
        <v>82</v>
      </c>
      <c r="I35">
        <f ca="1">IF(Expenses_Apr[Status]="Done","",Expenses_Apr[Due Date]-$F$1)</f>
        <v>-1</v>
      </c>
      <c r="K35" t="s">
        <v>93</v>
      </c>
      <c r="L35" s="7">
        <f>SUBTOTAL(109,Table61319253137[Done])</f>
        <v>16500</v>
      </c>
      <c r="M35" s="7">
        <f>SUBTOTAL(109,Table61319253137[Partial-Done])</f>
        <v>250</v>
      </c>
      <c r="N35" s="7">
        <f>SUBTOTAL(109,Table61319253137[Pending])</f>
        <v>21820.39</v>
      </c>
      <c r="O35" s="7">
        <f>SUBTOTAL(109,Table61319253137[Total])</f>
        <v>38570.39</v>
      </c>
    </row>
    <row r="36" spans="1:21" x14ac:dyDescent="0.25">
      <c r="A36">
        <v>17</v>
      </c>
      <c r="B36" t="s">
        <v>44</v>
      </c>
      <c r="C36" t="str">
        <f>IF(Expenses_Apr[Expense Head]&lt;&gt;"",VLOOKUP(Expenses_Apr[Expense Head],ExpenseHead[],2,FALSE),"")</f>
        <v>HEALTH</v>
      </c>
      <c r="D36" s="2">
        <v>43205</v>
      </c>
      <c r="E36" s="7"/>
      <c r="F36" s="7"/>
      <c r="G36" t="s">
        <v>2</v>
      </c>
      <c r="H36" t="s">
        <v>82</v>
      </c>
      <c r="I36">
        <f ca="1">IF(Expenses_Apr[Status]="Done","",Expenses_Apr[Due Date]-$F$1)</f>
        <v>12</v>
      </c>
    </row>
    <row r="37" spans="1:21" x14ac:dyDescent="0.25">
      <c r="A37">
        <v>18</v>
      </c>
      <c r="B37" t="s">
        <v>30</v>
      </c>
      <c r="C37" t="str">
        <f>IF(Expenses_Apr[Expense Head]&lt;&gt;"",VLOOKUP(Expenses_Apr[Expense Head],ExpenseHead[],2,FALSE),"")</f>
        <v>HOUSING</v>
      </c>
      <c r="D37" s="2">
        <v>43200</v>
      </c>
      <c r="E37" s="7">
        <v>800</v>
      </c>
      <c r="F37" s="7"/>
      <c r="G37" t="s">
        <v>15</v>
      </c>
      <c r="H37" t="s">
        <v>82</v>
      </c>
      <c r="I37">
        <f ca="1">IF(Expenses_Apr[Status]="Done","",Expenses_Apr[Due Date]-$F$1)</f>
        <v>7</v>
      </c>
    </row>
    <row r="38" spans="1:21" x14ac:dyDescent="0.25">
      <c r="A38">
        <v>19</v>
      </c>
      <c r="B38" t="s">
        <v>24</v>
      </c>
      <c r="C38" t="str">
        <f>IF(Expenses_Apr[Expense Head]&lt;&gt;"",VLOOKUP(Expenses_Apr[Expense Head],ExpenseHead[],2,FALSE),"")</f>
        <v>HOUSING</v>
      </c>
      <c r="D38" s="2">
        <v>43195</v>
      </c>
      <c r="E38" s="7">
        <v>500</v>
      </c>
      <c r="F38" s="7"/>
      <c r="G38" t="s">
        <v>15</v>
      </c>
      <c r="H38" t="s">
        <v>82</v>
      </c>
      <c r="I38">
        <f ca="1">IF(Expenses_Apr[Status]="Done","",Expenses_Apr[Due Date]-$F$1)</f>
        <v>2</v>
      </c>
      <c r="K38" s="8" t="s">
        <v>10</v>
      </c>
      <c r="L38" t="s">
        <v>106</v>
      </c>
      <c r="M38" t="s">
        <v>107</v>
      </c>
    </row>
    <row r="39" spans="1:21" x14ac:dyDescent="0.25">
      <c r="A39">
        <v>20</v>
      </c>
      <c r="B39" t="s">
        <v>56</v>
      </c>
      <c r="C39" t="str">
        <f>IF(Expenses_Apr[Expense Head]&lt;&gt;"",VLOOKUP(Expenses_Apr[Expense Head],ExpenseHead[],2,FALSE),"")</f>
        <v>HOUSING</v>
      </c>
      <c r="D39" s="2">
        <v>43191</v>
      </c>
      <c r="E39" s="7">
        <v>700</v>
      </c>
      <c r="F39" s="7"/>
      <c r="G39" t="s">
        <v>15</v>
      </c>
      <c r="H39" t="s">
        <v>82</v>
      </c>
      <c r="I39">
        <f ca="1">IF(Expenses_Apr[Status]="Done","",Expenses_Apr[Due Date]-$F$1)</f>
        <v>-2</v>
      </c>
      <c r="K39" s="9" t="s">
        <v>25</v>
      </c>
      <c r="L39" s="7">
        <v>21707</v>
      </c>
      <c r="M39" s="7"/>
    </row>
    <row r="40" spans="1:21" x14ac:dyDescent="0.25">
      <c r="A40">
        <v>21</v>
      </c>
      <c r="B40" t="s">
        <v>28</v>
      </c>
      <c r="C40" t="str">
        <f>IF(Expenses_Apr[Expense Head]&lt;&gt;"",VLOOKUP(Expenses_Apr[Expense Head],ExpenseHead[],2,FALSE),"")</f>
        <v>LOANS</v>
      </c>
      <c r="D40" s="2">
        <v>43197</v>
      </c>
      <c r="E40" s="7">
        <v>3396.81</v>
      </c>
      <c r="F40" s="7"/>
      <c r="G40" t="s">
        <v>2</v>
      </c>
      <c r="H40" t="s">
        <v>82</v>
      </c>
      <c r="I40">
        <f ca="1">IF(Expenses_Apr[Status]="Done","",Expenses_Apr[Due Date]-$F$1)</f>
        <v>4</v>
      </c>
      <c r="K40" s="9" t="s">
        <v>21</v>
      </c>
      <c r="L40" s="7">
        <v>4000</v>
      </c>
      <c r="M40" s="7"/>
    </row>
    <row r="41" spans="1:21" x14ac:dyDescent="0.25">
      <c r="A41">
        <v>22</v>
      </c>
      <c r="B41" t="s">
        <v>60</v>
      </c>
      <c r="C41" t="str">
        <f>IF(Expenses_Apr[Expense Head]&lt;&gt;"",VLOOKUP(Expenses_Apr[Expense Head],ExpenseHead[],2,FALSE),"")</f>
        <v>PERSONAL</v>
      </c>
      <c r="D41" s="2">
        <v>43192</v>
      </c>
      <c r="E41" s="7"/>
      <c r="F41" s="7"/>
      <c r="G41" t="s">
        <v>2</v>
      </c>
      <c r="H41" t="s">
        <v>82</v>
      </c>
      <c r="I41">
        <f ca="1">IF(Expenses_Apr[Status]="Done","",Expenses_Apr[Due Date]-$F$1)</f>
        <v>-1</v>
      </c>
      <c r="K41" s="9" t="s">
        <v>29</v>
      </c>
      <c r="L41" s="7">
        <v>8513.39</v>
      </c>
      <c r="M41" s="7"/>
    </row>
    <row r="42" spans="1:21" x14ac:dyDescent="0.25">
      <c r="A42">
        <v>23</v>
      </c>
      <c r="B42" t="s">
        <v>65</v>
      </c>
      <c r="C42" t="str">
        <f>IF(Expenses_Apr[Expense Head]&lt;&gt;"",VLOOKUP(Expenses_Apr[Expense Head],ExpenseHead[],2,FALSE),"")</f>
        <v>SAVINGS/INVESTMENT</v>
      </c>
      <c r="D42" s="2">
        <v>43197</v>
      </c>
      <c r="E42" s="7">
        <v>0</v>
      </c>
      <c r="F42" s="7"/>
      <c r="G42" t="s">
        <v>2</v>
      </c>
      <c r="H42" t="s">
        <v>82</v>
      </c>
      <c r="I42">
        <f ca="1">IF(Expenses_Apr[Status]="Done","",Expenses_Apr[Due Date]-$F$1)</f>
        <v>4</v>
      </c>
      <c r="K42" s="9" t="s">
        <v>32</v>
      </c>
      <c r="L42" s="7">
        <v>3000</v>
      </c>
      <c r="M42" s="7"/>
    </row>
    <row r="43" spans="1:21" x14ac:dyDescent="0.25">
      <c r="A43">
        <v>24</v>
      </c>
      <c r="B43" t="s">
        <v>55</v>
      </c>
      <c r="C43" t="str">
        <f>IF(Expenses_Apr[Expense Head]&lt;&gt;"",VLOOKUP(Expenses_Apr[Expense Head],ExpenseHead[],2,FALSE),"")</f>
        <v>INSURANCE</v>
      </c>
      <c r="D43" s="2">
        <v>43218</v>
      </c>
      <c r="E43" s="7"/>
      <c r="F43" s="7"/>
      <c r="G43" t="s">
        <v>2</v>
      </c>
      <c r="H43" t="s">
        <v>82</v>
      </c>
      <c r="I43">
        <f ca="1">IF(Expenses_Apr[Status]="Done","",Expenses_Apr[Due Date]-$F$1)</f>
        <v>25</v>
      </c>
      <c r="K43" s="9" t="s">
        <v>19</v>
      </c>
      <c r="L43" s="7">
        <v>500</v>
      </c>
      <c r="M43" s="7"/>
    </row>
    <row r="44" spans="1:21" x14ac:dyDescent="0.25">
      <c r="A44" t="s">
        <v>93</v>
      </c>
      <c r="E44" s="7">
        <f>SUBTOTAL(109,Expenses_Apr[Projected / Budgeted Cost])</f>
        <v>38820.39</v>
      </c>
      <c r="F44" s="7">
        <f>SUBTOTAL(109,Expenses_Apr[Actual Cost])</f>
        <v>16750</v>
      </c>
      <c r="K44" s="9" t="s">
        <v>27</v>
      </c>
      <c r="L44" s="7">
        <v>1100</v>
      </c>
      <c r="M44" s="7"/>
    </row>
    <row r="45" spans="1:21" x14ac:dyDescent="0.25">
      <c r="K45" s="9" t="s">
        <v>45</v>
      </c>
      <c r="L45" s="7"/>
      <c r="M45" s="7"/>
    </row>
    <row r="46" spans="1:21" x14ac:dyDescent="0.25">
      <c r="K46" s="9" t="s">
        <v>50</v>
      </c>
      <c r="L46" s="7"/>
      <c r="M46" s="7"/>
    </row>
    <row r="47" spans="1:21" x14ac:dyDescent="0.25">
      <c r="K47" s="9" t="s">
        <v>104</v>
      </c>
      <c r="L47" s="7">
        <v>38820.39</v>
      </c>
      <c r="M47" s="7"/>
    </row>
    <row r="50" spans="11:14" x14ac:dyDescent="0.25">
      <c r="K50">
        <v>4.99</v>
      </c>
    </row>
    <row r="51" spans="11:14" x14ac:dyDescent="0.25">
      <c r="K51">
        <v>3.75</v>
      </c>
    </row>
    <row r="52" spans="11:14" x14ac:dyDescent="0.25">
      <c r="N52">
        <v>17075</v>
      </c>
    </row>
    <row r="53" spans="11:14" x14ac:dyDescent="0.25">
      <c r="K53">
        <v>8470</v>
      </c>
      <c r="N53">
        <v>40000</v>
      </c>
    </row>
    <row r="54" spans="11:14" x14ac:dyDescent="0.25">
      <c r="K54">
        <v>1940</v>
      </c>
    </row>
    <row r="55" spans="11:14" x14ac:dyDescent="0.25">
      <c r="K55">
        <v>505</v>
      </c>
      <c r="N55">
        <v>99</v>
      </c>
    </row>
    <row r="56" spans="11:14" x14ac:dyDescent="0.25">
      <c r="K56">
        <v>600</v>
      </c>
      <c r="N56">
        <v>129</v>
      </c>
    </row>
    <row r="57" spans="11:14" x14ac:dyDescent="0.25">
      <c r="K57">
        <v>4189.79</v>
      </c>
      <c r="N57">
        <v>2961.54</v>
      </c>
    </row>
    <row r="58" spans="11:14" x14ac:dyDescent="0.25">
      <c r="K58">
        <f>SUM(K53:K57)</f>
        <v>15704.79</v>
      </c>
      <c r="N58">
        <v>-21.95</v>
      </c>
    </row>
    <row r="59" spans="11:14" x14ac:dyDescent="0.25">
      <c r="K59">
        <f>K58-K50-K51</f>
        <v>15696.050000000001</v>
      </c>
      <c r="N59">
        <f>SUM(N55:N58)</f>
        <v>3167.59</v>
      </c>
    </row>
  </sheetData>
  <mergeCells count="6">
    <mergeCell ref="A4:I4"/>
    <mergeCell ref="A18:I18"/>
    <mergeCell ref="K20:N20"/>
    <mergeCell ref="Q20:T20"/>
    <mergeCell ref="K29:O29"/>
    <mergeCell ref="Q29:U29"/>
  </mergeCells>
  <conditionalFormatting sqref="A20:I43">
    <cfRule type="expression" dxfId="38" priority="1">
      <formula>$H$20="Pending"</formula>
    </cfRule>
  </conditionalFormatting>
  <dataValidations count="4">
    <dataValidation type="list" allowBlank="1" showInputMessage="1" showErrorMessage="1" sqref="H20:H43 H6:H7">
      <formula1>"Done, Partial-Done, Pending"</formula1>
    </dataValidation>
    <dataValidation type="list" allowBlank="1" showInputMessage="1" showErrorMessage="1" sqref="K31:K34 Q22:Q26 K22:K26 Q31:Q33 G20:G43 G6:G7 B6:B7">
      <formula1>Account_Name</formula1>
    </dataValidation>
    <dataValidation type="list" allowBlank="1" showInputMessage="1" showErrorMessage="1" sqref="B20:B43">
      <formula1>Expense_Head</formula1>
    </dataValidation>
    <dataValidation type="list" allowBlank="1" showInputMessage="1" showErrorMessage="1" sqref="C6:C7">
      <formula1>"Cash, Cheque, ECS"</formula1>
    </dataValidation>
  </dataValidations>
  <pageMargins left="0.7" right="0.7" top="0.75" bottom="0.75" header="0.3" footer="0.3"/>
  <pageSetup orientation="portrait" r:id="rId2"/>
  <drawing r:id="rId3"/>
  <tableParts count="6"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Sheet1</vt:lpstr>
      <vt:lpstr>OCT 17</vt:lpstr>
      <vt:lpstr>NOV 17</vt:lpstr>
      <vt:lpstr>DEC 17</vt:lpstr>
      <vt:lpstr>JAN 18</vt:lpstr>
      <vt:lpstr>FEB 18</vt:lpstr>
      <vt:lpstr>APR 18</vt:lpstr>
      <vt:lpstr>'APR 18'!Account_Name</vt:lpstr>
      <vt:lpstr>'DEC 17'!Account_Name</vt:lpstr>
      <vt:lpstr>'FEB 18'!Account_Name</vt:lpstr>
      <vt:lpstr>'JAN 18'!Account_Name</vt:lpstr>
      <vt:lpstr>'NOV 17'!Account_Name</vt:lpstr>
      <vt:lpstr>Account_Name</vt:lpstr>
      <vt:lpstr>'APR 18'!Expense_Head</vt:lpstr>
      <vt:lpstr>'DEC 17'!Expense_Head</vt:lpstr>
      <vt:lpstr>'FEB 18'!Expense_Head</vt:lpstr>
      <vt:lpstr>'JAN 18'!Expense_Head</vt:lpstr>
      <vt:lpstr>'NOV 17'!Expense_Head</vt:lpstr>
      <vt:lpstr>Expense_Head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Tegar</dc:creator>
  <cp:lastModifiedBy>Atul Tegar</cp:lastModifiedBy>
  <dcterms:created xsi:type="dcterms:W3CDTF">2017-09-13T06:03:40Z</dcterms:created>
  <dcterms:modified xsi:type="dcterms:W3CDTF">2018-04-03T04:27:29Z</dcterms:modified>
</cp:coreProperties>
</file>