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tegar\Documents\Personal\"/>
    </mc:Choice>
  </mc:AlternateContent>
  <workbookProtection workbookAlgorithmName="SHA-512" workbookHashValue="fY1hE4D4ecHY8OYq/D01WoifbSoTHSZedVSXK1JREplfzJoZIXzMv89Grm9kh2WLRMUUHyyr+gc6033YdDBHoQ==" workbookSaltValue="XkkJZMYQqZ8B4n6U0rLdqQ==" workbookSpinCount="100000" lockStructure="1"/>
  <bookViews>
    <workbookView xWindow="0" yWindow="0" windowWidth="28800" windowHeight="12435" tabRatio="708" activeTab="1"/>
  </bookViews>
  <sheets>
    <sheet name="Instructions" sheetId="3" r:id="rId1"/>
    <sheet name="IT 2017-18" sheetId="1" r:id="rId2"/>
    <sheet name="Perquisites" sheetId="4" r:id="rId3"/>
    <sheet name="NSC Accrued Interest" sheetId="5" r:id="rId4"/>
    <sheet name="Capital Gains - Equity" sheetId="6" r:id="rId5"/>
    <sheet name="Cap Gains - Property&amp;Debt MF" sheetId="8" r:id="rId6"/>
    <sheet name="Cost Inflation Index" sheetId="7" state="hidden" r:id="rId7"/>
  </sheets>
  <definedNames>
    <definedName name="_xlnm._FilterDatabase" localSheetId="5" hidden="1">'Cap Gains - Property&amp;Debt MF'!$A$5:$H$12</definedName>
    <definedName name="Copyright">Perquisites!$P$13</definedName>
    <definedName name="_xlnm.Print_Area" localSheetId="5">'Cap Gains - Property&amp;Debt MF'!$A$1:$H$68</definedName>
    <definedName name="_xlnm.Print_Area" localSheetId="4">'Capital Gains - Equity'!$A$1:$J$132</definedName>
    <definedName name="_xlnm.Print_Area" localSheetId="0">Instructions!$A$1:$B$90</definedName>
    <definedName name="_xlnm.Print_Area" localSheetId="1">'IT 2017-18'!$A$1:$T$38,'IT 2017-18'!$A$50:$T$85</definedName>
    <definedName name="_xlnm.Print_Area" localSheetId="3">'NSC Accrued Interest'!$A$17:$D$71</definedName>
    <definedName name="_xlnm.Print_Area" localSheetId="2">Perquisites!$A$1:$L$53</definedName>
    <definedName name="_xlnm.Print_Titles" localSheetId="5">'Cap Gains - Property&amp;Debt MF'!$1:$6</definedName>
    <definedName name="_xlnm.Print_Titles" localSheetId="4">'Capital Gains - Equity'!$1:$6</definedName>
    <definedName name="_xlnm.Print_Titles" localSheetId="0">Instructions!$1:$6</definedName>
    <definedName name="_xlnm.Print_Titles" localSheetId="1">'IT 2017-18'!$1:$1</definedName>
    <definedName name="VerNo">Perquisites!$P$14</definedName>
  </definedNames>
  <calcPr calcId="152511" fullPrecision="0"/>
</workbook>
</file>

<file path=xl/calcChain.xml><?xml version="1.0" encoding="utf-8"?>
<calcChain xmlns="http://schemas.openxmlformats.org/spreadsheetml/2006/main">
  <c r="E98" i="1" l="1"/>
  <c r="F98" i="1"/>
  <c r="G98" i="1"/>
  <c r="H98" i="1"/>
  <c r="I98" i="1"/>
  <c r="J98" i="1"/>
  <c r="K98" i="1"/>
  <c r="L98" i="1"/>
  <c r="M98" i="1"/>
  <c r="N98" i="1"/>
  <c r="O98" i="1"/>
  <c r="D98" i="1"/>
  <c r="E90" i="1"/>
  <c r="F90" i="1"/>
  <c r="G90" i="1"/>
  <c r="H90" i="1"/>
  <c r="I90" i="1"/>
  <c r="J90" i="1"/>
  <c r="K90" i="1"/>
  <c r="L90" i="1"/>
  <c r="M90" i="1"/>
  <c r="N90" i="1"/>
  <c r="O90" i="1"/>
  <c r="D90" i="1"/>
  <c r="P98" i="1" l="1"/>
  <c r="A69" i="8"/>
  <c r="A133" i="6"/>
  <c r="A72" i="5"/>
  <c r="A54" i="4"/>
  <c r="A86" i="1"/>
  <c r="P13" i="4"/>
  <c r="J9" i="8"/>
  <c r="J10" i="8"/>
  <c r="H12" i="8"/>
  <c r="J12" i="8" s="1"/>
  <c r="H11" i="8"/>
  <c r="J11" i="8" s="1"/>
  <c r="H10" i="8"/>
  <c r="H9" i="8"/>
  <c r="H8" i="8"/>
  <c r="H7" i="8"/>
  <c r="J8" i="8"/>
  <c r="B37" i="7" l="1"/>
  <c r="O63" i="1" l="1"/>
  <c r="G75" i="1" s="1"/>
  <c r="B36" i="7"/>
  <c r="O61" i="1"/>
  <c r="O68" i="1" l="1"/>
  <c r="O79" i="1" l="1"/>
  <c r="O74" i="1"/>
  <c r="O69" i="1"/>
  <c r="O67" i="1"/>
  <c r="O66" i="1"/>
  <c r="H26" i="8" l="1"/>
  <c r="M26" i="8"/>
  <c r="H27" i="8"/>
  <c r="J27" i="8" s="1"/>
  <c r="M27" i="8"/>
  <c r="H28" i="8"/>
  <c r="M28" i="8"/>
  <c r="H29" i="8"/>
  <c r="J29" i="8" s="1"/>
  <c r="K29" i="8"/>
  <c r="M29" i="8"/>
  <c r="H30" i="8"/>
  <c r="M30" i="8"/>
  <c r="H31" i="8"/>
  <c r="J31" i="8" s="1"/>
  <c r="M31" i="8"/>
  <c r="H32" i="8"/>
  <c r="M32" i="8"/>
  <c r="H33" i="8"/>
  <c r="J33" i="8" s="1"/>
  <c r="M33" i="8"/>
  <c r="H34" i="8"/>
  <c r="M34" i="8"/>
  <c r="H35" i="8"/>
  <c r="J35" i="8" s="1"/>
  <c r="M35" i="8"/>
  <c r="H36" i="8"/>
  <c r="J36" i="8" s="1"/>
  <c r="M36" i="8"/>
  <c r="H37" i="8"/>
  <c r="J37" i="8" s="1"/>
  <c r="M37" i="8"/>
  <c r="H38" i="8"/>
  <c r="J38" i="8" s="1"/>
  <c r="K38" i="8"/>
  <c r="M38" i="8"/>
  <c r="H39" i="8"/>
  <c r="J39" i="8" s="1"/>
  <c r="M39" i="8"/>
  <c r="H40" i="8"/>
  <c r="J40" i="8" s="1"/>
  <c r="M40" i="8"/>
  <c r="H41" i="8"/>
  <c r="J41" i="8" s="1"/>
  <c r="M41" i="8"/>
  <c r="H42" i="8"/>
  <c r="J42" i="8" s="1"/>
  <c r="M42" i="8"/>
  <c r="H43" i="8"/>
  <c r="J43" i="8" s="1"/>
  <c r="M43" i="8"/>
  <c r="H44" i="8"/>
  <c r="J44" i="8" s="1"/>
  <c r="M44" i="8"/>
  <c r="H45" i="8"/>
  <c r="J45" i="8" s="1"/>
  <c r="M45" i="8"/>
  <c r="H46" i="8"/>
  <c r="J46" i="8" s="1"/>
  <c r="K46" i="8"/>
  <c r="M46" i="8"/>
  <c r="H47" i="8"/>
  <c r="J47" i="8" s="1"/>
  <c r="M47" i="8"/>
  <c r="H48" i="8"/>
  <c r="J48" i="8" s="1"/>
  <c r="M48" i="8"/>
  <c r="H49" i="8"/>
  <c r="J49" i="8" s="1"/>
  <c r="M49" i="8"/>
  <c r="H50" i="8"/>
  <c r="J50" i="8" s="1"/>
  <c r="M50" i="8"/>
  <c r="H51" i="8"/>
  <c r="J51" i="8" s="1"/>
  <c r="M51" i="8"/>
  <c r="H52" i="8"/>
  <c r="J52" i="8" s="1"/>
  <c r="M52" i="8"/>
  <c r="H53" i="8"/>
  <c r="J53" i="8" s="1"/>
  <c r="M53" i="8"/>
  <c r="H54" i="8"/>
  <c r="J54" i="8" s="1"/>
  <c r="K54" i="8"/>
  <c r="M54" i="8"/>
  <c r="H55" i="8"/>
  <c r="J55" i="8" s="1"/>
  <c r="M55" i="8"/>
  <c r="H56" i="8"/>
  <c r="J56" i="8" s="1"/>
  <c r="M56" i="8"/>
  <c r="H57" i="8"/>
  <c r="J57" i="8" s="1"/>
  <c r="M57" i="8"/>
  <c r="H58" i="8"/>
  <c r="J58" i="8" s="1"/>
  <c r="K58" i="8"/>
  <c r="M58" i="8"/>
  <c r="H59" i="8"/>
  <c r="J59" i="8" s="1"/>
  <c r="M59" i="8"/>
  <c r="H60" i="8"/>
  <c r="J60" i="8" s="1"/>
  <c r="M60" i="8"/>
  <c r="H61" i="8"/>
  <c r="J61" i="8" s="1"/>
  <c r="M61" i="8"/>
  <c r="H62" i="8"/>
  <c r="J62" i="8" s="1"/>
  <c r="M62" i="8"/>
  <c r="H63" i="8"/>
  <c r="J63" i="8" s="1"/>
  <c r="M63" i="8"/>
  <c r="M25" i="8"/>
  <c r="H25" i="8"/>
  <c r="M24" i="8"/>
  <c r="H24" i="8"/>
  <c r="K24" i="8" l="1"/>
  <c r="K25" i="8"/>
  <c r="J25" i="8"/>
  <c r="G25" i="8" s="1"/>
  <c r="K34" i="8"/>
  <c r="J34" i="8"/>
  <c r="G34" i="8" s="1"/>
  <c r="K32" i="8"/>
  <c r="J32" i="8"/>
  <c r="G32" i="8" s="1"/>
  <c r="K30" i="8"/>
  <c r="J30" i="8"/>
  <c r="G30" i="8" s="1"/>
  <c r="K62" i="8"/>
  <c r="K42" i="8"/>
  <c r="G42" i="8" s="1"/>
  <c r="K35" i="8"/>
  <c r="K28" i="8"/>
  <c r="J28" i="8"/>
  <c r="K26" i="8"/>
  <c r="J26" i="8"/>
  <c r="G58" i="8"/>
  <c r="G54" i="8"/>
  <c r="K50" i="8"/>
  <c r="G50" i="8" s="1"/>
  <c r="G38" i="8"/>
  <c r="G62" i="8"/>
  <c r="G46" i="8"/>
  <c r="K27" i="8"/>
  <c r="G27" i="8" s="1"/>
  <c r="K60" i="8"/>
  <c r="G60" i="8" s="1"/>
  <c r="K56" i="8"/>
  <c r="G56" i="8" s="1"/>
  <c r="K52" i="8"/>
  <c r="G52" i="8" s="1"/>
  <c r="K48" i="8"/>
  <c r="G48" i="8" s="1"/>
  <c r="K44" i="8"/>
  <c r="G44" i="8" s="1"/>
  <c r="K40" i="8"/>
  <c r="G40" i="8" s="1"/>
  <c r="K36" i="8"/>
  <c r="G36" i="8" s="1"/>
  <c r="G35" i="8"/>
  <c r="K31" i="8"/>
  <c r="G31" i="8" s="1"/>
  <c r="G29" i="8"/>
  <c r="K33" i="8"/>
  <c r="G33" i="8" s="1"/>
  <c r="K61" i="8"/>
  <c r="G61" i="8" s="1"/>
  <c r="K57" i="8"/>
  <c r="G57" i="8" s="1"/>
  <c r="K53" i="8"/>
  <c r="G53" i="8" s="1"/>
  <c r="K49" i="8"/>
  <c r="G49" i="8" s="1"/>
  <c r="K45" i="8"/>
  <c r="G45" i="8" s="1"/>
  <c r="K43" i="8"/>
  <c r="G43" i="8" s="1"/>
  <c r="K39" i="8"/>
  <c r="G39" i="8" s="1"/>
  <c r="K63" i="8"/>
  <c r="G63" i="8" s="1"/>
  <c r="K59" i="8"/>
  <c r="G59" i="8" s="1"/>
  <c r="K55" i="8"/>
  <c r="G55" i="8" s="1"/>
  <c r="K51" i="8"/>
  <c r="G51" i="8" s="1"/>
  <c r="K47" i="8"/>
  <c r="G47" i="8" s="1"/>
  <c r="K41" i="8"/>
  <c r="G41" i="8" s="1"/>
  <c r="K37" i="8"/>
  <c r="G37" i="8" s="1"/>
  <c r="M9" i="8"/>
  <c r="M10" i="8"/>
  <c r="J24" i="8"/>
  <c r="G28" i="8" l="1"/>
  <c r="G24" i="8"/>
  <c r="G26" i="8"/>
  <c r="K9" i="8"/>
  <c r="K65" i="8"/>
  <c r="J65" i="8"/>
  <c r="K10" i="8"/>
  <c r="G10" i="8" s="1"/>
  <c r="M8" i="8"/>
  <c r="M11" i="8"/>
  <c r="M12" i="8"/>
  <c r="M7"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2" i="7"/>
  <c r="J7" i="8"/>
  <c r="G9" i="8" l="1"/>
  <c r="K8" i="8"/>
  <c r="L66" i="8"/>
  <c r="G66" i="8" s="1"/>
  <c r="G68" i="8" s="1"/>
  <c r="L65" i="8"/>
  <c r="G65" i="8" s="1"/>
  <c r="K11" i="8"/>
  <c r="G11" i="8" s="1"/>
  <c r="K12" i="8"/>
  <c r="G12" i="8" s="1"/>
  <c r="K7" i="8"/>
  <c r="O5" i="8"/>
  <c r="A1" i="8"/>
  <c r="G8" i="8" l="1"/>
  <c r="L30" i="8"/>
  <c r="L31" i="8"/>
  <c r="L26" i="8"/>
  <c r="L28" i="8"/>
  <c r="L29" i="8"/>
  <c r="L34" i="8"/>
  <c r="L35" i="8"/>
  <c r="L37" i="8"/>
  <c r="L39" i="8"/>
  <c r="L41" i="8"/>
  <c r="L45" i="8"/>
  <c r="L51" i="8"/>
  <c r="L55" i="8"/>
  <c r="L59" i="8"/>
  <c r="L27" i="8"/>
  <c r="L33" i="8"/>
  <c r="L36" i="8"/>
  <c r="L38" i="8"/>
  <c r="L40" i="8"/>
  <c r="L42" i="8"/>
  <c r="L44" i="8"/>
  <c r="L46" i="8"/>
  <c r="L48" i="8"/>
  <c r="L50" i="8"/>
  <c r="L52" i="8"/>
  <c r="L54" i="8"/>
  <c r="L56" i="8"/>
  <c r="L58" i="8"/>
  <c r="L60" i="8"/>
  <c r="L62" i="8"/>
  <c r="L43" i="8"/>
  <c r="L47" i="8"/>
  <c r="L49" i="8"/>
  <c r="L53" i="8"/>
  <c r="L57" i="8"/>
  <c r="L61" i="8"/>
  <c r="L63" i="8"/>
  <c r="L32" i="8"/>
  <c r="L25" i="8"/>
  <c r="L24" i="8"/>
  <c r="L9" i="8"/>
  <c r="L10" i="8"/>
  <c r="G7" i="8"/>
  <c r="O6" i="8"/>
  <c r="L7" i="8"/>
  <c r="L11" i="8"/>
  <c r="L12" i="8"/>
  <c r="L8" i="8"/>
  <c r="O83" i="1"/>
  <c r="O82" i="1"/>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I61" i="6"/>
  <c r="J61" i="6"/>
  <c r="I62" i="6"/>
  <c r="J62" i="6"/>
  <c r="I63" i="6"/>
  <c r="J63" i="6"/>
  <c r="L60" i="6" l="1"/>
  <c r="M60" i="6"/>
  <c r="M56" i="6"/>
  <c r="L56" i="6"/>
  <c r="L52" i="6"/>
  <c r="M52" i="6"/>
  <c r="L50" i="6"/>
  <c r="M50" i="6"/>
  <c r="L46" i="6"/>
  <c r="M46" i="6"/>
  <c r="L44" i="6"/>
  <c r="M44" i="6"/>
  <c r="L42" i="6"/>
  <c r="M42" i="6"/>
  <c r="L40" i="6"/>
  <c r="M40" i="6"/>
  <c r="L38" i="6"/>
  <c r="M38" i="6"/>
  <c r="L36" i="6"/>
  <c r="M36" i="6"/>
  <c r="L59" i="6"/>
  <c r="M59" i="6"/>
  <c r="L53" i="6"/>
  <c r="M53" i="6"/>
  <c r="L47" i="6"/>
  <c r="M47" i="6"/>
  <c r="L37" i="6"/>
  <c r="M37" i="6"/>
  <c r="L62" i="6"/>
  <c r="M62" i="6"/>
  <c r="L61" i="6"/>
  <c r="M61" i="6"/>
  <c r="L57" i="6"/>
  <c r="M57" i="6"/>
  <c r="L55" i="6"/>
  <c r="M55" i="6"/>
  <c r="L51" i="6"/>
  <c r="M51" i="6"/>
  <c r="L49" i="6"/>
  <c r="M49" i="6"/>
  <c r="L45" i="6"/>
  <c r="M45" i="6"/>
  <c r="L43" i="6"/>
  <c r="M43" i="6"/>
  <c r="L41" i="6"/>
  <c r="M41" i="6"/>
  <c r="L39" i="6"/>
  <c r="M39" i="6"/>
  <c r="L58" i="6"/>
  <c r="M58" i="6"/>
  <c r="L54" i="6"/>
  <c r="M54" i="6"/>
  <c r="L48" i="6"/>
  <c r="M48" i="6"/>
  <c r="K14" i="8"/>
  <c r="J14" i="8"/>
  <c r="O62" i="1"/>
  <c r="O73" i="1"/>
  <c r="L15" i="8" l="1"/>
  <c r="G15" i="8" s="1"/>
  <c r="G17" i="8" s="1"/>
  <c r="G74" i="1" s="1"/>
  <c r="L14" i="8"/>
  <c r="G14" i="8" s="1"/>
  <c r="G59" i="1" s="1"/>
  <c r="C14" i="5"/>
  <c r="D14" i="5" s="1"/>
  <c r="P12" i="1"/>
  <c r="I8" i="6" l="1"/>
  <c r="I9" i="6"/>
  <c r="I10" i="6"/>
  <c r="I11" i="6"/>
  <c r="I12" i="6"/>
  <c r="I13" i="6"/>
  <c r="I14" i="6"/>
  <c r="I15" i="6"/>
  <c r="I16" i="6"/>
  <c r="I17" i="6"/>
  <c r="I18" i="6"/>
  <c r="I19" i="6"/>
  <c r="I20" i="6"/>
  <c r="I21" i="6"/>
  <c r="I22" i="6"/>
  <c r="I23" i="6"/>
  <c r="I24" i="6"/>
  <c r="I25" i="6"/>
  <c r="I26" i="6"/>
  <c r="I27" i="6"/>
  <c r="I28" i="6"/>
  <c r="I29" i="6"/>
  <c r="I30" i="6"/>
  <c r="I31" i="6"/>
  <c r="I32" i="6"/>
  <c r="I33" i="6"/>
  <c r="I34" i="6"/>
  <c r="I35"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7" i="6"/>
  <c r="O70" i="1" l="1"/>
  <c r="C18" i="4"/>
  <c r="D18" i="4"/>
  <c r="E18" i="4"/>
  <c r="F18" i="4"/>
  <c r="G18" i="4"/>
  <c r="H18" i="4"/>
  <c r="I18" i="4"/>
  <c r="J18" i="4"/>
  <c r="K18" i="4"/>
  <c r="L18" i="4"/>
  <c r="B18" i="4"/>
  <c r="C9" i="4"/>
  <c r="D9" i="4"/>
  <c r="E9" i="4"/>
  <c r="F9" i="4"/>
  <c r="G9" i="4"/>
  <c r="H9" i="4"/>
  <c r="I9" i="4"/>
  <c r="J9" i="4"/>
  <c r="K9" i="4"/>
  <c r="L9" i="4"/>
  <c r="B9" i="4"/>
  <c r="J23" i="6"/>
  <c r="L23" i="6" s="1"/>
  <c r="J24" i="6"/>
  <c r="L24" i="6" s="1"/>
  <c r="J25" i="6"/>
  <c r="L25" i="6" s="1"/>
  <c r="J26" i="6"/>
  <c r="L26" i="6" s="1"/>
  <c r="J27" i="6"/>
  <c r="L27" i="6" s="1"/>
  <c r="J28" i="6"/>
  <c r="L28" i="6" s="1"/>
  <c r="J29" i="6"/>
  <c r="L29" i="6" s="1"/>
  <c r="J64" i="6"/>
  <c r="L64" i="6" s="1"/>
  <c r="J65" i="6"/>
  <c r="L65" i="6" s="1"/>
  <c r="J66" i="6"/>
  <c r="L66" i="6" s="1"/>
  <c r="J67" i="6"/>
  <c r="L67" i="6" s="1"/>
  <c r="J68" i="6"/>
  <c r="L68" i="6" s="1"/>
  <c r="J69" i="6"/>
  <c r="L69" i="6" s="1"/>
  <c r="J70" i="6"/>
  <c r="L70" i="6" s="1"/>
  <c r="J71" i="6"/>
  <c r="L71" i="6" s="1"/>
  <c r="J72" i="6"/>
  <c r="L72" i="6" s="1"/>
  <c r="J73" i="6"/>
  <c r="L73" i="6" s="1"/>
  <c r="J74" i="6"/>
  <c r="L74" i="6" s="1"/>
  <c r="J75" i="6"/>
  <c r="L75" i="6" s="1"/>
  <c r="J76" i="6"/>
  <c r="L76" i="6" s="1"/>
  <c r="J77" i="6"/>
  <c r="L77" i="6" s="1"/>
  <c r="J78" i="6"/>
  <c r="L78" i="6" s="1"/>
  <c r="J79" i="6"/>
  <c r="L79" i="6" s="1"/>
  <c r="J80" i="6"/>
  <c r="L80" i="6" s="1"/>
  <c r="J81" i="6"/>
  <c r="L81" i="6" s="1"/>
  <c r="J89" i="6"/>
  <c r="L89" i="6" s="1"/>
  <c r="J90" i="6"/>
  <c r="L90" i="6" s="1"/>
  <c r="J91" i="6"/>
  <c r="L91" i="6" s="1"/>
  <c r="J92" i="6"/>
  <c r="L92" i="6" s="1"/>
  <c r="J93" i="6"/>
  <c r="L93" i="6" s="1"/>
  <c r="J94" i="6"/>
  <c r="L94" i="6" s="1"/>
  <c r="J95" i="6"/>
  <c r="L95" i="6" s="1"/>
  <c r="J96" i="6"/>
  <c r="L96" i="6" s="1"/>
  <c r="J97" i="6"/>
  <c r="L97" i="6" s="1"/>
  <c r="J98" i="6"/>
  <c r="L98" i="6" s="1"/>
  <c r="J99" i="6"/>
  <c r="L99" i="6" s="1"/>
  <c r="J100" i="6"/>
  <c r="L100" i="6" s="1"/>
  <c r="J101" i="6"/>
  <c r="L101" i="6" s="1"/>
  <c r="J102" i="6"/>
  <c r="L102" i="6" s="1"/>
  <c r="J103" i="6"/>
  <c r="L103" i="6" s="1"/>
  <c r="J104" i="6"/>
  <c r="L104" i="6" s="1"/>
  <c r="J105" i="6"/>
  <c r="L105" i="6" s="1"/>
  <c r="J106" i="6"/>
  <c r="L106" i="6" s="1"/>
  <c r="J107" i="6"/>
  <c r="L107" i="6" s="1"/>
  <c r="J108" i="6"/>
  <c r="L108" i="6" s="1"/>
  <c r="J109" i="6"/>
  <c r="L109" i="6" s="1"/>
  <c r="J110" i="6"/>
  <c r="L110" i="6" s="1"/>
  <c r="J111" i="6"/>
  <c r="L111" i="6" s="1"/>
  <c r="B8" i="4"/>
  <c r="E8" i="4"/>
  <c r="E24" i="4"/>
  <c r="E25" i="4"/>
  <c r="E17" i="4"/>
  <c r="B21" i="4"/>
  <c r="B17" i="4"/>
  <c r="C8" i="4"/>
  <c r="D8" i="4"/>
  <c r="D12" i="4"/>
  <c r="F8" i="4"/>
  <c r="G8" i="4"/>
  <c r="H8" i="4"/>
  <c r="C17" i="4"/>
  <c r="D17" i="4"/>
  <c r="F17" i="4"/>
  <c r="G17" i="4"/>
  <c r="H17" i="4"/>
  <c r="I17" i="4"/>
  <c r="J17" i="4"/>
  <c r="K17" i="4"/>
  <c r="L17" i="4"/>
  <c r="I8" i="4"/>
  <c r="J8" i="4"/>
  <c r="K8" i="4"/>
  <c r="L8" i="4"/>
  <c r="M8" i="4"/>
  <c r="N27" i="4"/>
  <c r="Q40" i="4" s="1"/>
  <c r="D24" i="4"/>
  <c r="D21" i="1"/>
  <c r="E21" i="1"/>
  <c r="F21" i="1"/>
  <c r="G21" i="1"/>
  <c r="H21" i="1"/>
  <c r="I21" i="1"/>
  <c r="J21" i="1"/>
  <c r="K21" i="1"/>
  <c r="L21" i="1"/>
  <c r="M21" i="1"/>
  <c r="N21" i="1"/>
  <c r="O21" i="1"/>
  <c r="D41" i="1"/>
  <c r="D92" i="1"/>
  <c r="D48" i="1"/>
  <c r="AE51" i="1"/>
  <c r="D91" i="1"/>
  <c r="E92" i="1"/>
  <c r="E48" i="1"/>
  <c r="E91" i="1"/>
  <c r="F92" i="1"/>
  <c r="F48" i="1"/>
  <c r="F91" i="1"/>
  <c r="G92" i="1"/>
  <c r="G48" i="1"/>
  <c r="G91" i="1"/>
  <c r="H92" i="1"/>
  <c r="H48" i="1"/>
  <c r="H91" i="1"/>
  <c r="I92" i="1"/>
  <c r="I48" i="1"/>
  <c r="I91" i="1"/>
  <c r="J92" i="1"/>
  <c r="J48" i="1"/>
  <c r="J91" i="1"/>
  <c r="K92" i="1"/>
  <c r="K48" i="1"/>
  <c r="K91" i="1"/>
  <c r="L92" i="1"/>
  <c r="L48" i="1"/>
  <c r="L91" i="1"/>
  <c r="M92" i="1"/>
  <c r="M48" i="1"/>
  <c r="M91" i="1"/>
  <c r="N92" i="1"/>
  <c r="N48" i="1"/>
  <c r="N91" i="1"/>
  <c r="D94" i="1"/>
  <c r="P94" i="1" s="1"/>
  <c r="B24" i="4"/>
  <c r="C24" i="4"/>
  <c r="F24" i="4"/>
  <c r="G24" i="4"/>
  <c r="H24" i="4"/>
  <c r="I24" i="4"/>
  <c r="J24" i="4"/>
  <c r="K24" i="4"/>
  <c r="L24" i="4"/>
  <c r="B25" i="4"/>
  <c r="C25" i="4"/>
  <c r="D25" i="4"/>
  <c r="F25" i="4"/>
  <c r="G25" i="4"/>
  <c r="H25" i="4"/>
  <c r="I25" i="4"/>
  <c r="J25" i="4"/>
  <c r="K25" i="4"/>
  <c r="L25" i="4"/>
  <c r="P22" i="1"/>
  <c r="T22" i="1" s="1"/>
  <c r="G52" i="1" s="1"/>
  <c r="D47" i="1"/>
  <c r="D97" i="1" s="1"/>
  <c r="D93" i="1" s="1"/>
  <c r="E47" i="1"/>
  <c r="E97" i="1" s="1"/>
  <c r="E93" i="1" s="1"/>
  <c r="F47" i="1"/>
  <c r="F97" i="1" s="1"/>
  <c r="F93" i="1" s="1"/>
  <c r="G47" i="1"/>
  <c r="G97" i="1" s="1"/>
  <c r="G93" i="1" s="1"/>
  <c r="H47" i="1"/>
  <c r="H97" i="1" s="1"/>
  <c r="H93" i="1" s="1"/>
  <c r="I47" i="1"/>
  <c r="I97" i="1" s="1"/>
  <c r="I93" i="1" s="1"/>
  <c r="J47" i="1"/>
  <c r="J97" i="1" s="1"/>
  <c r="J93" i="1" s="1"/>
  <c r="K47" i="1"/>
  <c r="K97" i="1" s="1"/>
  <c r="K93" i="1" s="1"/>
  <c r="L47" i="1"/>
  <c r="L97" i="1" s="1"/>
  <c r="L93" i="1" s="1"/>
  <c r="M47" i="1"/>
  <c r="M97" i="1" s="1"/>
  <c r="M93" i="1" s="1"/>
  <c r="N47" i="1"/>
  <c r="N97" i="1" s="1"/>
  <c r="N93" i="1" s="1"/>
  <c r="O47" i="1"/>
  <c r="O97" i="1" s="1"/>
  <c r="O93" i="1" s="1"/>
  <c r="P3" i="1"/>
  <c r="T3" i="1" s="1"/>
  <c r="P4" i="1"/>
  <c r="T4" i="1" s="1"/>
  <c r="AA52" i="1"/>
  <c r="P26" i="1"/>
  <c r="U26" i="1" s="1"/>
  <c r="P6" i="1"/>
  <c r="T6" i="1" s="1"/>
  <c r="O53" i="1"/>
  <c r="P8" i="1"/>
  <c r="T8" i="1" s="1"/>
  <c r="O54" i="1" s="1"/>
  <c r="P7" i="1"/>
  <c r="T7" i="1" s="1"/>
  <c r="O55" i="1" s="1"/>
  <c r="P9" i="1"/>
  <c r="T9" i="1" s="1"/>
  <c r="O56" i="1" s="1"/>
  <c r="O60" i="1"/>
  <c r="G57" i="1" s="1"/>
  <c r="O64" i="1"/>
  <c r="G60" i="1" s="1"/>
  <c r="O75" i="1"/>
  <c r="O92" i="1"/>
  <c r="O48" i="1"/>
  <c r="O91" i="1"/>
  <c r="P27" i="1"/>
  <c r="T27" i="1" s="1"/>
  <c r="O84" i="1" s="1"/>
  <c r="AG56" i="1"/>
  <c r="J123" i="6"/>
  <c r="L123" i="6" s="1"/>
  <c r="J113" i="6"/>
  <c r="L113" i="6" s="1"/>
  <c r="Q5" i="6"/>
  <c r="N114" i="6" s="1"/>
  <c r="J114" i="6"/>
  <c r="L114" i="6" s="1"/>
  <c r="J115" i="6"/>
  <c r="L115" i="6" s="1"/>
  <c r="J116" i="6"/>
  <c r="L116" i="6" s="1"/>
  <c r="J117" i="6"/>
  <c r="L117" i="6" s="1"/>
  <c r="J118" i="6"/>
  <c r="L118" i="6" s="1"/>
  <c r="J119" i="6"/>
  <c r="L119" i="6" s="1"/>
  <c r="J120" i="6"/>
  <c r="L120" i="6" s="1"/>
  <c r="J121" i="6"/>
  <c r="L121" i="6" s="1"/>
  <c r="J122" i="6"/>
  <c r="L122" i="6" s="1"/>
  <c r="J112" i="6"/>
  <c r="L112" i="6" s="1"/>
  <c r="J7" i="6"/>
  <c r="L7" i="6" s="1"/>
  <c r="J8" i="6"/>
  <c r="L8" i="6" s="1"/>
  <c r="J9" i="6"/>
  <c r="M9" i="6" s="1"/>
  <c r="J10" i="6"/>
  <c r="L10" i="6" s="1"/>
  <c r="J11" i="6"/>
  <c r="L11" i="6" s="1"/>
  <c r="J12" i="6"/>
  <c r="M12" i="6" s="1"/>
  <c r="J13" i="6"/>
  <c r="M13" i="6" s="1"/>
  <c r="J14" i="6"/>
  <c r="M14" i="6" s="1"/>
  <c r="J15" i="6"/>
  <c r="M15" i="6" s="1"/>
  <c r="J16" i="6"/>
  <c r="L16" i="6" s="1"/>
  <c r="J17" i="6"/>
  <c r="L17" i="6" s="1"/>
  <c r="J18" i="6"/>
  <c r="L18" i="6" s="1"/>
  <c r="J19" i="6"/>
  <c r="L19" i="6" s="1"/>
  <c r="J20" i="6"/>
  <c r="L20" i="6" s="1"/>
  <c r="J21" i="6"/>
  <c r="L21" i="6" s="1"/>
  <c r="J22" i="6"/>
  <c r="L22" i="6" s="1"/>
  <c r="J30" i="6"/>
  <c r="L30" i="6" s="1"/>
  <c r="J31" i="6"/>
  <c r="L31" i="6" s="1"/>
  <c r="J32" i="6"/>
  <c r="L32" i="6" s="1"/>
  <c r="J33" i="6"/>
  <c r="L33" i="6" s="1"/>
  <c r="J34" i="6"/>
  <c r="L34" i="6" s="1"/>
  <c r="J35" i="6"/>
  <c r="L63" i="6"/>
  <c r="J82" i="6"/>
  <c r="L82" i="6" s="1"/>
  <c r="J83" i="6"/>
  <c r="L83" i="6" s="1"/>
  <c r="J84" i="6"/>
  <c r="L84" i="6" s="1"/>
  <c r="J85" i="6"/>
  <c r="L85" i="6" s="1"/>
  <c r="J86" i="6"/>
  <c r="L86" i="6" s="1"/>
  <c r="J87" i="6"/>
  <c r="L87" i="6" s="1"/>
  <c r="J88" i="6"/>
  <c r="L88" i="6" s="1"/>
  <c r="J124" i="6"/>
  <c r="L124" i="6" s="1"/>
  <c r="J125" i="6"/>
  <c r="L125" i="6" s="1"/>
  <c r="J126" i="6"/>
  <c r="L126" i="6" s="1"/>
  <c r="A1" i="6"/>
  <c r="P25" i="1"/>
  <c r="T25" i="1" s="1"/>
  <c r="G79" i="1" s="1"/>
  <c r="A17" i="5"/>
  <c r="A1" i="4"/>
  <c r="A70" i="1"/>
  <c r="A69" i="1"/>
  <c r="AG57" i="1"/>
  <c r="P6" i="4"/>
  <c r="B12" i="4"/>
  <c r="C12" i="4"/>
  <c r="E12" i="4"/>
  <c r="F12" i="4"/>
  <c r="G12" i="4"/>
  <c r="H12" i="4"/>
  <c r="I12" i="4"/>
  <c r="J12" i="4"/>
  <c r="K12" i="4"/>
  <c r="L12" i="4"/>
  <c r="C21" i="4"/>
  <c r="D21" i="4"/>
  <c r="E21" i="4"/>
  <c r="F21" i="4"/>
  <c r="G21" i="4"/>
  <c r="H21" i="4"/>
  <c r="I21" i="4"/>
  <c r="J21" i="4"/>
  <c r="K21" i="4"/>
  <c r="L21" i="4"/>
  <c r="B43" i="1"/>
  <c r="P31" i="1"/>
  <c r="T31" i="1" s="1"/>
  <c r="P16" i="1"/>
  <c r="T16" i="1" s="1"/>
  <c r="A1" i="1"/>
  <c r="P15" i="1"/>
  <c r="T15" i="1" s="1"/>
  <c r="P40" i="1"/>
  <c r="P28" i="1"/>
  <c r="T28" i="1" s="1"/>
  <c r="P29" i="1"/>
  <c r="T29" i="1" s="1"/>
  <c r="P30" i="1"/>
  <c r="T30" i="1" s="1"/>
  <c r="P32" i="1"/>
  <c r="T32" i="1" s="1"/>
  <c r="P33" i="1"/>
  <c r="T33" i="1" s="1"/>
  <c r="P34" i="1"/>
  <c r="T34" i="1" s="1"/>
  <c r="P35" i="1"/>
  <c r="T35" i="1" s="1"/>
  <c r="P36" i="1"/>
  <c r="T36" i="1" s="1"/>
  <c r="P20" i="1"/>
  <c r="T20" i="1" s="1"/>
  <c r="P19" i="1"/>
  <c r="T19" i="1" s="1"/>
  <c r="P18" i="1"/>
  <c r="T18" i="1" s="1"/>
  <c r="P17" i="1"/>
  <c r="T17" i="1" s="1"/>
  <c r="P14" i="1"/>
  <c r="T14" i="1" s="1"/>
  <c r="P13" i="1"/>
  <c r="T13" i="1" s="1"/>
  <c r="T12" i="1"/>
  <c r="P11" i="1"/>
  <c r="T11" i="1" s="1"/>
  <c r="P10" i="1"/>
  <c r="T10" i="1" s="1"/>
  <c r="O57" i="1" s="1"/>
  <c r="P5" i="1"/>
  <c r="T5" i="1" s="1"/>
  <c r="R40" i="4"/>
  <c r="R27" i="4"/>
  <c r="C27" i="4" s="1"/>
  <c r="U27" i="4"/>
  <c r="Z27" i="4"/>
  <c r="K27" i="4" s="1"/>
  <c r="U40" i="4"/>
  <c r="F40" i="4" s="1"/>
  <c r="N92" i="6"/>
  <c r="N32" i="6"/>
  <c r="N121" i="6"/>
  <c r="N89" i="6"/>
  <c r="N29" i="6"/>
  <c r="M121" i="6"/>
  <c r="M120" i="6"/>
  <c r="M117" i="6"/>
  <c r="M116" i="6"/>
  <c r="M113" i="6"/>
  <c r="M109" i="6"/>
  <c r="M105" i="6"/>
  <c r="M101" i="6"/>
  <c r="M97" i="6"/>
  <c r="M93" i="6"/>
  <c r="M89" i="6"/>
  <c r="M86" i="6"/>
  <c r="M85" i="6"/>
  <c r="M81" i="6"/>
  <c r="M77" i="6"/>
  <c r="M75" i="6"/>
  <c r="M74" i="6"/>
  <c r="M73" i="6"/>
  <c r="M70" i="6"/>
  <c r="M69" i="6"/>
  <c r="M66" i="6"/>
  <c r="M65" i="6"/>
  <c r="M34" i="6"/>
  <c r="M30" i="6"/>
  <c r="M27" i="6"/>
  <c r="M24" i="6"/>
  <c r="M23" i="6"/>
  <c r="M19" i="6"/>
  <c r="M11" i="6"/>
  <c r="L12" i="6"/>
  <c r="L15" i="6"/>
  <c r="M8" i="6"/>
  <c r="O78" i="1" l="1"/>
  <c r="O85" i="1"/>
  <c r="N65" i="6"/>
  <c r="N97" i="6"/>
  <c r="N8" i="6"/>
  <c r="N68" i="6"/>
  <c r="N100" i="6"/>
  <c r="N13" i="6"/>
  <c r="N73" i="6"/>
  <c r="N105" i="6"/>
  <c r="N16" i="6"/>
  <c r="N76" i="6"/>
  <c r="N108" i="6"/>
  <c r="N21" i="6"/>
  <c r="N81" i="6"/>
  <c r="N113" i="6"/>
  <c r="N24" i="6"/>
  <c r="N84" i="6"/>
  <c r="N116" i="6"/>
  <c r="L35" i="6"/>
  <c r="M35" i="6"/>
  <c r="K23" i="1"/>
  <c r="L23" i="1"/>
  <c r="M23" i="1"/>
  <c r="I23" i="1"/>
  <c r="O23" i="1"/>
  <c r="N23" i="1"/>
  <c r="J23" i="1"/>
  <c r="N80" i="6"/>
  <c r="N15" i="6"/>
  <c r="N23" i="6"/>
  <c r="N31" i="6"/>
  <c r="N67" i="6"/>
  <c r="N75" i="6"/>
  <c r="N83" i="6"/>
  <c r="N91" i="6"/>
  <c r="N99" i="6"/>
  <c r="N107" i="6"/>
  <c r="N115" i="6"/>
  <c r="N123" i="6"/>
  <c r="N10" i="6"/>
  <c r="N18" i="6"/>
  <c r="N26" i="6"/>
  <c r="N34" i="6"/>
  <c r="N70" i="6"/>
  <c r="N78" i="6"/>
  <c r="N86" i="6"/>
  <c r="N94" i="6"/>
  <c r="N102" i="6"/>
  <c r="N110" i="6"/>
  <c r="N118" i="6"/>
  <c r="N17" i="6"/>
  <c r="N25" i="6"/>
  <c r="N33" i="6"/>
  <c r="N69" i="6"/>
  <c r="N77" i="6"/>
  <c r="N85" i="6"/>
  <c r="N93" i="6"/>
  <c r="N101" i="6"/>
  <c r="N109" i="6"/>
  <c r="N117" i="6"/>
  <c r="N125" i="6"/>
  <c r="N12" i="6"/>
  <c r="N20" i="6"/>
  <c r="N28" i="6"/>
  <c r="N64" i="6"/>
  <c r="N72" i="6"/>
  <c r="N88" i="6"/>
  <c r="N96" i="6"/>
  <c r="N104" i="6"/>
  <c r="N112" i="6"/>
  <c r="N122" i="6"/>
  <c r="Y27" i="4"/>
  <c r="Z40" i="4"/>
  <c r="K40" i="4" s="1"/>
  <c r="N11" i="6"/>
  <c r="N19" i="6"/>
  <c r="N27" i="6"/>
  <c r="N63" i="6"/>
  <c r="N71" i="6"/>
  <c r="N79" i="6"/>
  <c r="N87" i="6"/>
  <c r="N95" i="6"/>
  <c r="N103" i="6"/>
  <c r="N111" i="6"/>
  <c r="N119" i="6"/>
  <c r="N7" i="6"/>
  <c r="N14" i="6"/>
  <c r="N22" i="6"/>
  <c r="N30" i="6"/>
  <c r="N66" i="6"/>
  <c r="N74" i="6"/>
  <c r="N82" i="6"/>
  <c r="N90" i="6"/>
  <c r="N98" i="6"/>
  <c r="N106" i="6"/>
  <c r="W40" i="4"/>
  <c r="H40" i="4" s="1"/>
  <c r="V27" i="4"/>
  <c r="G27" i="4" s="1"/>
  <c r="T40" i="4"/>
  <c r="E40" i="4" s="1"/>
  <c r="N9" i="6"/>
  <c r="N37" i="6"/>
  <c r="N41" i="6"/>
  <c r="N45" i="6"/>
  <c r="N49" i="6"/>
  <c r="N53" i="6"/>
  <c r="N57" i="6"/>
  <c r="N61" i="6"/>
  <c r="N40" i="6"/>
  <c r="N44" i="6"/>
  <c r="N48" i="6"/>
  <c r="N52" i="6"/>
  <c r="N56" i="6"/>
  <c r="N58" i="6"/>
  <c r="N36" i="6"/>
  <c r="N60" i="6"/>
  <c r="N35" i="6"/>
  <c r="N39" i="6"/>
  <c r="N43" i="6"/>
  <c r="N47" i="6"/>
  <c r="N51" i="6"/>
  <c r="N55" i="6"/>
  <c r="N59" i="6"/>
  <c r="N42" i="6"/>
  <c r="N46" i="6"/>
  <c r="N50" i="6"/>
  <c r="N54" i="6"/>
  <c r="N62" i="6"/>
  <c r="N38" i="6"/>
  <c r="P11" i="4"/>
  <c r="AF62" i="1" s="1"/>
  <c r="P10" i="4"/>
  <c r="AF61" i="1" s="1"/>
  <c r="D95" i="1"/>
  <c r="N24" i="1"/>
  <c r="D24" i="1"/>
  <c r="N120" i="6"/>
  <c r="G23" i="1"/>
  <c r="M25" i="6"/>
  <c r="M118" i="6"/>
  <c r="M67" i="6"/>
  <c r="M17" i="6"/>
  <c r="M84" i="6"/>
  <c r="L13" i="6"/>
  <c r="M71" i="6"/>
  <c r="M122" i="6"/>
  <c r="M32" i="6"/>
  <c r="M82" i="6"/>
  <c r="M88" i="6"/>
  <c r="M114" i="6"/>
  <c r="N126" i="6"/>
  <c r="N124" i="6"/>
  <c r="M91" i="6"/>
  <c r="L9" i="6"/>
  <c r="M21" i="6"/>
  <c r="M26" i="6"/>
  <c r="M68" i="6"/>
  <c r="M72" i="6"/>
  <c r="M76" i="6"/>
  <c r="M83" i="6"/>
  <c r="M87" i="6"/>
  <c r="M115" i="6"/>
  <c r="M119" i="6"/>
  <c r="M123" i="6"/>
  <c r="AA40" i="4"/>
  <c r="L40" i="4" s="1"/>
  <c r="S40" i="4"/>
  <c r="D40" i="4" s="1"/>
  <c r="X27" i="4"/>
  <c r="I27" i="4" s="1"/>
  <c r="T27" i="4"/>
  <c r="E27" i="4" s="1"/>
  <c r="X40" i="4"/>
  <c r="I40" i="4" s="1"/>
  <c r="N28" i="4"/>
  <c r="R41" i="4" s="1"/>
  <c r="C41" i="4" s="1"/>
  <c r="M99" i="6"/>
  <c r="M107" i="6"/>
  <c r="L14" i="6"/>
  <c r="M95" i="6"/>
  <c r="M103" i="6"/>
  <c r="M111" i="6"/>
  <c r="M125" i="6"/>
  <c r="Y40" i="4"/>
  <c r="J40" i="4" s="1"/>
  <c r="AA27" i="4"/>
  <c r="L27" i="4" s="1"/>
  <c r="W27" i="4"/>
  <c r="H27" i="4" s="1"/>
  <c r="S27" i="4"/>
  <c r="V40" i="4"/>
  <c r="G40" i="4" s="1"/>
  <c r="Q27" i="4"/>
  <c r="B27" i="4" s="1"/>
  <c r="M16" i="6"/>
  <c r="M18" i="6"/>
  <c r="M20" i="6"/>
  <c r="M22" i="6"/>
  <c r="M29" i="6"/>
  <c r="M31" i="6"/>
  <c r="M33" i="6"/>
  <c r="M63" i="6"/>
  <c r="M79" i="6"/>
  <c r="M90" i="6"/>
  <c r="M92" i="6"/>
  <c r="M94" i="6"/>
  <c r="M96" i="6"/>
  <c r="M98" i="6"/>
  <c r="M104" i="6"/>
  <c r="M106" i="6"/>
  <c r="M108" i="6"/>
  <c r="M110" i="6"/>
  <c r="M112" i="6"/>
  <c r="M124" i="6"/>
  <c r="M126" i="6"/>
  <c r="F24" i="1"/>
  <c r="H24" i="1"/>
  <c r="P92" i="1"/>
  <c r="M24" i="1"/>
  <c r="L24" i="1"/>
  <c r="Q6" i="6"/>
  <c r="M7" i="6"/>
  <c r="F14" i="5"/>
  <c r="F23" i="1"/>
  <c r="E23" i="1"/>
  <c r="D23" i="1"/>
  <c r="J27" i="4"/>
  <c r="AA28" i="4"/>
  <c r="L28" i="4" s="1"/>
  <c r="G24" i="1"/>
  <c r="D27" i="4"/>
  <c r="P90" i="1"/>
  <c r="O52" i="1" s="1"/>
  <c r="M28" i="6"/>
  <c r="M64" i="6"/>
  <c r="M78" i="6"/>
  <c r="M80" i="6"/>
  <c r="M100" i="6"/>
  <c r="M102" i="6"/>
  <c r="U28" i="4"/>
  <c r="F28" i="4" s="1"/>
  <c r="F27" i="4"/>
  <c r="C40" i="4"/>
  <c r="B40" i="4"/>
  <c r="H23" i="1"/>
  <c r="I24" i="1"/>
  <c r="O24" i="1"/>
  <c r="T26" i="1"/>
  <c r="N51" i="1" s="1"/>
  <c r="K24" i="1"/>
  <c r="J24" i="1"/>
  <c r="E24" i="1"/>
  <c r="P21" i="1"/>
  <c r="M10" i="6"/>
  <c r="P93" i="1"/>
  <c r="N37" i="1" l="1"/>
  <c r="N38" i="1" s="1"/>
  <c r="D42" i="1"/>
  <c r="E40" i="1" s="1"/>
  <c r="T28" i="4"/>
  <c r="E28" i="4" s="1"/>
  <c r="T41" i="4"/>
  <c r="E41" i="4" s="1"/>
  <c r="V28" i="4"/>
  <c r="G28" i="4" s="1"/>
  <c r="U41" i="4"/>
  <c r="F41" i="4" s="1"/>
  <c r="Z28" i="4"/>
  <c r="K28" i="4" s="1"/>
  <c r="W28" i="4"/>
  <c r="H28" i="4" s="1"/>
  <c r="X41" i="4"/>
  <c r="I41" i="4" s="1"/>
  <c r="W41" i="4"/>
  <c r="H41" i="4" s="1"/>
  <c r="Z41" i="4"/>
  <c r="K41" i="4" s="1"/>
  <c r="AF54" i="1"/>
  <c r="AE55" i="1"/>
  <c r="AF55" i="1"/>
  <c r="N29" i="4"/>
  <c r="V42" i="4" s="1"/>
  <c r="G42" i="4" s="1"/>
  <c r="S41" i="4"/>
  <c r="D41" i="4" s="1"/>
  <c r="R28" i="4"/>
  <c r="C28" i="4" s="1"/>
  <c r="Y41" i="4"/>
  <c r="J41" i="4" s="1"/>
  <c r="L37" i="1"/>
  <c r="L38" i="1" s="1"/>
  <c r="G37" i="1"/>
  <c r="G38" i="1" s="1"/>
  <c r="D96" i="1"/>
  <c r="E94" i="1" s="1"/>
  <c r="E95" i="1" s="1"/>
  <c r="K37" i="1"/>
  <c r="K38" i="1" s="1"/>
  <c r="O37" i="1"/>
  <c r="O38" i="1" s="1"/>
  <c r="M37" i="1"/>
  <c r="M38" i="1" s="1"/>
  <c r="L128" i="6"/>
  <c r="I129" i="6" s="1"/>
  <c r="Y28" i="4"/>
  <c r="J28" i="4" s="1"/>
  <c r="Q28" i="4"/>
  <c r="B28" i="4" s="1"/>
  <c r="V41" i="4"/>
  <c r="G41" i="4" s="1"/>
  <c r="AA41" i="4"/>
  <c r="L41" i="4" s="1"/>
  <c r="S28" i="4"/>
  <c r="D28" i="4" s="1"/>
  <c r="X28" i="4"/>
  <c r="I28" i="4" s="1"/>
  <c r="Q41" i="4"/>
  <c r="B41" i="4" s="1"/>
  <c r="A75" i="5"/>
  <c r="H37" i="1"/>
  <c r="H38" i="1" s="1"/>
  <c r="D37" i="1"/>
  <c r="D38" i="1" s="1"/>
  <c r="E37" i="1"/>
  <c r="E38" i="1" s="1"/>
  <c r="F37" i="1"/>
  <c r="F38" i="1" s="1"/>
  <c r="P23" i="1"/>
  <c r="T23" i="1" s="1"/>
  <c r="J37" i="1"/>
  <c r="J38" i="1" s="1"/>
  <c r="I37" i="1"/>
  <c r="I38" i="1" s="1"/>
  <c r="G22" i="5"/>
  <c r="D22" i="5" s="1"/>
  <c r="G67" i="5"/>
  <c r="D67" i="5" s="1"/>
  <c r="G63" i="5"/>
  <c r="D63" i="5" s="1"/>
  <c r="G59" i="5"/>
  <c r="D59" i="5" s="1"/>
  <c r="G55" i="5"/>
  <c r="D55" i="5" s="1"/>
  <c r="G51" i="5"/>
  <c r="D51" i="5" s="1"/>
  <c r="G47" i="5"/>
  <c r="D47" i="5" s="1"/>
  <c r="G43" i="5"/>
  <c r="D43" i="5" s="1"/>
  <c r="G39" i="5"/>
  <c r="D39" i="5" s="1"/>
  <c r="G35" i="5"/>
  <c r="D35" i="5" s="1"/>
  <c r="G31" i="5"/>
  <c r="D31" i="5" s="1"/>
  <c r="G27" i="5"/>
  <c r="D27" i="5" s="1"/>
  <c r="G23" i="5"/>
  <c r="D23" i="5" s="1"/>
  <c r="G68" i="5"/>
  <c r="D68" i="5" s="1"/>
  <c r="G64" i="5"/>
  <c r="D64" i="5" s="1"/>
  <c r="G60" i="5"/>
  <c r="D60" i="5" s="1"/>
  <c r="G56" i="5"/>
  <c r="D56" i="5" s="1"/>
  <c r="G52" i="5"/>
  <c r="D52" i="5" s="1"/>
  <c r="G48" i="5"/>
  <c r="D48" i="5" s="1"/>
  <c r="G44" i="5"/>
  <c r="D44" i="5" s="1"/>
  <c r="G40" i="5"/>
  <c r="D40" i="5" s="1"/>
  <c r="G36" i="5"/>
  <c r="D36" i="5" s="1"/>
  <c r="G32" i="5"/>
  <c r="D32" i="5" s="1"/>
  <c r="G28" i="5"/>
  <c r="D28" i="5" s="1"/>
  <c r="G24" i="5"/>
  <c r="D24" i="5" s="1"/>
  <c r="G69" i="5"/>
  <c r="D69" i="5" s="1"/>
  <c r="G65" i="5"/>
  <c r="D65" i="5" s="1"/>
  <c r="G61" i="5"/>
  <c r="D61" i="5" s="1"/>
  <c r="G57" i="5"/>
  <c r="D57" i="5" s="1"/>
  <c r="G53" i="5"/>
  <c r="D53" i="5" s="1"/>
  <c r="G49" i="5"/>
  <c r="D49" i="5" s="1"/>
  <c r="G45" i="5"/>
  <c r="D45" i="5" s="1"/>
  <c r="G41" i="5"/>
  <c r="D41" i="5" s="1"/>
  <c r="G37" i="5"/>
  <c r="D37" i="5" s="1"/>
  <c r="G33" i="5"/>
  <c r="D33" i="5" s="1"/>
  <c r="G29" i="5"/>
  <c r="D29" i="5" s="1"/>
  <c r="G25" i="5"/>
  <c r="D25" i="5" s="1"/>
  <c r="G21" i="5"/>
  <c r="D21" i="5" s="1"/>
  <c r="G66" i="5"/>
  <c r="D66" i="5" s="1"/>
  <c r="G62" i="5"/>
  <c r="D62" i="5" s="1"/>
  <c r="G58" i="5"/>
  <c r="D58" i="5" s="1"/>
  <c r="G54" i="5"/>
  <c r="D54" i="5" s="1"/>
  <c r="G50" i="5"/>
  <c r="D50" i="5" s="1"/>
  <c r="G46" i="5"/>
  <c r="D46" i="5" s="1"/>
  <c r="G42" i="5"/>
  <c r="D42" i="5" s="1"/>
  <c r="G38" i="5"/>
  <c r="D38" i="5" s="1"/>
  <c r="G34" i="5"/>
  <c r="D34" i="5" s="1"/>
  <c r="G30" i="5"/>
  <c r="D30" i="5" s="1"/>
  <c r="G26" i="5"/>
  <c r="D26" i="5" s="1"/>
  <c r="Q29" i="4"/>
  <c r="B29" i="4" s="1"/>
  <c r="S42" i="4"/>
  <c r="D42" i="4" s="1"/>
  <c r="W29" i="4"/>
  <c r="H29" i="4" s="1"/>
  <c r="X29" i="4"/>
  <c r="I29" i="4" s="1"/>
  <c r="R42" i="4"/>
  <c r="C42" i="4" s="1"/>
  <c r="Q42" i="4"/>
  <c r="B42" i="4" s="1"/>
  <c r="P24" i="1"/>
  <c r="T24" i="1" s="1"/>
  <c r="O51" i="1"/>
  <c r="O58" i="1" s="1"/>
  <c r="G53" i="1" s="1"/>
  <c r="M128" i="6"/>
  <c r="I128" i="6" s="1"/>
  <c r="I130" i="6" s="1"/>
  <c r="I132" i="6" s="1"/>
  <c r="G73" i="1" s="1"/>
  <c r="AG55" i="1" l="1"/>
  <c r="Z42" i="4"/>
  <c r="U42" i="4"/>
  <c r="F42" i="4" s="1"/>
  <c r="Y42" i="4"/>
  <c r="J42" i="4" s="1"/>
  <c r="X42" i="4"/>
  <c r="I42" i="4" s="1"/>
  <c r="Y29" i="4"/>
  <c r="J29" i="4" s="1"/>
  <c r="T42" i="4"/>
  <c r="E42" i="4" s="1"/>
  <c r="W42" i="4"/>
  <c r="H42" i="4" s="1"/>
  <c r="S29" i="4"/>
  <c r="D29" i="4" s="1"/>
  <c r="AA42" i="4"/>
  <c r="L42" i="4" s="1"/>
  <c r="N30" i="4"/>
  <c r="R43" i="4" s="1"/>
  <c r="C43" i="4" s="1"/>
  <c r="A68" i="1"/>
  <c r="AG54" i="1"/>
  <c r="A67" i="1"/>
  <c r="U29" i="4"/>
  <c r="F29" i="4" s="1"/>
  <c r="T29" i="4"/>
  <c r="E29" i="4" s="1"/>
  <c r="Z29" i="4"/>
  <c r="K29" i="4" s="1"/>
  <c r="R29" i="4"/>
  <c r="C29" i="4" s="1"/>
  <c r="AA29" i="4"/>
  <c r="L29" i="4" s="1"/>
  <c r="K42" i="4"/>
  <c r="V29" i="4"/>
  <c r="G29" i="4" s="1"/>
  <c r="E41" i="1"/>
  <c r="E42" i="1"/>
  <c r="F40" i="1" s="1"/>
  <c r="F42" i="1" s="1"/>
  <c r="E96" i="1"/>
  <c r="F94" i="1" s="1"/>
  <c r="F96" i="1" s="1"/>
  <c r="G94" i="1" s="1"/>
  <c r="G96" i="1" s="1"/>
  <c r="H94" i="1" s="1"/>
  <c r="N81" i="1"/>
  <c r="O81" i="1" s="1"/>
  <c r="P37" i="1"/>
  <c r="T37" i="1" s="1"/>
  <c r="D71" i="5"/>
  <c r="O80" i="1" s="1"/>
  <c r="P38" i="1"/>
  <c r="T38" i="1" s="1"/>
  <c r="Q30" i="4"/>
  <c r="B30" i="4" s="1"/>
  <c r="T30" i="4"/>
  <c r="E30" i="4" s="1"/>
  <c r="AA43" i="4"/>
  <c r="L43" i="4" s="1"/>
  <c r="Q43" i="4"/>
  <c r="B43" i="4" s="1"/>
  <c r="U30" i="4"/>
  <c r="N31" i="4"/>
  <c r="V30" i="4"/>
  <c r="G30" i="4" s="1"/>
  <c r="W43" i="4"/>
  <c r="H43" i="4" s="1"/>
  <c r="Z43" i="4"/>
  <c r="K43" i="4" s="1"/>
  <c r="R30" i="4"/>
  <c r="C30" i="4" s="1"/>
  <c r="S30" i="4"/>
  <c r="D30" i="4" s="1"/>
  <c r="W30" i="4" l="1"/>
  <c r="H30" i="4" s="1"/>
  <c r="X43" i="4"/>
  <c r="I43" i="4" s="1"/>
  <c r="Y30" i="4"/>
  <c r="J30" i="4" s="1"/>
  <c r="S43" i="4"/>
  <c r="D43" i="4" s="1"/>
  <c r="T43" i="4"/>
  <c r="E43" i="4" s="1"/>
  <c r="AA30" i="4"/>
  <c r="L30" i="4" s="1"/>
  <c r="F30" i="4"/>
  <c r="Z30" i="4"/>
  <c r="K30" i="4" s="1"/>
  <c r="Y43" i="4"/>
  <c r="J43" i="4" s="1"/>
  <c r="V43" i="4"/>
  <c r="G43" i="4" s="1"/>
  <c r="U43" i="4"/>
  <c r="F43" i="4" s="1"/>
  <c r="X30" i="4"/>
  <c r="I30" i="4" s="1"/>
  <c r="G95" i="1"/>
  <c r="F95" i="1"/>
  <c r="F41" i="1"/>
  <c r="G40" i="1"/>
  <c r="G42" i="1" s="1"/>
  <c r="Q44" i="4"/>
  <c r="B44" i="4" s="1"/>
  <c r="U44" i="4"/>
  <c r="F44" i="4" s="1"/>
  <c r="Z31" i="4"/>
  <c r="K31" i="4" s="1"/>
  <c r="Z44" i="4"/>
  <c r="K44" i="4" s="1"/>
  <c r="R44" i="4"/>
  <c r="C44" i="4" s="1"/>
  <c r="Y44" i="4"/>
  <c r="J44" i="4" s="1"/>
  <c r="U31" i="4"/>
  <c r="F31" i="4" s="1"/>
  <c r="Q31" i="4"/>
  <c r="B31" i="4" s="1"/>
  <c r="R31" i="4"/>
  <c r="C31" i="4" s="1"/>
  <c r="W31" i="4"/>
  <c r="H31" i="4" s="1"/>
  <c r="W44" i="4"/>
  <c r="H44" i="4" s="1"/>
  <c r="X44" i="4"/>
  <c r="I44" i="4" s="1"/>
  <c r="V31" i="4"/>
  <c r="G31" i="4" s="1"/>
  <c r="S44" i="4"/>
  <c r="D44" i="4" s="1"/>
  <c r="AA31" i="4"/>
  <c r="L31" i="4" s="1"/>
  <c r="V44" i="4"/>
  <c r="G44" i="4" s="1"/>
  <c r="T44" i="4"/>
  <c r="E44" i="4" s="1"/>
  <c r="T31" i="4"/>
  <c r="E31" i="4" s="1"/>
  <c r="Y31" i="4"/>
  <c r="J31" i="4" s="1"/>
  <c r="N32" i="4"/>
  <c r="S31" i="4"/>
  <c r="D31" i="4" s="1"/>
  <c r="X31" i="4"/>
  <c r="I31" i="4" s="1"/>
  <c r="AA44" i="4"/>
  <c r="L44" i="4" s="1"/>
  <c r="H96" i="1"/>
  <c r="I94" i="1" s="1"/>
  <c r="H95" i="1"/>
  <c r="H40" i="1" l="1"/>
  <c r="H42" i="1" s="1"/>
  <c r="G41" i="1"/>
  <c r="T45" i="4"/>
  <c r="E45" i="4" s="1"/>
  <c r="S32" i="4"/>
  <c r="D32" i="4" s="1"/>
  <c r="N33" i="4"/>
  <c r="S45" i="4"/>
  <c r="D45" i="4" s="1"/>
  <c r="Y45" i="4"/>
  <c r="J45" i="4" s="1"/>
  <c r="X32" i="4"/>
  <c r="I32" i="4" s="1"/>
  <c r="Q45" i="4"/>
  <c r="B45" i="4" s="1"/>
  <c r="Y32" i="4"/>
  <c r="J32" i="4" s="1"/>
  <c r="R32" i="4"/>
  <c r="C32" i="4" s="1"/>
  <c r="R45" i="4"/>
  <c r="C45" i="4" s="1"/>
  <c r="Z32" i="4"/>
  <c r="W32" i="4"/>
  <c r="H32" i="4" s="1"/>
  <c r="AA32" i="4"/>
  <c r="L32" i="4" s="1"/>
  <c r="U45" i="4"/>
  <c r="F45" i="4" s="1"/>
  <c r="U32" i="4"/>
  <c r="X45" i="4"/>
  <c r="I45" i="4" s="1"/>
  <c r="AA45" i="4"/>
  <c r="L45" i="4" s="1"/>
  <c r="T32" i="4"/>
  <c r="E32" i="4" s="1"/>
  <c r="W45" i="4"/>
  <c r="H45" i="4" s="1"/>
  <c r="Z45" i="4"/>
  <c r="K45" i="4" s="1"/>
  <c r="F32" i="4"/>
  <c r="Q32" i="4"/>
  <c r="B32" i="4" s="1"/>
  <c r="K32" i="4"/>
  <c r="V45" i="4"/>
  <c r="G45" i="4" s="1"/>
  <c r="V32" i="4"/>
  <c r="G32" i="4" s="1"/>
  <c r="I96" i="1"/>
  <c r="J94" i="1" s="1"/>
  <c r="I95" i="1"/>
  <c r="H41" i="1" l="1"/>
  <c r="I40" i="1"/>
  <c r="I42" i="1" s="1"/>
  <c r="X46" i="4"/>
  <c r="I46" i="4" s="1"/>
  <c r="S33" i="4"/>
  <c r="D33" i="4" s="1"/>
  <c r="W33" i="4"/>
  <c r="AA33" i="4"/>
  <c r="Q33" i="4"/>
  <c r="B33" i="4" s="1"/>
  <c r="U33" i="4"/>
  <c r="F33" i="4" s="1"/>
  <c r="Y46" i="4"/>
  <c r="U46" i="4"/>
  <c r="F46" i="4" s="1"/>
  <c r="L33" i="4"/>
  <c r="Z46" i="4"/>
  <c r="K46" i="4" s="1"/>
  <c r="Y33" i="4"/>
  <c r="J33" i="4" s="1"/>
  <c r="AA46" i="4"/>
  <c r="L46" i="4" s="1"/>
  <c r="V46" i="4"/>
  <c r="G46" i="4" s="1"/>
  <c r="Z33" i="4"/>
  <c r="K33" i="4" s="1"/>
  <c r="T46" i="4"/>
  <c r="E46" i="4" s="1"/>
  <c r="X33" i="4"/>
  <c r="I33" i="4" s="1"/>
  <c r="V33" i="4"/>
  <c r="G33" i="4" s="1"/>
  <c r="W46" i="4"/>
  <c r="H46" i="4" s="1"/>
  <c r="R33" i="4"/>
  <c r="C33" i="4" s="1"/>
  <c r="N34" i="4"/>
  <c r="R46" i="4"/>
  <c r="C46" i="4" s="1"/>
  <c r="T33" i="4"/>
  <c r="E33" i="4" s="1"/>
  <c r="S46" i="4"/>
  <c r="D46" i="4" s="1"/>
  <c r="J46" i="4"/>
  <c r="H33" i="4"/>
  <c r="Q46" i="4"/>
  <c r="B46" i="4" s="1"/>
  <c r="J96" i="1"/>
  <c r="K94" i="1" s="1"/>
  <c r="J95" i="1"/>
  <c r="J40" i="1" l="1"/>
  <c r="J42" i="1" s="1"/>
  <c r="I41" i="1"/>
  <c r="V34" i="4"/>
  <c r="G34" i="4" s="1"/>
  <c r="Y47" i="4"/>
  <c r="J47" i="4" s="1"/>
  <c r="X47" i="4"/>
  <c r="I47" i="4" s="1"/>
  <c r="U47" i="4"/>
  <c r="F47" i="4" s="1"/>
  <c r="V47" i="4"/>
  <c r="G47" i="4" s="1"/>
  <c r="W47" i="4"/>
  <c r="H47" i="4" s="1"/>
  <c r="S34" i="4"/>
  <c r="D34" i="4" s="1"/>
  <c r="Q34" i="4"/>
  <c r="B34" i="4" s="1"/>
  <c r="Z34" i="4"/>
  <c r="K34" i="4" s="1"/>
  <c r="AA34" i="4"/>
  <c r="L34" i="4" s="1"/>
  <c r="Y34" i="4"/>
  <c r="J34" i="4" s="1"/>
  <c r="Q47" i="4"/>
  <c r="B47" i="4" s="1"/>
  <c r="W34" i="4"/>
  <c r="H34" i="4" s="1"/>
  <c r="Z47" i="4"/>
  <c r="K47" i="4" s="1"/>
  <c r="R47" i="4"/>
  <c r="C47" i="4" s="1"/>
  <c r="N35" i="4"/>
  <c r="S47" i="4"/>
  <c r="D47" i="4" s="1"/>
  <c r="U34" i="4"/>
  <c r="F34" i="4" s="1"/>
  <c r="T47" i="4"/>
  <c r="E47" i="4" s="1"/>
  <c r="X34" i="4"/>
  <c r="I34" i="4" s="1"/>
  <c r="T34" i="4"/>
  <c r="E34" i="4" s="1"/>
  <c r="AA47" i="4"/>
  <c r="L47" i="4" s="1"/>
  <c r="R34" i="4"/>
  <c r="C34" i="4" s="1"/>
  <c r="K95" i="1"/>
  <c r="K96" i="1"/>
  <c r="L94" i="1" s="1"/>
  <c r="K40" i="1" l="1"/>
  <c r="K42" i="1" s="1"/>
  <c r="J41" i="1"/>
  <c r="V35" i="4"/>
  <c r="G35" i="4" s="1"/>
  <c r="Q48" i="4"/>
  <c r="B48" i="4" s="1"/>
  <c r="W48" i="4"/>
  <c r="Y35" i="4"/>
  <c r="J35" i="4" s="1"/>
  <c r="Z35" i="4"/>
  <c r="K35" i="4" s="1"/>
  <c r="V48" i="4"/>
  <c r="G48" i="4" s="1"/>
  <c r="Y48" i="4"/>
  <c r="N36" i="4"/>
  <c r="T35" i="4"/>
  <c r="E35" i="4" s="1"/>
  <c r="AA48" i="4"/>
  <c r="L48" i="4" s="1"/>
  <c r="J48" i="4"/>
  <c r="W35" i="4"/>
  <c r="H35" i="4" s="1"/>
  <c r="Q35" i="4"/>
  <c r="B35" i="4" s="1"/>
  <c r="X35" i="4"/>
  <c r="I35" i="4" s="1"/>
  <c r="T48" i="4"/>
  <c r="E48" i="4" s="1"/>
  <c r="S35" i="4"/>
  <c r="D35" i="4" s="1"/>
  <c r="X48" i="4"/>
  <c r="I48" i="4" s="1"/>
  <c r="U48" i="4"/>
  <c r="F48" i="4" s="1"/>
  <c r="R35" i="4"/>
  <c r="C35" i="4" s="1"/>
  <c r="U35" i="4"/>
  <c r="F35" i="4" s="1"/>
  <c r="AA35" i="4"/>
  <c r="L35" i="4" s="1"/>
  <c r="R48" i="4"/>
  <c r="C48" i="4" s="1"/>
  <c r="H48" i="4"/>
  <c r="Z48" i="4"/>
  <c r="K48" i="4" s="1"/>
  <c r="S48" i="4"/>
  <c r="D48" i="4" s="1"/>
  <c r="L96" i="1"/>
  <c r="M94" i="1" s="1"/>
  <c r="L95" i="1"/>
  <c r="L40" i="1" l="1"/>
  <c r="L42" i="1" s="1"/>
  <c r="K41" i="1"/>
  <c r="W36" i="4"/>
  <c r="H36" i="4" s="1"/>
  <c r="AA49" i="4"/>
  <c r="L49" i="4" s="1"/>
  <c r="U36" i="4"/>
  <c r="N37" i="4"/>
  <c r="R36" i="4"/>
  <c r="C36" i="4" s="1"/>
  <c r="AA36" i="4"/>
  <c r="L36" i="4" s="1"/>
  <c r="X36" i="4"/>
  <c r="Y36" i="4"/>
  <c r="J36" i="4" s="1"/>
  <c r="I36" i="4"/>
  <c r="U49" i="4"/>
  <c r="F49" i="4" s="1"/>
  <c r="F36" i="4"/>
  <c r="W49" i="4"/>
  <c r="H49" i="4" s="1"/>
  <c r="S49" i="4"/>
  <c r="D49" i="4" s="1"/>
  <c r="X49" i="4"/>
  <c r="I49" i="4" s="1"/>
  <c r="R49" i="4"/>
  <c r="C49" i="4" s="1"/>
  <c r="Z36" i="4"/>
  <c r="K36" i="4" s="1"/>
  <c r="Y49" i="4"/>
  <c r="J49" i="4" s="1"/>
  <c r="S36" i="4"/>
  <c r="D36" i="4" s="1"/>
  <c r="Q36" i="4"/>
  <c r="B36" i="4" s="1"/>
  <c r="T36" i="4"/>
  <c r="E36" i="4" s="1"/>
  <c r="T49" i="4"/>
  <c r="E49" i="4" s="1"/>
  <c r="Z49" i="4"/>
  <c r="K49" i="4" s="1"/>
  <c r="Q49" i="4"/>
  <c r="B49" i="4" s="1"/>
  <c r="V49" i="4"/>
  <c r="G49" i="4" s="1"/>
  <c r="V36" i="4"/>
  <c r="G36" i="4" s="1"/>
  <c r="M96" i="1"/>
  <c r="N94" i="1" s="1"/>
  <c r="M95" i="1"/>
  <c r="M40" i="1" l="1"/>
  <c r="M42" i="1" s="1"/>
  <c r="L41" i="1"/>
  <c r="Y37" i="4"/>
  <c r="J37" i="4" s="1"/>
  <c r="X37" i="4"/>
  <c r="I37" i="4" s="1"/>
  <c r="R50" i="4"/>
  <c r="S50" i="4"/>
  <c r="D50" i="4" s="1"/>
  <c r="W50" i="4"/>
  <c r="H50" i="4" s="1"/>
  <c r="AA50" i="4"/>
  <c r="L50" i="4" s="1"/>
  <c r="U37" i="4"/>
  <c r="Z37" i="4"/>
  <c r="K37" i="4" s="1"/>
  <c r="Q50" i="4"/>
  <c r="B50" i="4" s="1"/>
  <c r="Z50" i="4"/>
  <c r="K50" i="4" s="1"/>
  <c r="Q37" i="4"/>
  <c r="B37" i="4" s="1"/>
  <c r="U50" i="4"/>
  <c r="F50" i="4" s="1"/>
  <c r="T50" i="4"/>
  <c r="E50" i="4" s="1"/>
  <c r="R37" i="4"/>
  <c r="C37" i="4" s="1"/>
  <c r="S37" i="4"/>
  <c r="D37" i="4" s="1"/>
  <c r="T37" i="4"/>
  <c r="E37" i="4" s="1"/>
  <c r="N38" i="4"/>
  <c r="Y50" i="4"/>
  <c r="J50" i="4" s="1"/>
  <c r="V50" i="4"/>
  <c r="G50" i="4" s="1"/>
  <c r="X50" i="4"/>
  <c r="I50" i="4" s="1"/>
  <c r="AA37" i="4"/>
  <c r="L37" i="4" s="1"/>
  <c r="W37" i="4"/>
  <c r="H37" i="4" s="1"/>
  <c r="C50" i="4"/>
  <c r="V37" i="4"/>
  <c r="G37" i="4" s="1"/>
  <c r="F37" i="4"/>
  <c r="N96" i="1"/>
  <c r="O94" i="1" s="1"/>
  <c r="N95" i="1"/>
  <c r="M41" i="1" l="1"/>
  <c r="N40" i="1"/>
  <c r="N42" i="1" s="1"/>
  <c r="V38" i="4"/>
  <c r="G38" i="4" s="1"/>
  <c r="Z51" i="4"/>
  <c r="Y38" i="4"/>
  <c r="Z38" i="4"/>
  <c r="K38" i="4" s="1"/>
  <c r="U38" i="4"/>
  <c r="F38" i="4" s="1"/>
  <c r="AA38" i="4"/>
  <c r="L38" i="4" s="1"/>
  <c r="W51" i="4"/>
  <c r="H51" i="4" s="1"/>
  <c r="X51" i="4"/>
  <c r="I51" i="4" s="1"/>
  <c r="S51" i="4"/>
  <c r="D51" i="4" s="1"/>
  <c r="T51" i="4"/>
  <c r="E51" i="4" s="1"/>
  <c r="R38" i="4"/>
  <c r="C38" i="4" s="1"/>
  <c r="R51" i="4"/>
  <c r="C51" i="4" s="1"/>
  <c r="S38" i="4"/>
  <c r="D38" i="4" s="1"/>
  <c r="V51" i="4"/>
  <c r="G51" i="4" s="1"/>
  <c r="Y51" i="4"/>
  <c r="J51" i="4" s="1"/>
  <c r="Q38" i="4"/>
  <c r="B38" i="4" s="1"/>
  <c r="W38" i="4"/>
  <c r="H38" i="4" s="1"/>
  <c r="Q51" i="4"/>
  <c r="B51" i="4" s="1"/>
  <c r="X38" i="4"/>
  <c r="I38" i="4" s="1"/>
  <c r="U51" i="4"/>
  <c r="F51" i="4" s="1"/>
  <c r="J38" i="4"/>
  <c r="K51" i="4"/>
  <c r="T38" i="4"/>
  <c r="E38" i="4" s="1"/>
  <c r="AA51" i="4"/>
  <c r="L51" i="4" s="1"/>
  <c r="O96" i="1"/>
  <c r="P96" i="1" s="1"/>
  <c r="O95" i="1"/>
  <c r="P95" i="1" s="1"/>
  <c r="N41" i="1" l="1"/>
  <c r="O40" i="1"/>
  <c r="O42" i="1" s="1"/>
  <c r="K53" i="4"/>
  <c r="O41" i="1" l="1"/>
  <c r="P41" i="1" s="1"/>
  <c r="Q21" i="1" s="1"/>
  <c r="T21" i="1" s="1"/>
  <c r="G55" i="1" s="1"/>
  <c r="G51" i="1" l="1"/>
  <c r="G54" i="1" s="1"/>
  <c r="G56" i="1" s="1"/>
  <c r="P42" i="1"/>
  <c r="O72" i="1" l="1"/>
  <c r="G61" i="1"/>
  <c r="O86" i="1"/>
  <c r="O71" i="1" l="1"/>
  <c r="O76" i="1" s="1"/>
  <c r="G62" i="1" s="1"/>
  <c r="G63" i="1"/>
  <c r="G64" i="1" l="1"/>
  <c r="E67" i="1" l="1"/>
  <c r="G67" i="1" s="1"/>
  <c r="G76" i="1"/>
  <c r="F67" i="1" l="1"/>
  <c r="E68" i="1" s="1"/>
  <c r="G68" i="1" s="1"/>
  <c r="G71" i="1" s="1"/>
  <c r="F68" i="1" l="1"/>
  <c r="E69" i="1" s="1"/>
  <c r="G69" i="1" s="1"/>
  <c r="F69" i="1" l="1"/>
  <c r="E70" i="1" s="1"/>
  <c r="G70" i="1" s="1"/>
  <c r="G72" i="1" l="1"/>
  <c r="G77" i="1" l="1"/>
  <c r="G78" i="1" s="1"/>
  <c r="G81" i="1" s="1"/>
  <c r="A84" i="1" l="1"/>
  <c r="F84" i="1"/>
</calcChain>
</file>

<file path=xl/comments1.xml><?xml version="1.0" encoding="utf-8"?>
<comments xmlns="http://schemas.openxmlformats.org/spreadsheetml/2006/main">
  <authors>
    <author>Nithyanand Yeswanth</author>
  </authors>
  <commentList>
    <comment ref="N51" authorId="0" shapeId="0">
      <text>
        <r>
          <rPr>
            <sz val="8"/>
            <color indexed="81"/>
            <rFont val="Tahoma"/>
            <family val="2"/>
          </rPr>
          <t>Enter rent in D26 to O26</t>
        </r>
      </text>
    </comment>
  </commentList>
</comments>
</file>

<file path=xl/sharedStrings.xml><?xml version="1.0" encoding="utf-8"?>
<sst xmlns="http://schemas.openxmlformats.org/spreadsheetml/2006/main" count="613" uniqueCount="456">
  <si>
    <t>Basic</t>
  </si>
  <si>
    <t>DA</t>
  </si>
  <si>
    <t>Convey</t>
  </si>
  <si>
    <t>HRA</t>
  </si>
  <si>
    <t>Ch. Educ</t>
  </si>
  <si>
    <t>Medical</t>
  </si>
  <si>
    <t>LTA</t>
  </si>
  <si>
    <t>Misc</t>
  </si>
  <si>
    <t>Total</t>
  </si>
  <si>
    <t>PF</t>
  </si>
  <si>
    <t>VPF</t>
  </si>
  <si>
    <t>IT</t>
  </si>
  <si>
    <t>Rent</t>
  </si>
  <si>
    <t>Life Insur.</t>
  </si>
  <si>
    <t>Oth Ded</t>
  </si>
  <si>
    <t>Earnings</t>
  </si>
  <si>
    <t>Deductions</t>
  </si>
  <si>
    <t>May</t>
  </si>
  <si>
    <t>Perks</t>
  </si>
  <si>
    <t>Bonus</t>
  </si>
  <si>
    <t>Gross</t>
  </si>
  <si>
    <t>Apr</t>
  </si>
  <si>
    <t>Jun</t>
  </si>
  <si>
    <t>Jul</t>
  </si>
  <si>
    <t>Aug</t>
  </si>
  <si>
    <t>Sep</t>
  </si>
  <si>
    <t>Oct</t>
  </si>
  <si>
    <t>Nov</t>
  </si>
  <si>
    <t>Dec</t>
  </si>
  <si>
    <t>Jan</t>
  </si>
  <si>
    <t>Feb</t>
  </si>
  <si>
    <t>Mar</t>
  </si>
  <si>
    <t>Y</t>
  </si>
  <si>
    <t>N</t>
  </si>
  <si>
    <t>Tot Ded</t>
  </si>
  <si>
    <t>Net</t>
  </si>
  <si>
    <t>OB</t>
  </si>
  <si>
    <t>Int</t>
  </si>
  <si>
    <t>CB</t>
  </si>
  <si>
    <t>In India?</t>
  </si>
  <si>
    <t>Metro/non?</t>
  </si>
  <si>
    <t>PF%</t>
  </si>
  <si>
    <t>Incl PF?</t>
  </si>
  <si>
    <t>Tax Computation</t>
  </si>
  <si>
    <t>Gross Salary</t>
  </si>
  <si>
    <t>Profession Tax</t>
  </si>
  <si>
    <t>Exemptions under section 10 &amp; 17</t>
  </si>
  <si>
    <t>Gross Salary after Section 10 &amp; 17 exemptions</t>
  </si>
  <si>
    <t>Income chargeable under head 'Salaries'</t>
  </si>
  <si>
    <t>Other income</t>
  </si>
  <si>
    <t>Gross Total Income</t>
  </si>
  <si>
    <t>Deductions under chapter VI-A</t>
  </si>
  <si>
    <t>Deductions under sec 80C</t>
  </si>
  <si>
    <t>Net taxable income</t>
  </si>
  <si>
    <t>Tax Slabs</t>
  </si>
  <si>
    <t>Tax rate</t>
  </si>
  <si>
    <t>Appl Amt</t>
  </si>
  <si>
    <t>Balance</t>
  </si>
  <si>
    <t>Tax</t>
  </si>
  <si>
    <t>Tax on Income</t>
  </si>
  <si>
    <t>Education Cess</t>
  </si>
  <si>
    <t>Total Tax Liability</t>
  </si>
  <si>
    <t>Total Income tax paid from salary</t>
  </si>
  <si>
    <t>Tax paid outside of salary</t>
  </si>
  <si>
    <t>Income tax due</t>
  </si>
  <si>
    <t>Remaining months in year</t>
  </si>
  <si>
    <t>Produced</t>
  </si>
  <si>
    <t>Limited</t>
  </si>
  <si>
    <t>Children's Education Allowance Exemption (sec 10 (14))</t>
  </si>
  <si>
    <t>Total Exempted Allowances</t>
  </si>
  <si>
    <t>House/property income or loss (enter loss as negative)</t>
  </si>
  <si>
    <t>Interest on housing loan (for tax exemption)</t>
  </si>
  <si>
    <t>Deductions under Chapter VI-A</t>
  </si>
  <si>
    <t>Donation to approved fund and charities (sec 80G)</t>
  </si>
  <si>
    <t>Rent deduction (sec 80GG) only if HRA not received</t>
  </si>
  <si>
    <t>Total Deductibles</t>
  </si>
  <si>
    <t>Deductions under Chapter VI (sec 80C)</t>
  </si>
  <si>
    <t>NSC (sec 80C)</t>
  </si>
  <si>
    <t>Employees Provident Fund &amp; Voluntary PF (sec 80C)</t>
  </si>
  <si>
    <t>Total Investments</t>
  </si>
  <si>
    <t>Others</t>
  </si>
  <si>
    <t>SETUP PARAMETERS</t>
  </si>
  <si>
    <t>PF/VPF deductions</t>
  </si>
  <si>
    <t xml:space="preserve">    PF as a percentage of "Salary"</t>
  </si>
  <si>
    <t xml:space="preserve">    VPF as a percentage of "Salary"</t>
  </si>
  <si>
    <t xml:space="preserve">    Interest rate on PF/VPF</t>
  </si>
  <si>
    <t>P</t>
  </si>
  <si>
    <t>For Housing Loan</t>
  </si>
  <si>
    <t xml:space="preserve">    House self-occupied? (Y or N)</t>
  </si>
  <si>
    <t xml:space="preserve">    Loan taken after Apr 1, 1999?</t>
  </si>
  <si>
    <t>Miscellaneous</t>
  </si>
  <si>
    <t xml:space="preserve">    Sr. citizen included in medical insurance premium? (Y or N)</t>
  </si>
  <si>
    <t xml:space="preserve">    Sr. citizen included in medical treatment u/s 80DDB? (Y or N)</t>
  </si>
  <si>
    <t xml:space="preserve">    Have permanent physical disability? (Y or N)</t>
  </si>
  <si>
    <t xml:space="preserve">    Do you live in Company provided accommodation? (Y or N)</t>
  </si>
  <si>
    <t>Income Tax Calculator</t>
  </si>
  <si>
    <t>email: taxcalc@ynithya.com</t>
  </si>
  <si>
    <t>D I S C L A I M E R</t>
  </si>
  <si>
    <t>P L E A S E   R E A D   T H E S E   I N S T R U C T I O N S   C A R E F U L L Y</t>
  </si>
  <si>
    <t>This sheet can be used to compute the tax for salaried individuals only</t>
  </si>
  <si>
    <t>Enter the numbers only in the yellow-colored cells. You will not be able to enter data in other cells</t>
  </si>
  <si>
    <t>Do not leave any yellow cell (that expects numbers) blank. This may lead to incorrect calculation. Instead, enter 0</t>
  </si>
  <si>
    <t>T A X   R U L E S   &amp;   O T H E R   U S E F U L   I N F O R M A T I O N</t>
  </si>
  <si>
    <t>H O W   T O   G E T   A N   U P D A T E   /   C O N T A C T   M E</t>
  </si>
  <si>
    <t>This may also be changed when there are changes in tax rules that affect income tax computation</t>
  </si>
  <si>
    <t>Please check back frequently (at least once every 2 months) to see that you have the latest version. You can compare the version number at the top of this instructions page. However, if you have subscribed, you will automatically receive updates</t>
  </si>
  <si>
    <t>Since I am not a chartered accountant or a tax consultant, I am not in a position to answer specfic queries related to taxation. You will have to contact a tax consultant for your specific queries</t>
  </si>
  <si>
    <t>Click here to go to the tax calculation sheet</t>
  </si>
  <si>
    <t>R E V I S I O N   H I S T O R Y</t>
  </si>
  <si>
    <t>Version 9.0; Release date: May 01, 2005</t>
  </si>
  <si>
    <t>Updated for financial year 2005-06, corrections and enhancements incorporated</t>
  </si>
  <si>
    <t>Version 8.2; Release date: January 14, 2005</t>
  </si>
  <si>
    <t>Fixed some errors in calculation of HRA exemption, surcharge, section 88D rebate, etc.</t>
  </si>
  <si>
    <t>Version 8.1; Release date: September 18, 2004</t>
  </si>
  <si>
    <t>Updated to include the budget revisions</t>
  </si>
  <si>
    <t>Version 8.0; Release date: May 10, 2004</t>
  </si>
  <si>
    <t>Updated for financial year 2004-05, corrections and enhancements incorporated</t>
  </si>
  <si>
    <t>Version 7.1; Release date: May 08, 2003</t>
  </si>
  <si>
    <t>Updated to correct mistakes in: perquisites calculation, children's education rebate under section 88 and inclusion of interest income in gross income</t>
  </si>
  <si>
    <t>Version 7.0; Release date: April 18, 2003</t>
  </si>
  <si>
    <t>Updated to include the new budget proposals for financial year 2003-04</t>
  </si>
  <si>
    <t>Version 6.5; Release date: March 03, 2003</t>
  </si>
  <si>
    <t>Corrections: Housing loan interest and House/property income/loss was not being accounted correctly. Next year's (Financial year 2003-04) version 7.0 should be out sometime in late April or early May 2003</t>
  </si>
  <si>
    <t>Version 6.4; Release date: February 25, 2003</t>
  </si>
  <si>
    <t>Corrections: Std. deduction calculation, housing interest accounting, LIC SSS accounting, Perks calculation (different interest rates for the 2 loans)</t>
  </si>
  <si>
    <t>Version 6.3; Release date: January 09, 2003</t>
  </si>
  <si>
    <t>Corrections: Problem in tax rebate calculation when the salary is between 1 lac and 2 lacs; Housing loan interest calculation</t>
  </si>
  <si>
    <t>Version 6.2; Release date: January 07, 2003</t>
  </si>
  <si>
    <t>Updated to fix some errors in calculation of Std. deduction, Tax rebate, Vehicle maintenance exemption, Perquisites, etc.</t>
  </si>
  <si>
    <t>Version 6.1; Release date: May 15, 2002</t>
  </si>
  <si>
    <t>Updated to include the changes as passed in the finance bill; Fixed some minor defects</t>
  </si>
  <si>
    <t>Version 6.0; Release date: April 10, 2002</t>
  </si>
  <si>
    <t>Updated to include the new budget proposals for financial year 2002-03</t>
  </si>
  <si>
    <t>This tax calculator can be used to calculate the approximate tax payable by salaried individuals. This should NOT be used to compute the actual taxes to be paid to the Government. The author is not resposible for any inaccuracies in the tax computed by this calculator. If you find any inconsistency, please let me know and I will try to fix it at the earliest</t>
  </si>
  <si>
    <t>Loan/Wdwl</t>
  </si>
  <si>
    <t>Trnspt Exmpt</t>
  </si>
  <si>
    <t>VPF% Effective</t>
  </si>
  <si>
    <t>Amt for PF</t>
  </si>
  <si>
    <t>HRA Exempt</t>
  </si>
  <si>
    <t>PF Bal @ Govt rate</t>
  </si>
  <si>
    <t>HRA Empt limit</t>
  </si>
  <si>
    <t>PF Limit:</t>
  </si>
  <si>
    <t>Govt. Prescribed PF int rate:</t>
  </si>
  <si>
    <t>Housing Loan</t>
  </si>
  <si>
    <t>Vehicle Loan</t>
  </si>
  <si>
    <t>PC
Loan</t>
  </si>
  <si>
    <t>Soft
Loan</t>
  </si>
  <si>
    <t>Salary
Loan</t>
  </si>
  <si>
    <t>Education Loan</t>
  </si>
  <si>
    <t>Phone Loan</t>
  </si>
  <si>
    <t>Marriage
Loan</t>
  </si>
  <si>
    <t>Other
Loan</t>
  </si>
  <si>
    <t>CLA
Loan</t>
  </si>
  <si>
    <t>Original Loan Amount</t>
  </si>
  <si>
    <t>Year starts:</t>
  </si>
  <si>
    <t>Loan Taken In Month/Year</t>
  </si>
  <si>
    <t>Year ends:</t>
  </si>
  <si>
    <t>Loan Closed Month/Year</t>
  </si>
  <si>
    <t>No. of instalments</t>
  </si>
  <si>
    <t>Co. interest rate</t>
  </si>
  <si>
    <t>EMI</t>
  </si>
  <si>
    <t>Second Loan Details (if loan of same type is taken again during the year) -- see Instructions below</t>
  </si>
  <si>
    <t>Prescribed interest rate</t>
  </si>
  <si>
    <t>Differential int - Loan 1</t>
  </si>
  <si>
    <t>Differential int - Loan 2</t>
  </si>
  <si>
    <t>First Loan</t>
  </si>
  <si>
    <t>April</t>
  </si>
  <si>
    <t>June</t>
  </si>
  <si>
    <t>July</t>
  </si>
  <si>
    <t>August</t>
  </si>
  <si>
    <t>September</t>
  </si>
  <si>
    <t>October</t>
  </si>
  <si>
    <t>November</t>
  </si>
  <si>
    <t>December</t>
  </si>
  <si>
    <t>January</t>
  </si>
  <si>
    <t>February</t>
  </si>
  <si>
    <t>March</t>
  </si>
  <si>
    <t>Second Loan</t>
  </si>
  <si>
    <t>Total value of Perquisites for the year</t>
  </si>
  <si>
    <t>Instructions:</t>
  </si>
  <si>
    <t>00000</t>
  </si>
  <si>
    <t>10000000000</t>
  </si>
  <si>
    <t>Prof tax</t>
  </si>
  <si>
    <t>NSC Accrued Interest Calculation</t>
  </si>
  <si>
    <t>Purch. From -&gt;</t>
  </si>
  <si>
    <t>Purch. To -&gt;</t>
  </si>
  <si>
    <t>Interest Rate -&gt;</t>
  </si>
  <si>
    <t>Total Interest</t>
  </si>
  <si>
    <t>Maturity Amount</t>
  </si>
  <si>
    <t>Calendar Year Start:</t>
  </si>
  <si>
    <t>Certificate No.</t>
  </si>
  <si>
    <t>Date of Purchase</t>
  </si>
  <si>
    <t>Amount invested</t>
  </si>
  <si>
    <t>Accrued Interest</t>
  </si>
  <si>
    <t>Total Accrued Interest</t>
  </si>
  <si>
    <t>2. NSCs purchased before or after this date do not accrue interest for this financial year</t>
  </si>
  <si>
    <t>3. Entry of certificate number is optional</t>
  </si>
  <si>
    <r>
      <t>1</t>
    </r>
    <r>
      <rPr>
        <vertAlign val="superscript"/>
        <sz val="8"/>
        <color indexed="12"/>
        <rFont val="Franklin Gothic Book"/>
        <family val="2"/>
      </rPr>
      <t>st</t>
    </r>
    <r>
      <rPr>
        <sz val="8"/>
        <color indexed="12"/>
        <rFont val="Franklin Gothic Book"/>
        <family val="2"/>
      </rPr>
      <t xml:space="preserve"> year</t>
    </r>
  </si>
  <si>
    <r>
      <t>2</t>
    </r>
    <r>
      <rPr>
        <vertAlign val="superscript"/>
        <sz val="8"/>
        <color indexed="12"/>
        <rFont val="Franklin Gothic Book"/>
        <family val="2"/>
      </rPr>
      <t>nd</t>
    </r>
    <r>
      <rPr>
        <sz val="8"/>
        <color indexed="12"/>
        <rFont val="Franklin Gothic Book"/>
        <family val="2"/>
      </rPr>
      <t xml:space="preserve"> year</t>
    </r>
  </si>
  <si>
    <r>
      <t>3</t>
    </r>
    <r>
      <rPr>
        <vertAlign val="superscript"/>
        <sz val="8"/>
        <color indexed="12"/>
        <rFont val="Franklin Gothic Book"/>
        <family val="2"/>
      </rPr>
      <t>rd</t>
    </r>
    <r>
      <rPr>
        <sz val="8"/>
        <color indexed="12"/>
        <rFont val="Franklin Gothic Book"/>
        <family val="2"/>
      </rPr>
      <t xml:space="preserve"> year</t>
    </r>
  </si>
  <si>
    <r>
      <t>4</t>
    </r>
    <r>
      <rPr>
        <vertAlign val="superscript"/>
        <sz val="8"/>
        <color indexed="12"/>
        <rFont val="Franklin Gothic Book"/>
        <family val="2"/>
      </rPr>
      <t>th</t>
    </r>
    <r>
      <rPr>
        <sz val="8"/>
        <color indexed="12"/>
        <rFont val="Franklin Gothic Book"/>
        <family val="2"/>
      </rPr>
      <t xml:space="preserve"> year</t>
    </r>
  </si>
  <si>
    <r>
      <t>5</t>
    </r>
    <r>
      <rPr>
        <vertAlign val="superscript"/>
        <sz val="8"/>
        <color indexed="12"/>
        <rFont val="Franklin Gothic Book"/>
        <family val="2"/>
      </rPr>
      <t>th</t>
    </r>
    <r>
      <rPr>
        <sz val="8"/>
        <color indexed="12"/>
        <rFont val="Franklin Gothic Book"/>
        <family val="2"/>
      </rPr>
      <t xml:space="preserve"> year</t>
    </r>
  </si>
  <si>
    <r>
      <t>6</t>
    </r>
    <r>
      <rPr>
        <vertAlign val="superscript"/>
        <sz val="8"/>
        <color indexed="12"/>
        <rFont val="Franklin Gothic Book"/>
        <family val="2"/>
      </rPr>
      <t>th</t>
    </r>
    <r>
      <rPr>
        <sz val="8"/>
        <color indexed="12"/>
        <rFont val="Franklin Gothic Book"/>
        <family val="2"/>
      </rPr>
      <t xml:space="preserve"> year</t>
    </r>
  </si>
  <si>
    <r>
      <t xml:space="preserve">HRA exemption = minimum of (40% </t>
    </r>
    <r>
      <rPr>
        <sz val="8"/>
        <color indexed="55"/>
        <rFont val="Franklin Gothic Book"/>
        <family val="2"/>
      </rPr>
      <t>(50% for metros)</t>
    </r>
    <r>
      <rPr>
        <sz val="8"/>
        <rFont val="Franklin Gothic Book"/>
        <family val="2"/>
      </rPr>
      <t xml:space="preserve"> of Basic+DA </t>
    </r>
    <r>
      <rPr>
        <sz val="8"/>
        <color indexed="12"/>
        <rFont val="Franklin Gothic Book"/>
        <family val="2"/>
      </rPr>
      <t>or</t>
    </r>
    <r>
      <rPr>
        <sz val="8"/>
        <rFont val="Franklin Gothic Book"/>
        <family val="2"/>
      </rPr>
      <t xml:space="preserve"> HRA </t>
    </r>
    <r>
      <rPr>
        <sz val="8"/>
        <color indexed="12"/>
        <rFont val="Franklin Gothic Book"/>
        <family val="2"/>
      </rPr>
      <t>or</t>
    </r>
    <r>
      <rPr>
        <sz val="8"/>
        <rFont val="Franklin Gothic Book"/>
        <family val="2"/>
      </rPr>
      <t xml:space="preserve"> rent paid - 10% of Basic+DA)</t>
    </r>
  </si>
  <si>
    <r>
      <t xml:space="preserve">If you are already on my list and no longer want to get updates,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UNSUBSCRIBE</t>
    </r>
    <r>
      <rPr>
        <sz val="8"/>
        <rFont val="Franklin Gothic Book"/>
        <family val="2"/>
      </rPr>
      <t>"</t>
    </r>
  </si>
  <si>
    <t>Version 9.1; Release date: July 29, 2005</t>
  </si>
  <si>
    <t>Updated to include the budget revisions, NSC interest calculation error corrected, Surcharge calculation fixed</t>
  </si>
  <si>
    <t>Updated for FY 2007-08. Reformatted to include more heads for income &amp; deductions</t>
  </si>
  <si>
    <t>Depending on your company policy, change cells C4 to C20 to select elements of your salary that count towards calculation of PF</t>
  </si>
  <si>
    <t>If the interest rate on PF is other than 8.5%, change the value in cell AA57</t>
  </si>
  <si>
    <t>You can enter the opening balance in your PF account as at the beginning of the year in cell D40 and PF loans/withdrawals in cells D39 to O39 to calculate the closing balance (including employer's contribution) in your account at the end of the year</t>
  </si>
  <si>
    <t>Enter expected bonus in Cell R21, if bonus for the year has not been paid yet. If paid, enter the actual amount</t>
  </si>
  <si>
    <t>Enter any other earnings related to salary in cell S21</t>
  </si>
  <si>
    <t>Version 10.0; Release date: March 25, 2007</t>
  </si>
  <si>
    <t>Income chargeable under head 'House/Property'</t>
  </si>
  <si>
    <t>Income chargeable under head 'Other Sources'</t>
  </si>
  <si>
    <t>Income chargeable under head 'Capital Gains' at nominal rate</t>
  </si>
  <si>
    <t>Price</t>
  </si>
  <si>
    <t>Date</t>
  </si>
  <si>
    <t>Purchase</t>
  </si>
  <si>
    <t>Selling</t>
  </si>
  <si>
    <t>Gains</t>
  </si>
  <si>
    <t>Financial Year Start:</t>
  </si>
  <si>
    <t>Financial Year End:</t>
  </si>
  <si>
    <t>LT/
ST</t>
  </si>
  <si>
    <t>1. Enter details of all stocks sold during the current financial year</t>
  </si>
  <si>
    <t xml:space="preserve">     may be entered in rows 14 through 20</t>
  </si>
  <si>
    <t>Perquisites Value of Loans Taken from the Company</t>
  </si>
  <si>
    <t>Fixed some errors in PF calculation and perquisites valuation, added Capital Gains Tax calculation</t>
  </si>
  <si>
    <t>Version 10.1; Release date: April 11, 2007</t>
  </si>
  <si>
    <t>500001</t>
  </si>
  <si>
    <t>Updated for FY 2008-09</t>
  </si>
  <si>
    <t>Medical Insurance Premium for parents (sec 80D)</t>
  </si>
  <si>
    <t>STCG</t>
  </si>
  <si>
    <t>LTCG</t>
  </si>
  <si>
    <t>Version 11.0; Release date: April 14, 2008</t>
  </si>
  <si>
    <t>Total Capital Gains Tax</t>
  </si>
  <si>
    <t xml:space="preserve">        Is the permanent physical disability severe (&gt;80%)? (Y or N)</t>
  </si>
  <si>
    <t>LT</t>
  </si>
  <si>
    <t>ST</t>
  </si>
  <si>
    <t>Total Short Term Gains</t>
  </si>
  <si>
    <t>Total Long Term Gains</t>
  </si>
  <si>
    <t>Total Capital Gains</t>
  </si>
  <si>
    <t>Sell dt validn</t>
  </si>
  <si>
    <t>2. Only stocks sold through a recognized stock exchange where the Securities Transaction Tax (STT) is paid should be entered</t>
  </si>
  <si>
    <t>Uniform All.</t>
  </si>
  <si>
    <t>You can change the headings for the 10 "Misc" earnings and the 9 "Oth Ded" deductions columns to suit your salary structure</t>
  </si>
  <si>
    <r>
      <t xml:space="preserve">Rent can be entered in cells D26 to O26, if deducted through salary; Otherwise enter annual figure in Q26 to S26. </t>
    </r>
    <r>
      <rPr>
        <b/>
        <sz val="8"/>
        <rFont val="Franklin Gothic Book"/>
        <family val="2"/>
      </rPr>
      <t>If you enter rent amount in any cell between D26 to O26, do not enter any amount in cells Q26 to S26 and vice-versa</t>
    </r>
  </si>
  <si>
    <t>Uniform allowance is exempt to the extent of bills produced for purchase of uniforms</t>
  </si>
  <si>
    <t>Residents of Sikkim are exempt from Income Tax</t>
  </si>
  <si>
    <t>Version 12.0; Release date: August 02, 2009</t>
  </si>
  <si>
    <t>Updated for FY 2009-10 based on budget proposals. Fixed some errors</t>
  </si>
  <si>
    <t>If you have opted for VPF (Voluntary Provident Fund), change cell AA58 depending on whether the deduction is done as a percentage of salary or as a fixed amount. If percentage, enter percentage in cell AA56. This will apply same percentage throughout the year. If percentage changes month to month, enter the percentage for each month in cells D43 to O43 (If you leave any of these cells at 0, the default percentage from cell AA56 will be taken for that month). If the deduction is a fixed amount, enter the amount for each month in cells D43 to O43</t>
  </si>
  <si>
    <t>If you have taken company loans at discounted interest rates, please enter the details in the sheet "Perquisites"</t>
  </si>
  <si>
    <t>Updated for FY 2010-11 based on budget proposals</t>
  </si>
  <si>
    <t>Children's Education Tuition Fees (sec 80C)</t>
  </si>
  <si>
    <t xml:space="preserve">    Dependents have permanent physical disability (&gt;80%)? (Y or N)</t>
  </si>
  <si>
    <t>Car perks</t>
  </si>
  <si>
    <t>Co. Car used?</t>
  </si>
  <si>
    <t xml:space="preserve">    Does company bear running/maint expenses for car? (Y or N)</t>
  </si>
  <si>
    <t>Co. Car driver?</t>
  </si>
  <si>
    <t>Accommodation &amp; Car Perquisites</t>
  </si>
  <si>
    <t>If you are in Delhi, Mumbai, Kolkata or Chennai, change the location to Metro in Cell AA51. If you have moved from a metro to non-metro or vice-versa during the year, change the cells D47 to O47</t>
  </si>
  <si>
    <t xml:space="preserve">    HRA Exempt limit (of Basic+DA)</t>
  </si>
  <si>
    <t>Enter the PF deduction percentage in cell AA54 depending on your company policy. In addition, if your company limits the PF to a certain amount, enter that amount in cell AA55. If there is no PF deduction, enter 0% in cell AA54. If the PF percentage changes during the year (due to change in employer or otherwise), change cells D48 to O48</t>
  </si>
  <si>
    <t xml:space="preserve">        Vehicle cubic capacity &gt; 1600cc? (Y or N)</t>
  </si>
  <si>
    <t>If you have been out of India during the year, update cells D46 to O46 so that conveyance exemption is computed correctly</t>
  </si>
  <si>
    <t>Enter any capital gains that are taxable at nominal tax rate (Stocks sold outside of registered stock exchanges, for example) in cell G58</t>
  </si>
  <si>
    <t>Other exemptions entered in cell N53 is not validated. So, please be sure about the amount entered</t>
  </si>
  <si>
    <t>You can enter the details of NSC's purchased during the last 5 years in the "NSC Accrued Interest" sheet to calculate the accrued interest automatically. This interest is exempt under sec 80C. This interest is also taxable either on accrual basis every year or when received</t>
  </si>
  <si>
    <t>Version 13.0; Release date: April 20, 2010</t>
  </si>
  <si>
    <t>As per clarification from IT department, all perquisites such as rent-free accommodation, company provided car, free or concessional education facilities, employee stock option plan, free club membership, company provided credit card, gift vouchers, meal coupons, hotel stay beyond 15 days, are fully taxable. This tax calculator calculates the tax incidence for accommodation and car. If you receive any other perquisite, please include the value of such perquisite in cell S21</t>
  </si>
  <si>
    <t>Update the earnings (cells D3 to O20) with expected earnings during the year. On the deductions side, enter the expected rent payment, Profession Tax and Life Insurance Salary deduction details for all months.</t>
  </si>
  <si>
    <t>Updated for FY 2011-12 based on budget proposals</t>
  </si>
  <si>
    <t>1. Enter the original loan amount, the month in which the loan was taken (e.g., DEC-2007), number of instalments and company interest rate in rows 5, 6, 10 and 11 respectively</t>
  </si>
  <si>
    <t>2. If the loan was pre-closed, enter the month in which it was pre-closed (e.g., AUG-2010) in row 7. Otherwise leave blank</t>
  </si>
  <si>
    <t>3. If you have taken another loan of same type, enter similar details in rows 14 through 20. For example, a Soft Loan taken in JUL-2007 may have</t>
  </si>
  <si>
    <t xml:space="preserve">     completed its term (or pre-closed) in JUN-2010. These details can be entered in rows 5 through 11. Suppose another Soft Loan is taken in SEP-2010, those details</t>
  </si>
  <si>
    <t>Version 14.0; Release date: May 20, 2011</t>
  </si>
  <si>
    <t>Housing loan principal repayment, regn/stamp duty (sec 80C)</t>
  </si>
  <si>
    <t>1000000</t>
  </si>
  <si>
    <t>1000001</t>
  </si>
  <si>
    <t>If you have rented out your house, enter the total rent income/loss from the house (after deducting property tax and 30% of rent as standard maintenance expenses) in cell N61</t>
  </si>
  <si>
    <t>Medical Insurance Premium / health check (sec 80D)</t>
  </si>
  <si>
    <t>Gratuity (max. 10 lac) , VRS (max. 5 lacs) and some such amounts are exempt upto certain limits. If you get any such payment, please find out the exact limit for you from a tax consultant and enter in cell N53</t>
  </si>
  <si>
    <t>Quantity</t>
  </si>
  <si>
    <t>Brokerage</t>
  </si>
  <si>
    <t>3. The above could also be used for equity mutual funds</t>
  </si>
  <si>
    <t>Version 15.0; Release date: May 06, 2012</t>
  </si>
  <si>
    <t>4. You can change the headings of the loans, if required. However, remember to change the corresponding "prescribed interest rate" in Row 23 as well.</t>
  </si>
  <si>
    <r>
      <t xml:space="preserve">If you find any inaccuracy in the calculation or want clarification on some aspect of the tax calculator, please send an e-mail with the details of your query to </t>
    </r>
    <r>
      <rPr>
        <b/>
        <sz val="8"/>
        <rFont val="Franklin Gothic Book"/>
        <family val="2"/>
      </rPr>
      <t>taxcalc@ynithya.com</t>
    </r>
    <r>
      <rPr>
        <sz val="8"/>
        <rFont val="Franklin Gothic Book"/>
        <family val="2"/>
      </rPr>
      <t xml:space="preserve"> with subject as "</t>
    </r>
    <r>
      <rPr>
        <b/>
        <sz val="8"/>
        <color indexed="12"/>
        <rFont val="Franklin Gothic Book"/>
        <family val="2"/>
      </rPr>
      <t>CLARIFICATION</t>
    </r>
    <r>
      <rPr>
        <sz val="8"/>
        <rFont val="Franklin Gothic Book"/>
        <family val="2"/>
      </rPr>
      <t>" and I will try to reply within a week</t>
    </r>
  </si>
  <si>
    <t>(Only for Stocks bought/sold through a Stock Exchange and where STT is paid, and for equity mutual funds)</t>
  </si>
  <si>
    <t>Updated for FY 2012-13 based on budget</t>
  </si>
  <si>
    <t>Updated to remove long-term infrastructure bonds from the list of exemptions</t>
  </si>
  <si>
    <t>Version 15.1; Release date: Jun 10, 2012</t>
  </si>
  <si>
    <t>Version 16.0; Release date: May 25, 2013</t>
  </si>
  <si>
    <t>Updated for FY 2013-14 based on budget</t>
  </si>
  <si>
    <t>Surcharge on Income Tax</t>
  </si>
  <si>
    <t>fm this iss, dur chgd to 5 yrs</t>
  </si>
  <si>
    <t>Financial Year</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</si>
  <si>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</si>
  <si>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</si>
  <si>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</si>
  <si>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</si>
  <si>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</si>
  <si>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</si>
  <si>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</si>
  <si>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</si>
  <si>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</si>
  <si>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</si>
  <si>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</si>
  <si>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</si>
  <si>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</si>
  <si>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</si>
  <si>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</si>
  <si>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</si>
  <si>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</si>
  <si>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</si>
  <si>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2001-02</t>
  </si>
  <si>
    <t>2002-03</t>
  </si>
  <si>
    <t>2003-04</t>
  </si>
  <si>
    <t>2004-05</t>
  </si>
  <si>
    <t>2005-06</t>
  </si>
  <si>
    <t>2006-07</t>
  </si>
  <si>
    <t>2007-08</t>
  </si>
  <si>
    <t>2008-09</t>
  </si>
  <si>
    <t>2009-10</t>
  </si>
  <si>
    <t>2010-11</t>
  </si>
  <si>
    <t>2011-12</t>
  </si>
  <si>
    <t>2012-13</t>
  </si>
  <si>
    <t>1999-00</t>
  </si>
  <si>
    <t>2000-01</t>
  </si>
  <si>
    <t>Tax credit (Sec 87A)</t>
  </si>
  <si>
    <t>2013-14</t>
  </si>
  <si>
    <t>LTA is exempt to the tune of ecomony class airfare for the family to any destination in India, by the shortest route.
LTA can be claimed twice in a block of 4 calendar years. The current block is from Jan 2014 to Dec 2017</t>
  </si>
  <si>
    <t>Savings Bank interest</t>
  </si>
  <si>
    <t>Savings Bank interest exemption (sec 80TTA)</t>
  </si>
  <si>
    <t>Deduction for permanent disability (sec 80U)</t>
  </si>
  <si>
    <t>Other income (interest, etc. excluding. SB int)</t>
  </si>
  <si>
    <t>Any other deductions (incl. donations u/s 35AC/80GGA)</t>
  </si>
  <si>
    <t>Medical for handicapped dependents (sec 80DD)</t>
  </si>
  <si>
    <t>Medical for specified diseases (sec 80DDB)</t>
  </si>
  <si>
    <t>Higher Education Loan Interest Repayment (sec 80E)</t>
  </si>
  <si>
    <t>HRA Exemption (sec 10 (13A))</t>
  </si>
  <si>
    <t>Transport Exemption (sec 10(14))</t>
  </si>
  <si>
    <t>Other exemptions under sec 10 (10) (gratuity, etc.)</t>
  </si>
  <si>
    <t>Medical Bills Exemption (sec 17(2))</t>
  </si>
  <si>
    <t>LTA exemption (sec 10(5))</t>
  </si>
  <si>
    <t>Uniform expenses (sec 10(14))</t>
  </si>
  <si>
    <t>Name:</t>
  </si>
  <si>
    <t>Dt. Of birth:</t>
  </si>
  <si>
    <t>Sr. citizen:</t>
  </si>
  <si>
    <t>Very sr. citizen:</t>
  </si>
  <si>
    <t>Sr. Citizen?</t>
  </si>
  <si>
    <t>Very Sr. citizen?</t>
  </si>
  <si>
    <t>Version 17.0; Release date: Apr 27, 2014</t>
  </si>
  <si>
    <t>Updated for FY 2014-15, some enhancements</t>
  </si>
  <si>
    <t>Enter expected investments/savings/expenses information in cells N53 to N85</t>
  </si>
  <si>
    <t>In FY16-17, chg D14 to "-4" instd of "-5" coz of this</t>
  </si>
  <si>
    <t>HRA exemption is calculated on monthly basis and added up, which may not always be correct if your HRA, Rent or Basic+DA change month on month. In such cases, and if you have not moved from a metro to non-metro or vice-versa in the middle of the year, enter the rent only in cells Q26 to S26 and NOT in cells D26 to O26. This will calculate the exemption on the total basis instead of monthly basis</t>
  </si>
  <si>
    <t>Donations for certain scientific research and rural development are exempt, as well as donations to some charities under section 35AC or section 80GGA. Please enter the actual amount exempt in cell N74</t>
  </si>
  <si>
    <t>Enter non-salary related other income (such as from interest) in cell N63 and Savings Bank interest in cell N62</t>
  </si>
  <si>
    <t>Interest from Savings bank account is exempt up to ₹ 10,000/- per year</t>
  </si>
  <si>
    <t>For the current year, Govt. prescribed rate of interest for PF is 8.75%. If the employer pays interest higher than this, the differential interest earned is treated as perquisites</t>
  </si>
  <si>
    <t>Available for free download at: http://taxcalc.ynithya.com/</t>
  </si>
  <si>
    <t>The latest version of this tool is available for free download from the Internet at http://taxcalc.ynithya.com/</t>
  </si>
  <si>
    <t>Medical bills are exempt for self and dependent family, upto ₹ 15,000/- per annum</t>
  </si>
  <si>
    <t>Children's Education allowance is exempt upto ₹ 100/- per child per month plus ₹ 300/- per child per month for hostel expenses (max of 2 children only)</t>
  </si>
  <si>
    <r>
      <t xml:space="preserve">Please enter your name </t>
    </r>
    <r>
      <rPr>
        <b/>
        <sz val="8"/>
        <rFont val="Franklin Gothic Book"/>
        <family val="2"/>
      </rPr>
      <t xml:space="preserve">and Date of Birth </t>
    </r>
    <r>
      <rPr>
        <sz val="8"/>
        <rFont val="Franklin Gothic Book"/>
        <family val="2"/>
      </rPr>
      <t>above to calculate taxes correctly (date of birth is required to calculate senior citizenship)</t>
    </r>
  </si>
  <si>
    <t>2014-15</t>
  </si>
  <si>
    <t>Yr begin</t>
  </si>
  <si>
    <t>(For houses, flats, plots, etc.)</t>
  </si>
  <si>
    <t>Capital Gains Tax (from Property)</t>
  </si>
  <si>
    <t>Capital Gains Tax Calculation - Equity</t>
  </si>
  <si>
    <t>1. Enter details of property sold during the current financial year</t>
  </si>
  <si>
    <t>You can enter details of Stocks sold during the year in the "Capital Gains - Equity" sheet to calculate the tax applicable</t>
  </si>
  <si>
    <t>Version 17.1; Release date: Jul 22, 2014</t>
  </si>
  <si>
    <t>Scrip/MF Name</t>
  </si>
  <si>
    <t>You can enter details of Property and Debt Mutual Funds sold during the year in the "Cap Gains - Property&amp;Debt MF" sheet</t>
  </si>
  <si>
    <t>Updated based on final budget for FY 2014-15, added Capital Gains calculation for Property and Debt Mutual Funds sale</t>
  </si>
  <si>
    <t>4. Capital loss can be carried forward for up to 8 years to net off against Capital Gains</t>
  </si>
  <si>
    <t>3. Short term capital gains are added to the "income" and tax calculated at applicable rates</t>
  </si>
  <si>
    <t>2. Include registration/stamp duty (for property) and brokerage (for MF) expenses in the Purchase price</t>
  </si>
  <si>
    <t>5. Long term loss can be offset against only long term gain, while short term loss can be offset against either short term of long term gain in future</t>
  </si>
  <si>
    <t>Capital Gains Calculation - Property</t>
  </si>
  <si>
    <t>Capital Gains Calculation - Debt Mutual Funds</t>
  </si>
  <si>
    <t>(For debt mutual funds)</t>
  </si>
  <si>
    <t>Long Term Capital Gains Tax - Property</t>
  </si>
  <si>
    <t>Property Details</t>
  </si>
  <si>
    <t>Mutual Fund Details</t>
  </si>
  <si>
    <t>Long Term Capital Gains Tax - Debt</t>
  </si>
  <si>
    <t>Capital Gains Tax (from Stocks &amp; MFs)</t>
  </si>
  <si>
    <t>Net Short Term Gains - Property</t>
  </si>
  <si>
    <t>Net Long Term Gains - Property</t>
  </si>
  <si>
    <t>Net Short Term Gains - Debt</t>
  </si>
  <si>
    <t>Net Long Term Gains - Debt</t>
  </si>
  <si>
    <t>Version 17.2; Release date: Aug 24, 2014</t>
  </si>
  <si>
    <t>Error in NSC accrued interest corrected</t>
  </si>
  <si>
    <t xml:space="preserve">    PF limited to ₹ (if there is a max. limit for deduction) until Aug</t>
  </si>
  <si>
    <t>Version 17.3; Release date: Nov 22, 2014</t>
  </si>
  <si>
    <t>PF limits changed from Sept</t>
  </si>
  <si>
    <t>Updated for FY 2015-16</t>
  </si>
  <si>
    <t>Version 18.0; Release date: May 10, 2015</t>
  </si>
  <si>
    <t>Insurance premium &amp; others (MF, ULIP, FD, SS, etc.) (sec 80C)</t>
  </si>
  <si>
    <t>If you have a permanent physical disability, you can take an exemption of up to ₹ 75,000/- per year and ₹ 1,25,000 in case of severe disability</t>
  </si>
  <si>
    <t>Transport allowance is exempt upto ₹ 1600/- per month provided the person is in India during the month</t>
  </si>
  <si>
    <t>Medical Insurance (such as Mediclaim) premium is exempt upto ₹ 25,000/- per year for self, spouse &amp; dependent children. Within this limit, ₹ 5,000/- could be used for preventive health check expenses. An additional ₹ 25,000/- is exempt towards premium for parents (even if they are not dependent). If the parent(s) are above 65 years of age, an extra ₹ 5,000/- can be claimed</t>
  </si>
  <si>
    <t>Deduction in respect of medical treatment of handicapped dependents is limited to ₹ 75,000/- per year if the disability is less than 80% and ₹ 1,25,000/- per year if the disability is more than 80%</t>
  </si>
  <si>
    <t>Deduction in respect of medical treatment for specified ailments or diseases for the assesse or dependent can be claimed upto ₹ 40,000/- per year. If the person being treated is a senior citizen, the exemption can go up to ₹ 80,000/-</t>
  </si>
  <si>
    <t>Interest repayment on education loan (taken for higher education from a university for self, spouse &amp; children) is tax exempt from the 1st year of repayment up to a maximum of 8 years. There is no exemption for Principal payment</t>
  </si>
  <si>
    <t>Donations to certain charities are tax exempt to the tune of 50% of donation. Please enter the amount donated in cell  N70</t>
  </si>
  <si>
    <t>Investments up to 1.5 lac in PF, VFP, PPF, Insurance Premium, Housing loan principal repayment, Stamp duty/registration charges for purchase of new home, NSC, ELSS, long term bank Fixed Deposit, Post Office Term Deposit, New Pension Scheme, Sukanya Samriddhi Scheme, etc. are deductible from the taxable income under sec 80C. There is no limit on individual items, so all 1.5 lac can be invested in NSC, for example. An additional ₹ 50,000 exemption is available for New Pension Scheme</t>
  </si>
  <si>
    <r>
      <t xml:space="preserve">If you want to receive an automatic message whenever a major version is released, please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SUBSCRIBE</t>
    </r>
    <r>
      <rPr>
        <sz val="8"/>
        <rFont val="Franklin Gothic Book"/>
        <family val="2"/>
      </rPr>
      <t>". There are no charges for subscription</t>
    </r>
  </si>
  <si>
    <t>Version 19.0; Release date: May 1, 2016</t>
  </si>
  <si>
    <t>If you do not get HRA, but have rented a house, an exemption is available. This will be calculated as minimum of (25% of total income or rent paid - 10% of total income or ₹ 60,000/- per year)</t>
  </si>
  <si>
    <t>If you are using company provided car for both official and personal use, update cells D44 to O44. If the company also provides driver, update cells D45 to O45. If company bears the running and maintenance expenses for the car, update cell AA71. Also update the size of the car in cell AA72 (in terms of engine cubic capacity)</t>
  </si>
  <si>
    <t>If you live in company-provided house, change cell AA69 and AA70; 15% of salary will be added as perks for cities with more than 25 lacs population (as per 2011 census), 10% for cities with population of 15 lacs to 25 lacs, and 7.5% for other cities. If rent has been paid (cells D26 to O26), the same will be deducted from this perks amount</t>
  </si>
  <si>
    <t>If you have a permanent physical disability, change cell AA67 and AA68</t>
  </si>
  <si>
    <t>If any of your dependents have severe (&gt;80%) permanent physical disability, change cell AA66</t>
  </si>
  <si>
    <t>If you are claiming exemption for medical treatment for specific diseases for a dependent over 65 years, change cell AA65</t>
  </si>
  <si>
    <t>If you are claiming exemption for medical insurance that includes premium for a dependent over 65 years, change cell AA64</t>
  </si>
  <si>
    <t>If you are claiming exemption on housing loan interest, remember to update cells AA60, AA61, AA62 (see below for the rules)</t>
  </si>
  <si>
    <t>There is an exemption for interest on housing loan. If the loan was taken before Apr 1, 1999 exemption is limited to ₹ 30,000/- per year. If the loan was taken after Apr 1, 1999 exemption is limited to ₹ 2,00,000/- per year if the house is self-occupied; if this is the first house and loan amount is less than 35 lacs and house cost is less than 50 lacs and loan taken after 1-Apr-2016, there is additional ₹ 50,000 exemption; there is no limit if the house is rented out, but the rent (less 30% of rent as std. deduction and municipal taxes) needs to be declared as income</t>
  </si>
  <si>
    <t>2015-16</t>
  </si>
  <si>
    <t>PPF, Pension scheme, Sukanya Samriddhi scheme, etc.</t>
  </si>
  <si>
    <t>Tax on dividends</t>
  </si>
  <si>
    <t>If tax has been deducted outside salary (such as TDS for bank deposit, etc.), enter the amount so deducted in cell G80</t>
  </si>
  <si>
    <t>Enter the remaining months in current financial year in Cell G82, to figure out the tax per month</t>
  </si>
  <si>
    <r>
      <t xml:space="preserve">    </t>
    </r>
    <r>
      <rPr>
        <b/>
        <sz val="8"/>
        <color rgb="FF0070C0"/>
        <rFont val="Franklin Gothic Book"/>
        <family val="2"/>
      </rPr>
      <t>M</t>
    </r>
    <r>
      <rPr>
        <sz val="8"/>
        <color rgb="FF0070C0"/>
        <rFont val="Franklin Gothic Book"/>
        <family val="2"/>
      </rPr>
      <t>etro/</t>
    </r>
    <r>
      <rPr>
        <b/>
        <sz val="8"/>
        <color rgb="FF0070C0"/>
        <rFont val="Franklin Gothic Book"/>
        <family val="2"/>
      </rPr>
      <t>N</t>
    </r>
    <r>
      <rPr>
        <sz val="8"/>
        <color rgb="FF0070C0"/>
        <rFont val="Franklin Gothic Book"/>
        <family val="2"/>
      </rPr>
      <t>on-metro (M or N)</t>
    </r>
  </si>
  <si>
    <r>
      <t xml:space="preserve">    VPF as "</t>
    </r>
    <r>
      <rPr>
        <b/>
        <sz val="8"/>
        <color rgb="FF0070C0"/>
        <rFont val="Franklin Gothic Book"/>
        <family val="2"/>
      </rPr>
      <t>P</t>
    </r>
    <r>
      <rPr>
        <sz val="8"/>
        <color rgb="FF0070C0"/>
        <rFont val="Franklin Gothic Book"/>
        <family val="2"/>
      </rPr>
      <t>ercentage of salary" or "</t>
    </r>
    <r>
      <rPr>
        <b/>
        <sz val="8"/>
        <color rgb="FF0070C0"/>
        <rFont val="Franklin Gothic Book"/>
        <family val="2"/>
      </rPr>
      <t>F</t>
    </r>
    <r>
      <rPr>
        <sz val="8"/>
        <color rgb="FF0070C0"/>
        <rFont val="Franklin Gothic Book"/>
        <family val="2"/>
      </rPr>
      <t>ixed amount"? (P or F)</t>
    </r>
  </si>
  <si>
    <t>The orange colored cells (with dark red text) constitute the setup parameters, which you may have to set only once. Ensure that all setup parameters in cells  C4 to C20 and AA51 to AA72 are setup prior to using the calculator</t>
  </si>
  <si>
    <t>Updated for FY 2016-17, fixed colors for viewability on Mac</t>
  </si>
  <si>
    <t>Version 19.1; Release date: Jul 3, 2016</t>
  </si>
  <si>
    <t>Cost inflation index updated</t>
  </si>
  <si>
    <t>2016-17</t>
  </si>
  <si>
    <t>Version 20.0</t>
  </si>
  <si>
    <t>© 1997-2018, Nithyanand Yeswanth</t>
  </si>
  <si>
    <t>Version 20.0; Release date: May 1, 2017</t>
  </si>
  <si>
    <t>Dividends from Indian companies (not MFs)</t>
  </si>
  <si>
    <t>CII</t>
  </si>
  <si>
    <t>auto Copyright:</t>
  </si>
  <si>
    <t xml:space="preserve">     Prescribed interest rate is the rate charged by the State Bank of India as on 01-Apr-2017 for loans of same type advanced by it to the general public</t>
  </si>
  <si>
    <t>National Pension scheme - Employer Contribution (sec 80CCD(2))</t>
  </si>
  <si>
    <t>National Pension scheme - Employee Contribution (sec 80CCD(1))</t>
  </si>
  <si>
    <t xml:space="preserve">    1st home AND loan &lt; 35L AND cost &lt; 50L AND loan during FY16-17?</t>
  </si>
  <si>
    <t xml:space="preserve">        If living in Co. acco, population of your city as per 2001 census</t>
  </si>
  <si>
    <t>&gt;25lacs</t>
  </si>
  <si>
    <t>Car allow</t>
  </si>
  <si>
    <t>CII start:</t>
  </si>
  <si>
    <t>Updated for FY 2017-18, Fixed car perquisites calculation, NPS added</t>
  </si>
  <si>
    <t>This tax calculator constantly gets updated to fix errors as well as to add new features</t>
  </si>
  <si>
    <r>
      <t xml:space="preserve">You can also send a blank e-mail to </t>
    </r>
    <r>
      <rPr>
        <b/>
        <sz val="8"/>
        <rFont val="Franklin Gothic Book"/>
        <family val="2"/>
      </rPr>
      <t>taxcalc@ynithya.com</t>
    </r>
    <r>
      <rPr>
        <sz val="8"/>
        <rFont val="Franklin Gothic Book"/>
        <family val="2"/>
      </rPr>
      <t xml:space="preserve"> with only the subject line as "</t>
    </r>
    <r>
      <rPr>
        <b/>
        <sz val="8"/>
        <color indexed="12"/>
        <rFont val="Franklin Gothic Book"/>
        <family val="2"/>
      </rPr>
      <t>SEND TAXCALC</t>
    </r>
    <r>
      <rPr>
        <sz val="8"/>
        <rFont val="Franklin Gothic Book"/>
        <family val="2"/>
      </rPr>
      <t>" and the latest version of tax calculator will be e-mailed to you within a couple of days</t>
    </r>
  </si>
  <si>
    <t>While sending e-mail, please ensure that the subject line is exactly as given here (without the quotes), because the processing is done automatically. Other mails are deleted automatically</t>
  </si>
  <si>
    <t>Atul Tegar</t>
  </si>
  <si>
    <t>Special Allow</t>
  </si>
  <si>
    <t>Apollo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</si>
</sst>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quot;-&quot;??_);_(@_)"/>
    <numFmt numFmtId="165" formatCode="0_)"/>
    <numFmt numFmtId="166" formatCode="&quot;Rs.&quot;#,##0_);[Red]\(&quot;Rs.&quot;#,##0\)"/>
    <numFmt numFmtId="167" formatCode="&quot;Rs.&quot;#,##0"/>
    <numFmt numFmtId="168" formatCode="mmm\-yyyy"/>
    <numFmt numFmtId="169" formatCode="[$-409]d\-mmm\-yy;@"/>
    <numFmt numFmtId="170" formatCode="[$-409]d\-mmm\-yyyy;@"/>
    <numFmt numFmtId="171" formatCode="0.00000"/>
    <numFmt numFmtId="172" formatCode="_(* #,##0_);_(* \(#,##0\);_(* &quot;-&quot;??_);_(@_)"/>
    <numFmt numFmtId="173" formatCode="0.000"/>
  </numFmts>
  <fonts count="47" x14ac:knownFonts="1">
    <font>
      <sz val="8"/>
      <name val="Franklin Gothic Book"/>
    </font>
    <font>
      <sz val="8"/>
      <name val="Franklin Gothic Book"/>
      <family val="2"/>
    </font>
    <font>
      <sz val="8"/>
      <name val="Franklin Gothic Book"/>
      <family val="2"/>
    </font>
    <font>
      <b/>
      <sz val="8"/>
      <name val="Franklin Gothic Book"/>
      <family val="2"/>
    </font>
    <font>
      <sz val="8"/>
      <color indexed="20"/>
      <name val="Franklin Gothic Book"/>
      <family val="2"/>
    </font>
    <font>
      <b/>
      <sz val="8"/>
      <color indexed="8"/>
      <name val="Franklin Gothic Book"/>
      <family val="2"/>
    </font>
    <font>
      <sz val="8"/>
      <color indexed="8"/>
      <name val="Franklin Gothic Book"/>
      <family val="2"/>
    </font>
    <font>
      <sz val="8"/>
      <color indexed="81"/>
      <name val="Tahoma"/>
      <family val="2"/>
    </font>
    <font>
      <b/>
      <sz val="9"/>
      <name val="Franklin Gothic Book"/>
      <family val="2"/>
    </font>
    <font>
      <sz val="9"/>
      <name val="Arial"/>
      <family val="2"/>
    </font>
    <font>
      <u/>
      <sz val="9"/>
      <color indexed="12"/>
      <name val="Arial"/>
      <family val="2"/>
    </font>
    <font>
      <sz val="8"/>
      <name val="Arial"/>
      <family val="2"/>
    </font>
    <font>
      <sz val="8"/>
      <color indexed="12"/>
      <name val="Franklin Gothic Book"/>
      <family val="2"/>
    </font>
    <font>
      <b/>
      <sz val="8"/>
      <color indexed="39"/>
      <name val="Franklin Gothic Book"/>
      <family val="2"/>
    </font>
    <font>
      <b/>
      <sz val="8"/>
      <color indexed="12"/>
      <name val="Franklin Gothic Book"/>
      <family val="2"/>
    </font>
    <font>
      <b/>
      <sz val="8"/>
      <color indexed="10"/>
      <name val="Franklin Gothic Book"/>
      <family val="2"/>
    </font>
    <font>
      <b/>
      <sz val="8"/>
      <color indexed="20"/>
      <name val="Franklin Gothic Book"/>
      <family val="2"/>
    </font>
    <font>
      <b/>
      <sz val="10"/>
      <color indexed="9"/>
      <name val="Franklin Gothic Book"/>
      <family val="2"/>
    </font>
    <font>
      <sz val="10"/>
      <color indexed="9"/>
      <name val="Franklin Gothic Book"/>
      <family val="2"/>
    </font>
    <font>
      <sz val="8"/>
      <name val="Verdana"/>
      <family val="2"/>
    </font>
    <font>
      <sz val="6"/>
      <name val="Franklin Gothic Book"/>
      <family val="2"/>
    </font>
    <font>
      <b/>
      <sz val="10"/>
      <color indexed="58"/>
      <name val="Franklin Gothic Book"/>
      <family val="2"/>
    </font>
    <font>
      <b/>
      <sz val="10"/>
      <color indexed="12"/>
      <name val="Franklin Gothic Book"/>
      <family val="2"/>
    </font>
    <font>
      <sz val="9"/>
      <name val="Franklin Gothic Book"/>
      <family val="2"/>
    </font>
    <font>
      <b/>
      <sz val="8"/>
      <color indexed="13"/>
      <name val="Franklin Gothic Book"/>
      <family val="2"/>
    </font>
    <font>
      <b/>
      <u/>
      <sz val="8"/>
      <color indexed="16"/>
      <name val="Franklin Gothic Book"/>
      <family val="2"/>
    </font>
    <font>
      <b/>
      <sz val="10"/>
      <color indexed="8"/>
      <name val="Franklin Gothic Book"/>
      <family val="2"/>
    </font>
    <font>
      <vertAlign val="superscript"/>
      <sz val="8"/>
      <color indexed="12"/>
      <name val="Franklin Gothic Book"/>
      <family val="2"/>
    </font>
    <font>
      <sz val="7"/>
      <name val="Franklin Gothic Book"/>
      <family val="2"/>
    </font>
    <font>
      <b/>
      <sz val="12"/>
      <color indexed="16"/>
      <name val="Franklin Gothic Book"/>
      <family val="2"/>
    </font>
    <font>
      <sz val="10"/>
      <name val="Franklin Gothic Book"/>
      <family val="2"/>
    </font>
    <font>
      <b/>
      <sz val="9"/>
      <color indexed="17"/>
      <name val="Franklin Gothic Book"/>
      <family val="2"/>
    </font>
    <font>
      <sz val="9"/>
      <color indexed="17"/>
      <name val="Franklin Gothic Book"/>
      <family val="2"/>
    </font>
    <font>
      <sz val="10"/>
      <color indexed="17"/>
      <name val="Franklin Gothic Book"/>
      <family val="2"/>
    </font>
    <font>
      <b/>
      <sz val="10"/>
      <color indexed="21"/>
      <name val="Franklin Gothic Book"/>
      <family val="2"/>
    </font>
    <font>
      <sz val="8"/>
      <color indexed="55"/>
      <name val="Franklin Gothic Book"/>
      <family val="2"/>
    </font>
    <font>
      <b/>
      <sz val="8"/>
      <color rgb="FFFF0000"/>
      <name val="Franklin Gothic Book"/>
      <family val="2"/>
    </font>
    <font>
      <sz val="8"/>
      <color rgb="FF333333"/>
      <name val="Franklin Gothic Book"/>
      <family val="2"/>
    </font>
    <font>
      <sz val="8"/>
      <color rgb="FF0070C0"/>
      <name val="Franklin Gothic Book"/>
      <family val="2"/>
    </font>
    <font>
      <b/>
      <sz val="8"/>
      <color rgb="FF0070C0"/>
      <name val="Franklin Gothic Book"/>
      <family val="2"/>
    </font>
    <font>
      <b/>
      <sz val="8"/>
      <color theme="5"/>
      <name val="Franklin Gothic Book"/>
      <family val="2"/>
    </font>
    <font>
      <b/>
      <sz val="8"/>
      <color theme="2" tint="-0.89999084444715716"/>
      <name val="Franklin Gothic Book"/>
      <family val="2"/>
    </font>
    <font>
      <b/>
      <sz val="8"/>
      <color rgb="FFC00000"/>
      <name val="Franklin Gothic Book"/>
      <family val="2"/>
    </font>
    <font>
      <sz val="8"/>
      <color rgb="FFC00000"/>
      <name val="Franklin Gothic Book"/>
      <family val="2"/>
    </font>
    <font>
      <u/>
      <sz val="10"/>
      <color indexed="12"/>
      <name val="Franklin Gothic Book"/>
      <family val="2"/>
    </font>
    <font>
      <b/>
      <sz val="10"/>
      <name val="Franklin Gothic Book"/>
      <family val="2"/>
    </font>
    <font>
      <b/>
      <sz val="8"/>
      <color theme="0"/>
      <name val="Franklin Gothic Book"/>
      <family val="2"/>
    </font>
  </fonts>
  <fills count="17">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65"/>
        <bgColor indexed="64"/>
      </patternFill>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53"/>
        <bgColor indexed="64"/>
      </patternFill>
    </fill>
    <fill>
      <patternFill patternType="solid">
        <fgColor indexed="41"/>
        <bgColor indexed="64"/>
      </patternFill>
    </fill>
    <fill>
      <patternFill patternType="solid">
        <fgColor indexed="1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2" tint="-0.249977111117893"/>
        <bgColor indexed="64"/>
      </patternFill>
    </fill>
  </fills>
  <borders count="6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style="thin">
        <color indexed="10"/>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0"/>
      </left>
      <right/>
      <top style="thin">
        <color indexed="12"/>
      </top>
      <bottom style="thin">
        <color indexed="12"/>
      </bottom>
      <diagonal/>
    </border>
    <border>
      <left style="thin">
        <color indexed="10"/>
      </left>
      <right/>
      <top style="thin">
        <color indexed="12"/>
      </top>
      <bottom style="thin">
        <color indexed="10"/>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style="thin">
        <color indexed="12"/>
      </left>
      <right/>
      <top/>
      <bottom/>
      <diagonal/>
    </border>
    <border>
      <left/>
      <right/>
      <top style="thin">
        <color indexed="12"/>
      </top>
      <bottom style="thin">
        <color indexed="10"/>
      </bottom>
      <diagonal/>
    </border>
    <border>
      <left/>
      <right style="thin">
        <color indexed="12"/>
      </right>
      <top style="thin">
        <color indexed="12"/>
      </top>
      <bottom style="thin">
        <color indexed="10"/>
      </bottom>
      <diagonal/>
    </border>
    <border>
      <left style="thin">
        <color indexed="48"/>
      </left>
      <right style="thin">
        <color indexed="48"/>
      </right>
      <top style="thin">
        <color indexed="48"/>
      </top>
      <bottom style="thin">
        <color indexed="48"/>
      </bottom>
      <diagonal/>
    </border>
    <border>
      <left style="thin">
        <color indexed="48"/>
      </left>
      <right style="thin">
        <color indexed="48"/>
      </right>
      <top style="thin">
        <color indexed="48"/>
      </top>
      <bottom/>
      <diagonal/>
    </border>
    <border>
      <left style="thin">
        <color indexed="48"/>
      </left>
      <right/>
      <top style="thin">
        <color indexed="48"/>
      </top>
      <bottom style="thin">
        <color indexed="48"/>
      </bottom>
      <diagonal/>
    </border>
    <border>
      <left/>
      <right/>
      <top style="thin">
        <color indexed="48"/>
      </top>
      <bottom style="thin">
        <color indexed="48"/>
      </bottom>
      <diagonal/>
    </border>
    <border>
      <left/>
      <right style="thin">
        <color indexed="48"/>
      </right>
      <top style="thin">
        <color indexed="48"/>
      </top>
      <bottom style="thin">
        <color indexed="48"/>
      </bottom>
      <diagonal/>
    </border>
    <border>
      <left style="medium">
        <color indexed="9"/>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hair">
        <color indexed="64"/>
      </bottom>
      <diagonal/>
    </border>
    <border>
      <left/>
      <right/>
      <top/>
      <bottom style="thin">
        <color indexed="9"/>
      </bottom>
      <diagonal/>
    </border>
    <border>
      <left/>
      <right style="medium">
        <color indexed="9"/>
      </right>
      <top/>
      <bottom style="thin">
        <color indexed="9"/>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9"/>
      </top>
      <bottom/>
      <diagonal/>
    </border>
    <border>
      <left style="thin">
        <color indexed="12"/>
      </left>
      <right style="thin">
        <color indexed="10"/>
      </right>
      <top style="thin">
        <color indexed="10"/>
      </top>
      <bottom style="thin">
        <color indexed="12"/>
      </bottom>
      <diagonal/>
    </border>
    <border>
      <left style="thin">
        <color indexed="12"/>
      </left>
      <right style="thin">
        <color indexed="10"/>
      </right>
      <top style="thin">
        <color indexed="12"/>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style="thin">
        <color indexed="10"/>
      </right>
      <top style="thin">
        <color indexed="12"/>
      </top>
      <bottom style="thin">
        <color indexed="12"/>
      </bottom>
      <diagonal/>
    </border>
    <border>
      <left style="thin">
        <color indexed="10"/>
      </left>
      <right/>
      <top style="thin">
        <color indexed="10"/>
      </top>
      <bottom style="thin">
        <color indexed="12"/>
      </bottom>
      <diagonal/>
    </border>
    <border>
      <left/>
      <right/>
      <top style="thin">
        <color indexed="10"/>
      </top>
      <bottom style="thin">
        <color indexed="12"/>
      </bottom>
      <diagonal/>
    </border>
    <border>
      <left/>
      <right style="thin">
        <color indexed="12"/>
      </right>
      <top style="thin">
        <color indexed="10"/>
      </top>
      <bottom style="thin">
        <color indexed="1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6"/>
      </left>
      <right/>
      <top style="thin">
        <color indexed="16"/>
      </top>
      <bottom style="thin">
        <color indexed="16"/>
      </bottom>
      <diagonal/>
    </border>
    <border>
      <left/>
      <right style="thin">
        <color indexed="16"/>
      </right>
      <top style="thin">
        <color indexed="16"/>
      </top>
      <bottom style="thin">
        <color indexed="16"/>
      </bottom>
      <diagonal/>
    </border>
    <border>
      <left style="thin">
        <color indexed="64"/>
      </left>
      <right/>
      <top/>
      <bottom/>
      <diagonal/>
    </border>
    <border>
      <left/>
      <right style="thin">
        <color indexed="64"/>
      </right>
      <top/>
      <bottom/>
      <diagonal/>
    </border>
    <border>
      <left style="thin">
        <color indexed="12"/>
      </left>
      <right style="thin">
        <color indexed="12"/>
      </right>
      <top/>
      <bottom/>
      <diagonal/>
    </border>
    <border>
      <left style="thin">
        <color indexed="9"/>
      </left>
      <right/>
      <top style="thin">
        <color indexed="9"/>
      </top>
      <bottom/>
      <diagonal/>
    </border>
    <border>
      <left/>
      <right style="thin">
        <color indexed="9"/>
      </right>
      <top style="thin">
        <color indexed="9"/>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48"/>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rgb="FF0070C0"/>
      </left>
      <right style="thin">
        <color rgb="FF0070C0"/>
      </right>
      <top style="thin">
        <color rgb="FF0070C0"/>
      </top>
      <bottom style="thin">
        <color rgb="FF0070C0"/>
      </bottom>
      <diagonal/>
    </border>
    <border>
      <left style="thin">
        <color indexed="9"/>
      </left>
      <right/>
      <top style="thin">
        <color theme="0"/>
      </top>
      <bottom/>
      <diagonal/>
    </border>
    <border>
      <left/>
      <right/>
      <top style="thin">
        <color theme="0"/>
      </top>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rgb="FF0070C0"/>
      </right>
      <top style="thin">
        <color rgb="FF0070C0"/>
      </top>
      <bottom/>
      <diagonal/>
    </border>
    <border>
      <left/>
      <right style="thin">
        <color rgb="FF0070C0"/>
      </right>
      <top/>
      <bottom style="thin">
        <color rgb="FF0070C0"/>
      </bottom>
      <diagonal/>
    </border>
  </borders>
  <cellStyleXfs count="6">
    <xf numFmtId="0" fontId="0" fillId="0" borderId="0"/>
    <xf numFmtId="164" fontId="1" fillId="0" borderId="0" applyFont="0" applyFill="0" applyBorder="0" applyAlignment="0" applyProtection="0"/>
    <xf numFmtId="0" fontId="10" fillId="0" borderId="0" applyNumberFormat="0" applyFill="0" applyBorder="0" applyAlignment="0" applyProtection="0">
      <alignment vertical="top"/>
      <protection locked="0"/>
    </xf>
    <xf numFmtId="0" fontId="19" fillId="0" borderId="0"/>
    <xf numFmtId="0" fontId="9" fillId="0" borderId="0"/>
    <xf numFmtId="9" fontId="1" fillId="0" borderId="0" applyFont="0" applyFill="0" applyBorder="0" applyAlignment="0" applyProtection="0"/>
  </cellStyleXfs>
  <cellXfs count="375">
    <xf numFmtId="0" fontId="0" fillId="0" borderId="0" xfId="0"/>
    <xf numFmtId="165" fontId="5" fillId="3" borderId="1" xfId="0" applyNumberFormat="1" applyFont="1" applyFill="1" applyBorder="1" applyAlignment="1" applyProtection="1">
      <alignment vertical="center"/>
      <protection hidden="1"/>
    </xf>
    <xf numFmtId="165" fontId="6" fillId="4" borderId="1" xfId="0" applyNumberFormat="1" applyFont="1" applyFill="1" applyBorder="1" applyAlignment="1" applyProtection="1">
      <alignment vertical="center"/>
      <protection hidden="1"/>
    </xf>
    <xf numFmtId="165" fontId="6" fillId="6" borderId="1" xfId="0" applyNumberFormat="1" applyFont="1" applyFill="1" applyBorder="1" applyAlignment="1" applyProtection="1">
      <alignment vertical="center"/>
      <protection hidden="1"/>
    </xf>
    <xf numFmtId="165" fontId="3" fillId="0" borderId="4" xfId="0" applyNumberFormat="1" applyFont="1" applyFill="1" applyBorder="1" applyAlignment="1" applyProtection="1">
      <alignment horizontal="center" vertical="center"/>
      <protection hidden="1"/>
    </xf>
    <xf numFmtId="165" fontId="3" fillId="4" borderId="6" xfId="0" applyNumberFormat="1" applyFont="1" applyFill="1" applyBorder="1" applyAlignment="1" applyProtection="1">
      <alignment horizontal="left" vertical="center"/>
      <protection hidden="1"/>
    </xf>
    <xf numFmtId="165" fontId="3" fillId="4" borderId="7" xfId="0" applyNumberFormat="1" applyFont="1" applyFill="1" applyBorder="1" applyAlignment="1" applyProtection="1">
      <alignment horizontal="left" vertical="center"/>
      <protection hidden="1"/>
    </xf>
    <xf numFmtId="165" fontId="3" fillId="4" borderId="6" xfId="0" applyNumberFormat="1" applyFont="1" applyFill="1" applyBorder="1" applyAlignment="1" applyProtection="1">
      <alignment horizontal="right" vertical="center"/>
      <protection hidden="1"/>
    </xf>
    <xf numFmtId="165" fontId="3" fillId="4" borderId="1" xfId="0" applyNumberFormat="1" applyFont="1" applyFill="1" applyBorder="1" applyAlignment="1" applyProtection="1">
      <alignment horizontal="right" vertical="center"/>
      <protection hidden="1"/>
    </xf>
    <xf numFmtId="165" fontId="3" fillId="7" borderId="6" xfId="0" applyNumberFormat="1" applyFont="1" applyFill="1" applyBorder="1" applyAlignment="1" applyProtection="1">
      <alignment horizontal="left" vertical="center"/>
      <protection hidden="1"/>
    </xf>
    <xf numFmtId="165" fontId="3" fillId="7" borderId="7" xfId="0" applyNumberFormat="1" applyFont="1" applyFill="1" applyBorder="1" applyAlignment="1" applyProtection="1">
      <alignment horizontal="left" vertical="center"/>
      <protection hidden="1"/>
    </xf>
    <xf numFmtId="165" fontId="2" fillId="0" borderId="0" xfId="0" applyNumberFormat="1" applyFont="1" applyFill="1" applyBorder="1" applyAlignment="1" applyProtection="1">
      <alignment vertical="center"/>
      <protection hidden="1"/>
    </xf>
    <xf numFmtId="165" fontId="3" fillId="2" borderId="11" xfId="0" applyNumberFormat="1" applyFont="1" applyFill="1" applyBorder="1" applyAlignment="1" applyProtection="1">
      <alignment horizontal="right" vertical="center"/>
      <protection hidden="1"/>
    </xf>
    <xf numFmtId="165" fontId="3" fillId="2" borderId="6" xfId="0" applyNumberFormat="1" applyFont="1" applyFill="1" applyBorder="1" applyAlignment="1" applyProtection="1">
      <alignment horizontal="right" vertical="center"/>
      <protection hidden="1"/>
    </xf>
    <xf numFmtId="165" fontId="3" fillId="2" borderId="8" xfId="0" applyNumberFormat="1" applyFont="1" applyFill="1" applyBorder="1" applyAlignment="1" applyProtection="1">
      <alignment horizontal="right" vertical="center"/>
      <protection hidden="1"/>
    </xf>
    <xf numFmtId="165" fontId="3" fillId="2" borderId="13" xfId="0" applyNumberFormat="1" applyFont="1" applyFill="1" applyBorder="1" applyAlignment="1" applyProtection="1">
      <alignment horizontal="right" vertical="center"/>
      <protection hidden="1"/>
    </xf>
    <xf numFmtId="165" fontId="2" fillId="0" borderId="1" xfId="0" applyNumberFormat="1" applyFont="1" applyBorder="1" applyAlignment="1" applyProtection="1">
      <alignment vertical="center"/>
      <protection hidden="1"/>
    </xf>
    <xf numFmtId="9" fontId="2" fillId="6" borderId="1" xfId="0" applyNumberFormat="1" applyFont="1" applyFill="1" applyBorder="1" applyAlignment="1" applyProtection="1">
      <alignment horizontal="right" vertical="center"/>
      <protection hidden="1"/>
    </xf>
    <xf numFmtId="10" fontId="6" fillId="4" borderId="1" xfId="5" applyNumberFormat="1" applyFont="1" applyFill="1" applyBorder="1" applyAlignment="1" applyProtection="1">
      <alignment vertical="center"/>
      <protection hidden="1"/>
    </xf>
    <xf numFmtId="165" fontId="5" fillId="0" borderId="3" xfId="0" applyNumberFormat="1" applyFont="1" applyFill="1" applyBorder="1" applyAlignment="1" applyProtection="1">
      <alignment vertical="center"/>
      <protection hidden="1"/>
    </xf>
    <xf numFmtId="165" fontId="5" fillId="0" borderId="6" xfId="0" applyNumberFormat="1" applyFont="1" applyFill="1" applyBorder="1" applyAlignment="1" applyProtection="1">
      <alignment vertical="center"/>
      <protection hidden="1"/>
    </xf>
    <xf numFmtId="165" fontId="2" fillId="5" borderId="0" xfId="0" quotePrefix="1" applyNumberFormat="1" applyFont="1" applyFill="1" applyBorder="1" applyAlignment="1" applyProtection="1">
      <alignment horizontal="right" vertical="center"/>
      <protection hidden="1"/>
    </xf>
    <xf numFmtId="165" fontId="2" fillId="5" borderId="0" xfId="0" applyNumberFormat="1" applyFont="1" applyFill="1" applyBorder="1" applyAlignment="1" applyProtection="1">
      <alignment vertical="center"/>
      <protection hidden="1"/>
    </xf>
    <xf numFmtId="165" fontId="2" fillId="5" borderId="0" xfId="0" applyNumberFormat="1" applyFont="1" applyFill="1" applyBorder="1" applyAlignment="1" applyProtection="1">
      <alignment horizontal="right" vertical="center"/>
      <protection hidden="1"/>
    </xf>
    <xf numFmtId="165" fontId="2" fillId="5" borderId="0" xfId="0" quotePrefix="1" applyNumberFormat="1" applyFont="1" applyFill="1" applyBorder="1" applyAlignment="1" applyProtection="1">
      <alignment vertical="center"/>
      <protection hidden="1"/>
    </xf>
    <xf numFmtId="165" fontId="20" fillId="5" borderId="0" xfId="0" applyNumberFormat="1" applyFont="1" applyFill="1" applyBorder="1" applyAlignment="1" applyProtection="1">
      <alignment vertical="center"/>
      <protection hidden="1"/>
    </xf>
    <xf numFmtId="0" fontId="2" fillId="0" borderId="0" xfId="0" applyFont="1" applyAlignment="1" applyProtection="1">
      <alignment horizontal="right"/>
      <protection hidden="1"/>
    </xf>
    <xf numFmtId="0" fontId="3" fillId="0" borderId="0" xfId="0" applyFont="1" applyAlignment="1" applyProtection="1">
      <alignment horizontal="right"/>
      <protection hidden="1"/>
    </xf>
    <xf numFmtId="0" fontId="2" fillId="0" borderId="1" xfId="0" applyFont="1" applyBorder="1" applyAlignment="1" applyProtection="1">
      <alignment horizontal="center"/>
      <protection hidden="1"/>
    </xf>
    <xf numFmtId="0" fontId="2" fillId="0" borderId="0" xfId="0" applyFont="1" applyAlignment="1" applyProtection="1">
      <alignment horizontal="center"/>
      <protection hidden="1"/>
    </xf>
    <xf numFmtId="0" fontId="2" fillId="4" borderId="7" xfId="0" applyFont="1" applyFill="1" applyBorder="1" applyAlignment="1" applyProtection="1">
      <alignment horizontal="left" vertical="center"/>
      <protection hidden="1"/>
    </xf>
    <xf numFmtId="0" fontId="2" fillId="4" borderId="8" xfId="0" applyFont="1" applyFill="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165" fontId="8" fillId="6" borderId="0" xfId="4" applyNumberFormat="1" applyFont="1" applyFill="1" applyBorder="1" applyAlignment="1" applyProtection="1">
      <alignment horizontal="center" vertical="top"/>
      <protection hidden="1"/>
    </xf>
    <xf numFmtId="0" fontId="2" fillId="0" borderId="0" xfId="3" applyFont="1" applyProtection="1">
      <protection hidden="1"/>
    </xf>
    <xf numFmtId="0" fontId="22" fillId="0" borderId="0" xfId="3" applyFont="1" applyFill="1" applyBorder="1" applyAlignment="1" applyProtection="1">
      <alignment horizontal="centerContinuous" vertical="center"/>
      <protection hidden="1"/>
    </xf>
    <xf numFmtId="0" fontId="2" fillId="0" borderId="0" xfId="3" applyFont="1" applyAlignment="1" applyProtection="1">
      <alignment horizontal="centerContinuous" vertical="center"/>
      <protection hidden="1"/>
    </xf>
    <xf numFmtId="0" fontId="3" fillId="0" borderId="0" xfId="3" applyFont="1" applyFill="1" applyBorder="1" applyAlignment="1" applyProtection="1">
      <alignment horizontal="center"/>
      <protection hidden="1"/>
    </xf>
    <xf numFmtId="165" fontId="15" fillId="2" borderId="18" xfId="4" applyNumberFormat="1" applyFont="1" applyFill="1" applyBorder="1" applyAlignment="1" applyProtection="1">
      <alignment horizontal="left" vertical="center"/>
      <protection hidden="1"/>
    </xf>
    <xf numFmtId="0" fontId="3" fillId="0" borderId="0" xfId="3" applyFont="1" applyFill="1" applyBorder="1" applyAlignment="1" applyProtection="1">
      <alignment horizontal="right" wrapText="1"/>
      <protection hidden="1"/>
    </xf>
    <xf numFmtId="0" fontId="3" fillId="0" borderId="0" xfId="3" applyFont="1" applyProtection="1">
      <protection hidden="1"/>
    </xf>
    <xf numFmtId="3" fontId="4" fillId="9" borderId="18" xfId="3" applyNumberFormat="1" applyFont="1" applyFill="1" applyBorder="1" applyProtection="1">
      <protection locked="0" hidden="1"/>
    </xf>
    <xf numFmtId="167" fontId="2" fillId="0" borderId="0" xfId="3" applyNumberFormat="1" applyFont="1" applyFill="1" applyBorder="1" applyProtection="1">
      <protection hidden="1"/>
    </xf>
    <xf numFmtId="0" fontId="2" fillId="0" borderId="0" xfId="3" applyFont="1" applyAlignment="1" applyProtection="1">
      <alignment horizontal="right"/>
      <protection hidden="1"/>
    </xf>
    <xf numFmtId="169" fontId="2" fillId="9" borderId="0" xfId="3" applyNumberFormat="1" applyFont="1" applyFill="1" applyProtection="1">
      <protection hidden="1"/>
    </xf>
    <xf numFmtId="168" fontId="4" fillId="9" borderId="18" xfId="3" applyNumberFormat="1" applyFont="1" applyFill="1" applyBorder="1" applyProtection="1">
      <protection locked="0" hidden="1"/>
    </xf>
    <xf numFmtId="169" fontId="2" fillId="0" borderId="0" xfId="3" applyNumberFormat="1" applyFont="1" applyProtection="1">
      <protection hidden="1"/>
    </xf>
    <xf numFmtId="168" fontId="4" fillId="0" borderId="19" xfId="3" applyNumberFormat="1" applyFont="1" applyFill="1" applyBorder="1" applyProtection="1">
      <protection locked="0" hidden="1"/>
    </xf>
    <xf numFmtId="3" fontId="4" fillId="9" borderId="19" xfId="3" applyNumberFormat="1" applyFont="1" applyFill="1" applyBorder="1" applyProtection="1">
      <protection locked="0" hidden="1"/>
    </xf>
    <xf numFmtId="10" fontId="4" fillId="9" borderId="18" xfId="3" applyNumberFormat="1" applyFont="1" applyFill="1" applyBorder="1" applyProtection="1">
      <protection locked="0" hidden="1"/>
    </xf>
    <xf numFmtId="0" fontId="2" fillId="0" borderId="0" xfId="3" applyFont="1" applyFill="1" applyBorder="1" applyAlignment="1" applyProtection="1">
      <alignment horizontal="right"/>
      <protection hidden="1"/>
    </xf>
    <xf numFmtId="165" fontId="5" fillId="0" borderId="20" xfId="4" applyNumberFormat="1" applyFont="1" applyFill="1" applyBorder="1" applyAlignment="1" applyProtection="1">
      <alignment horizontal="left" vertical="center"/>
      <protection hidden="1"/>
    </xf>
    <xf numFmtId="3" fontId="4" fillId="0" borderId="21" xfId="3" applyNumberFormat="1" applyFont="1" applyFill="1" applyBorder="1" applyProtection="1">
      <protection hidden="1"/>
    </xf>
    <xf numFmtId="3" fontId="12" fillId="0" borderId="22" xfId="3" applyNumberFormat="1" applyFont="1" applyFill="1" applyBorder="1" applyProtection="1">
      <protection hidden="1"/>
    </xf>
    <xf numFmtId="0" fontId="2" fillId="0" borderId="0" xfId="3" applyFont="1" applyFill="1" applyProtection="1">
      <protection hidden="1"/>
    </xf>
    <xf numFmtId="165" fontId="14" fillId="0" borderId="20" xfId="4" applyNumberFormat="1" applyFont="1" applyFill="1" applyBorder="1" applyAlignment="1" applyProtection="1">
      <alignment horizontal="left" vertical="center"/>
      <protection hidden="1"/>
    </xf>
    <xf numFmtId="165" fontId="12" fillId="0" borderId="21" xfId="4" applyNumberFormat="1" applyFont="1" applyFill="1" applyBorder="1" applyAlignment="1" applyProtection="1">
      <alignment vertical="center"/>
      <protection hidden="1"/>
    </xf>
    <xf numFmtId="165" fontId="12" fillId="0" borderId="22" xfId="4" applyNumberFormat="1" applyFont="1" applyFill="1" applyBorder="1" applyAlignment="1" applyProtection="1">
      <alignment vertical="center"/>
      <protection hidden="1"/>
    </xf>
    <xf numFmtId="9" fontId="2" fillId="0" borderId="0" xfId="3" applyNumberFormat="1" applyFont="1" applyFill="1" applyBorder="1" applyProtection="1">
      <protection hidden="1"/>
    </xf>
    <xf numFmtId="10" fontId="2" fillId="8" borderId="18" xfId="3" applyNumberFormat="1" applyFont="1" applyFill="1" applyBorder="1" applyProtection="1">
      <protection hidden="1"/>
    </xf>
    <xf numFmtId="165" fontId="15" fillId="0" borderId="18" xfId="4" applyNumberFormat="1" applyFont="1" applyFill="1" applyBorder="1" applyAlignment="1" applyProtection="1">
      <alignment horizontal="left" vertical="center"/>
      <protection hidden="1"/>
    </xf>
    <xf numFmtId="3" fontId="12" fillId="0" borderId="19" xfId="3" applyNumberFormat="1" applyFont="1" applyFill="1" applyBorder="1" applyProtection="1">
      <protection hidden="1"/>
    </xf>
    <xf numFmtId="165" fontId="15" fillId="2" borderId="18" xfId="4" applyNumberFormat="1" applyFont="1" applyFill="1" applyBorder="1" applyAlignment="1" applyProtection="1">
      <alignment horizontal="left" vertical="center" indent="2"/>
      <protection hidden="1"/>
    </xf>
    <xf numFmtId="3" fontId="4" fillId="0" borderId="18" xfId="3" applyNumberFormat="1" applyFont="1" applyFill="1" applyBorder="1" applyProtection="1">
      <protection hidden="1"/>
    </xf>
    <xf numFmtId="17" fontId="2" fillId="0" borderId="0" xfId="3" applyNumberFormat="1" applyFont="1" applyProtection="1">
      <protection hidden="1"/>
    </xf>
    <xf numFmtId="0" fontId="2" fillId="0" borderId="0" xfId="3" applyFont="1" applyFill="1" applyBorder="1" applyProtection="1">
      <protection hidden="1"/>
    </xf>
    <xf numFmtId="0" fontId="23" fillId="0" borderId="0" xfId="4" applyFont="1" applyFill="1" applyBorder="1" applyProtection="1">
      <protection hidden="1"/>
    </xf>
    <xf numFmtId="0" fontId="23" fillId="0" borderId="0" xfId="4" applyFont="1" applyFill="1" applyProtection="1">
      <protection hidden="1"/>
    </xf>
    <xf numFmtId="166" fontId="24" fillId="0" borderId="0" xfId="3" applyNumberFormat="1" applyFont="1" applyFill="1" applyBorder="1" applyProtection="1">
      <protection hidden="1"/>
    </xf>
    <xf numFmtId="0" fontId="2" fillId="0" borderId="23" xfId="3" applyFont="1" applyFill="1" applyBorder="1" applyProtection="1">
      <protection hidden="1"/>
    </xf>
    <xf numFmtId="0" fontId="2" fillId="0" borderId="24" xfId="3" applyFont="1" applyBorder="1" applyProtection="1">
      <protection hidden="1"/>
    </xf>
    <xf numFmtId="0" fontId="2" fillId="0" borderId="25" xfId="3" applyFont="1" applyBorder="1" applyProtection="1">
      <protection hidden="1"/>
    </xf>
    <xf numFmtId="165" fontId="25" fillId="5" borderId="0" xfId="3" applyNumberFormat="1" applyFont="1" applyFill="1" applyBorder="1" applyAlignment="1" applyProtection="1">
      <alignment horizontal="left"/>
      <protection hidden="1"/>
    </xf>
    <xf numFmtId="0" fontId="2" fillId="0" borderId="0" xfId="3" applyFont="1" applyAlignment="1" applyProtection="1">
      <alignment horizontal="left" indent="2"/>
      <protection hidden="1"/>
    </xf>
    <xf numFmtId="0" fontId="26" fillId="4" borderId="6" xfId="4" applyFont="1" applyFill="1" applyBorder="1" applyAlignment="1" applyProtection="1">
      <alignment wrapText="1"/>
      <protection hidden="1"/>
    </xf>
    <xf numFmtId="0" fontId="26" fillId="4" borderId="7" xfId="4" applyFont="1" applyFill="1" applyBorder="1" applyAlignment="1" applyProtection="1">
      <alignment wrapText="1"/>
      <protection hidden="1"/>
    </xf>
    <xf numFmtId="0" fontId="26" fillId="0" borderId="7" xfId="4" applyFont="1" applyFill="1" applyBorder="1" applyAlignment="1" applyProtection="1">
      <alignment wrapText="1"/>
      <protection hidden="1"/>
    </xf>
    <xf numFmtId="0" fontId="26" fillId="4" borderId="8" xfId="4" applyFont="1" applyFill="1" applyBorder="1" applyAlignment="1" applyProtection="1">
      <alignment wrapText="1"/>
      <protection hidden="1"/>
    </xf>
    <xf numFmtId="0" fontId="2" fillId="0" borderId="0" xfId="4" applyFont="1" applyProtection="1">
      <protection hidden="1"/>
    </xf>
    <xf numFmtId="0" fontId="2" fillId="0" borderId="0" xfId="4" applyFont="1" applyFill="1" applyBorder="1" applyProtection="1">
      <protection hidden="1"/>
    </xf>
    <xf numFmtId="169" fontId="15" fillId="2" borderId="1" xfId="4" applyNumberFormat="1" applyFont="1" applyFill="1" applyBorder="1" applyAlignment="1" applyProtection="1">
      <alignment horizontal="center" vertical="top" wrapText="1"/>
      <protection hidden="1"/>
    </xf>
    <xf numFmtId="169" fontId="15" fillId="0" borderId="1" xfId="4" applyNumberFormat="1" applyFont="1" applyFill="1" applyBorder="1" applyAlignment="1" applyProtection="1">
      <alignment horizontal="center" vertical="top" wrapText="1"/>
      <protection hidden="1"/>
    </xf>
    <xf numFmtId="169" fontId="2" fillId="0" borderId="0" xfId="4" applyNumberFormat="1" applyFont="1" applyProtection="1">
      <protection hidden="1"/>
    </xf>
    <xf numFmtId="0" fontId="12" fillId="2" borderId="1" xfId="4" applyFont="1" applyFill="1" applyBorder="1" applyAlignment="1" applyProtection="1">
      <alignment horizontal="center" vertical="top" wrapText="1"/>
      <protection hidden="1"/>
    </xf>
    <xf numFmtId="10" fontId="5" fillId="6" borderId="1" xfId="4" applyNumberFormat="1" applyFont="1" applyFill="1" applyBorder="1" applyAlignment="1" applyProtection="1">
      <alignment horizontal="right" vertical="top" wrapText="1" indent="3"/>
      <protection hidden="1"/>
    </xf>
    <xf numFmtId="10" fontId="5" fillId="0" borderId="1" xfId="4" applyNumberFormat="1" applyFont="1" applyFill="1" applyBorder="1" applyAlignment="1" applyProtection="1">
      <alignment horizontal="right" vertical="top" wrapText="1" indent="3"/>
      <protection hidden="1"/>
    </xf>
    <xf numFmtId="2" fontId="6" fillId="6" borderId="1" xfId="4" applyNumberFormat="1" applyFont="1" applyFill="1" applyBorder="1" applyAlignment="1" applyProtection="1">
      <alignment horizontal="right" vertical="top" wrapText="1" indent="4"/>
      <protection hidden="1"/>
    </xf>
    <xf numFmtId="2" fontId="6" fillId="0" borderId="1" xfId="4" applyNumberFormat="1" applyFont="1" applyFill="1" applyBorder="1" applyAlignment="1" applyProtection="1">
      <alignment horizontal="right" vertical="top" wrapText="1" indent="4"/>
      <protection hidden="1"/>
    </xf>
    <xf numFmtId="15" fontId="2" fillId="0" borderId="1" xfId="4" applyNumberFormat="1" applyFont="1" applyBorder="1" applyAlignment="1" applyProtection="1">
      <alignment horizontal="right"/>
      <protection hidden="1"/>
    </xf>
    <xf numFmtId="169" fontId="2" fillId="0" borderId="1" xfId="4" applyNumberFormat="1" applyFont="1" applyBorder="1" applyAlignment="1" applyProtection="1">
      <alignment horizontal="left"/>
      <protection hidden="1"/>
    </xf>
    <xf numFmtId="169" fontId="2" fillId="0" borderId="1" xfId="4" applyNumberFormat="1" applyFont="1" applyFill="1" applyBorder="1" applyProtection="1">
      <protection hidden="1"/>
    </xf>
    <xf numFmtId="15" fontId="2" fillId="0" borderId="0" xfId="4" applyNumberFormat="1" applyFont="1" applyProtection="1">
      <protection hidden="1"/>
    </xf>
    <xf numFmtId="169" fontId="2" fillId="0" borderId="0" xfId="4" applyNumberFormat="1" applyFont="1" applyBorder="1" applyProtection="1">
      <protection hidden="1"/>
    </xf>
    <xf numFmtId="169" fontId="2" fillId="0" borderId="0" xfId="4" applyNumberFormat="1" applyFont="1" applyFill="1" applyBorder="1" applyProtection="1">
      <protection hidden="1"/>
    </xf>
    <xf numFmtId="0" fontId="2" fillId="0" borderId="26" xfId="4" applyFont="1" applyBorder="1" applyProtection="1">
      <protection hidden="1"/>
    </xf>
    <xf numFmtId="15" fontId="2" fillId="0" borderId="26" xfId="4" applyNumberFormat="1" applyFont="1" applyBorder="1" applyProtection="1">
      <protection hidden="1"/>
    </xf>
    <xf numFmtId="169" fontId="2" fillId="0" borderId="26" xfId="4" applyNumberFormat="1" applyFont="1" applyBorder="1" applyProtection="1">
      <protection hidden="1"/>
    </xf>
    <xf numFmtId="169" fontId="2" fillId="0" borderId="26" xfId="4" applyNumberFormat="1" applyFont="1" applyFill="1" applyBorder="1" applyProtection="1">
      <protection hidden="1"/>
    </xf>
    <xf numFmtId="165" fontId="8" fillId="0" borderId="0" xfId="4" applyNumberFormat="1" applyFont="1" applyFill="1" applyBorder="1" applyAlignment="1" applyProtection="1">
      <alignment horizontal="center" vertical="top"/>
      <protection hidden="1"/>
    </xf>
    <xf numFmtId="165" fontId="8" fillId="6" borderId="0" xfId="4" applyNumberFormat="1" applyFont="1" applyFill="1" applyBorder="1" applyAlignment="1" applyProtection="1">
      <alignment vertical="top"/>
      <protection hidden="1"/>
    </xf>
    <xf numFmtId="0" fontId="26" fillId="0" borderId="0" xfId="4" applyFont="1" applyFill="1" applyBorder="1" applyAlignment="1" applyProtection="1">
      <alignment horizontal="center" wrapText="1"/>
      <protection hidden="1"/>
    </xf>
    <xf numFmtId="49" fontId="3" fillId="0" borderId="0" xfId="4" applyNumberFormat="1" applyFont="1" applyFill="1" applyBorder="1" applyAlignment="1" applyProtection="1">
      <alignment horizontal="right" vertical="center"/>
      <protection hidden="1"/>
    </xf>
    <xf numFmtId="49" fontId="4" fillId="9" borderId="18" xfId="3" applyNumberFormat="1" applyFont="1" applyFill="1" applyBorder="1" applyAlignment="1" applyProtection="1">
      <alignment horizontal="left"/>
      <protection locked="0" hidden="1"/>
    </xf>
    <xf numFmtId="170" fontId="4" fillId="9" borderId="18" xfId="3" applyNumberFormat="1" applyFont="1" applyFill="1" applyBorder="1" applyAlignment="1" applyProtection="1">
      <alignment horizontal="center"/>
      <protection locked="0" hidden="1"/>
    </xf>
    <xf numFmtId="3" fontId="4" fillId="9" borderId="18" xfId="3" applyNumberFormat="1" applyFont="1" applyFill="1" applyBorder="1" applyAlignment="1" applyProtection="1">
      <alignment horizontal="right"/>
      <protection locked="0" hidden="1"/>
    </xf>
    <xf numFmtId="4" fontId="4" fillId="0" borderId="0" xfId="3" applyNumberFormat="1" applyFont="1" applyFill="1" applyBorder="1" applyProtection="1">
      <protection hidden="1"/>
    </xf>
    <xf numFmtId="171" fontId="2" fillId="0" borderId="0" xfId="4" applyNumberFormat="1" applyFont="1" applyProtection="1">
      <protection hidden="1"/>
    </xf>
    <xf numFmtId="0" fontId="2" fillId="0" borderId="0" xfId="4" applyFont="1" applyFill="1" applyProtection="1">
      <protection hidden="1"/>
    </xf>
    <xf numFmtId="4" fontId="17" fillId="10" borderId="24" xfId="4" applyNumberFormat="1" applyFont="1" applyFill="1" applyBorder="1" applyAlignment="1" applyProtection="1">
      <alignment horizontal="right" vertical="center"/>
      <protection hidden="1"/>
    </xf>
    <xf numFmtId="0" fontId="23" fillId="0" borderId="27" xfId="4" applyFont="1" applyFill="1" applyBorder="1" applyAlignment="1" applyProtection="1">
      <protection hidden="1"/>
    </xf>
    <xf numFmtId="0" fontId="23" fillId="0" borderId="27" xfId="4" applyFont="1" applyBorder="1" applyAlignment="1" applyProtection="1">
      <protection hidden="1"/>
    </xf>
    <xf numFmtId="0" fontId="23" fillId="0" borderId="28" xfId="4" applyFont="1" applyBorder="1" applyAlignment="1" applyProtection="1">
      <protection hidden="1"/>
    </xf>
    <xf numFmtId="0" fontId="2" fillId="0" borderId="0" xfId="4" applyFont="1" applyAlignment="1" applyProtection="1">
      <alignment horizontal="center"/>
      <protection hidden="1"/>
    </xf>
    <xf numFmtId="1" fontId="2" fillId="0" borderId="0" xfId="4" applyNumberFormat="1" applyFont="1" applyProtection="1">
      <protection hidden="1"/>
    </xf>
    <xf numFmtId="2" fontId="2" fillId="0" borderId="0" xfId="5" applyNumberFormat="1" applyFont="1" applyProtection="1">
      <protection hidden="1"/>
    </xf>
    <xf numFmtId="169" fontId="2" fillId="0" borderId="0" xfId="4" applyNumberFormat="1" applyFont="1" applyAlignment="1" applyProtection="1">
      <alignment horizontal="center"/>
      <protection hidden="1"/>
    </xf>
    <xf numFmtId="0" fontId="30" fillId="0" borderId="0" xfId="0" applyFont="1" applyProtection="1">
      <protection hidden="1"/>
    </xf>
    <xf numFmtId="0" fontId="30" fillId="0" borderId="0" xfId="0" applyFont="1" applyAlignment="1" applyProtection="1">
      <alignment vertical="top"/>
      <protection hidden="1"/>
    </xf>
    <xf numFmtId="0" fontId="30" fillId="0" borderId="0" xfId="0" applyFont="1" applyFill="1" applyAlignment="1" applyProtection="1">
      <alignment vertical="top"/>
      <protection hidden="1"/>
    </xf>
    <xf numFmtId="0" fontId="8" fillId="0" borderId="0" xfId="0" applyFont="1" applyFill="1" applyBorder="1" applyAlignment="1" applyProtection="1">
      <alignment vertical="top"/>
      <protection hidden="1"/>
    </xf>
    <xf numFmtId="165" fontId="25" fillId="5" borderId="0" xfId="0" applyNumberFormat="1" applyFont="1" applyFill="1" applyBorder="1" applyAlignment="1" applyProtection="1">
      <alignment vertical="top" wrapText="1"/>
      <protection hidden="1"/>
    </xf>
    <xf numFmtId="165" fontId="2" fillId="5" borderId="0" xfId="0" applyNumberFormat="1" applyFont="1" applyFill="1" applyBorder="1" applyAlignment="1" applyProtection="1">
      <alignment vertical="top" wrapText="1"/>
      <protection hidden="1"/>
    </xf>
    <xf numFmtId="165" fontId="2" fillId="0" borderId="0" xfId="0" applyNumberFormat="1" applyFont="1" applyAlignment="1" applyProtection="1">
      <alignment vertical="top"/>
      <protection hidden="1"/>
    </xf>
    <xf numFmtId="165" fontId="2" fillId="5" borderId="29" xfId="0" applyNumberFormat="1" applyFont="1" applyFill="1" applyBorder="1" applyAlignment="1" applyProtection="1">
      <alignment horizontal="right" vertical="top" wrapText="1" indent="1"/>
      <protection hidden="1"/>
    </xf>
    <xf numFmtId="165" fontId="2" fillId="5" borderId="30" xfId="0" applyNumberFormat="1" applyFont="1" applyFill="1" applyBorder="1" applyAlignment="1" applyProtection="1">
      <alignment vertical="top" wrapText="1"/>
      <protection hidden="1"/>
    </xf>
    <xf numFmtId="165" fontId="2" fillId="0" borderId="0" xfId="0" applyNumberFormat="1" applyFont="1" applyBorder="1" applyAlignment="1" applyProtection="1">
      <alignment vertical="top"/>
      <protection hidden="1"/>
    </xf>
    <xf numFmtId="0" fontId="2" fillId="0" borderId="0" xfId="0" applyFont="1" applyAlignment="1" applyProtection="1">
      <alignment vertical="top"/>
      <protection hidden="1"/>
    </xf>
    <xf numFmtId="165" fontId="15" fillId="5" borderId="30" xfId="0" applyNumberFormat="1" applyFont="1" applyFill="1" applyBorder="1" applyAlignment="1" applyProtection="1">
      <alignment vertical="top" wrapText="1"/>
      <protection hidden="1"/>
    </xf>
    <xf numFmtId="0" fontId="2" fillId="0" borderId="0" xfId="0" applyFont="1" applyAlignment="1" applyProtection="1">
      <alignment vertical="top" wrapText="1"/>
      <protection hidden="1"/>
    </xf>
    <xf numFmtId="0" fontId="34" fillId="0" borderId="0" xfId="0" applyFont="1" applyFill="1" applyBorder="1" applyAlignment="1" applyProtection="1">
      <alignment horizontal="center" vertical="top" wrapText="1"/>
      <protection hidden="1"/>
    </xf>
    <xf numFmtId="0" fontId="2" fillId="0" borderId="0" xfId="0" applyFont="1" applyFill="1" applyAlignment="1" applyProtection="1">
      <alignment vertical="top"/>
      <protection hidden="1"/>
    </xf>
    <xf numFmtId="0" fontId="15" fillId="0" borderId="0" xfId="0" applyFont="1" applyAlignment="1" applyProtection="1">
      <alignment vertical="top"/>
      <protection hidden="1"/>
    </xf>
    <xf numFmtId="0" fontId="2" fillId="0" borderId="0" xfId="0" applyFont="1" applyProtection="1">
      <protection hidden="1"/>
    </xf>
    <xf numFmtId="165" fontId="4" fillId="6" borderId="31" xfId="0" applyNumberFormat="1" applyFont="1" applyFill="1" applyBorder="1" applyAlignment="1" applyProtection="1">
      <alignment vertical="center"/>
      <protection hidden="1"/>
    </xf>
    <xf numFmtId="2" fontId="4" fillId="9" borderId="4" xfId="0" applyNumberFormat="1" applyFont="1" applyFill="1" applyBorder="1" applyAlignment="1" applyProtection="1">
      <alignment horizontal="center" vertical="center"/>
      <protection locked="0" hidden="1"/>
    </xf>
    <xf numFmtId="165" fontId="4" fillId="9" borderId="1" xfId="0" applyNumberFormat="1" applyFont="1" applyFill="1" applyBorder="1" applyAlignment="1" applyProtection="1">
      <alignment horizontal="center" vertical="center"/>
      <protection locked="0" hidden="1"/>
    </xf>
    <xf numFmtId="10" fontId="4" fillId="9" borderId="1" xfId="0" applyNumberFormat="1" applyFont="1" applyFill="1" applyBorder="1" applyAlignment="1" applyProtection="1">
      <alignment horizontal="center" vertical="center"/>
      <protection locked="0" hidden="1"/>
    </xf>
    <xf numFmtId="2" fontId="4" fillId="9" borderId="1" xfId="0" applyNumberFormat="1" applyFont="1" applyFill="1" applyBorder="1" applyAlignment="1" applyProtection="1">
      <alignment horizontal="center" vertical="center"/>
      <protection locked="0" hidden="1"/>
    </xf>
    <xf numFmtId="0" fontId="2" fillId="0" borderId="0" xfId="4" applyFont="1" applyAlignment="1" applyProtection="1">
      <alignment vertical="center"/>
      <protection hidden="1"/>
    </xf>
    <xf numFmtId="165" fontId="2" fillId="0" borderId="0" xfId="0" applyNumberFormat="1" applyFont="1" applyAlignment="1" applyProtection="1">
      <alignment horizontal="right"/>
      <protection hidden="1"/>
    </xf>
    <xf numFmtId="0" fontId="2" fillId="0" borderId="0" xfId="3" quotePrefix="1" applyFont="1" applyProtection="1">
      <protection hidden="1"/>
    </xf>
    <xf numFmtId="165" fontId="15" fillId="2" borderId="18" xfId="4" applyNumberFormat="1" applyFont="1" applyFill="1" applyBorder="1" applyAlignment="1" applyProtection="1">
      <alignment horizontal="right" vertical="center" wrapText="1"/>
      <protection hidden="1"/>
    </xf>
    <xf numFmtId="168" fontId="4" fillId="0" borderId="19" xfId="3" applyNumberFormat="1" applyFont="1" applyFill="1" applyBorder="1" applyProtection="1">
      <protection hidden="1"/>
    </xf>
    <xf numFmtId="3" fontId="4" fillId="0" borderId="19" xfId="3" applyNumberFormat="1" applyFont="1" applyFill="1" applyBorder="1" applyProtection="1">
      <protection hidden="1"/>
    </xf>
    <xf numFmtId="10" fontId="2" fillId="0" borderId="0" xfId="0" applyNumberFormat="1" applyFont="1" applyAlignment="1" applyProtection="1">
      <alignment horizontal="right"/>
      <protection hidden="1"/>
    </xf>
    <xf numFmtId="9" fontId="2" fillId="0" borderId="0" xfId="4" applyNumberFormat="1" applyFont="1" applyProtection="1">
      <protection hidden="1"/>
    </xf>
    <xf numFmtId="0" fontId="36" fillId="0" borderId="0" xfId="0" applyFont="1" applyAlignment="1" applyProtection="1">
      <alignment horizontal="left"/>
      <protection hidden="1"/>
    </xf>
    <xf numFmtId="0" fontId="3" fillId="0" borderId="0" xfId="4" applyFont="1" applyAlignment="1" applyProtection="1">
      <alignment horizontal="right"/>
      <protection hidden="1"/>
    </xf>
    <xf numFmtId="172" fontId="2" fillId="0" borderId="0" xfId="1" applyNumberFormat="1" applyFont="1" applyProtection="1">
      <protection hidden="1"/>
    </xf>
    <xf numFmtId="172" fontId="2" fillId="0" borderId="0" xfId="4" applyNumberFormat="1" applyFont="1" applyProtection="1">
      <protection hidden="1"/>
    </xf>
    <xf numFmtId="49" fontId="4" fillId="9" borderId="57" xfId="3" applyNumberFormat="1" applyFont="1" applyFill="1" applyBorder="1" applyAlignment="1" applyProtection="1">
      <alignment horizontal="left"/>
      <protection locked="0" hidden="1"/>
    </xf>
    <xf numFmtId="3" fontId="4" fillId="9" borderId="57" xfId="3" applyNumberFormat="1" applyFont="1" applyFill="1" applyBorder="1" applyAlignment="1" applyProtection="1">
      <alignment horizontal="right"/>
      <protection locked="0" hidden="1"/>
    </xf>
    <xf numFmtId="4" fontId="4" fillId="9" borderId="57" xfId="3" applyNumberFormat="1" applyFont="1" applyFill="1" applyBorder="1" applyAlignment="1" applyProtection="1">
      <alignment horizontal="right"/>
      <protection locked="0" hidden="1"/>
    </xf>
    <xf numFmtId="170" fontId="4" fillId="9" borderId="57" xfId="3" applyNumberFormat="1" applyFont="1" applyFill="1" applyBorder="1" applyAlignment="1" applyProtection="1">
      <alignment horizontal="right"/>
      <protection locked="0" hidden="1"/>
    </xf>
    <xf numFmtId="0" fontId="3" fillId="0" borderId="0" xfId="4" applyFont="1" applyProtection="1">
      <protection hidden="1"/>
    </xf>
    <xf numFmtId="165" fontId="3" fillId="4" borderId="34" xfId="0" applyNumberFormat="1" applyFont="1" applyFill="1" applyBorder="1" applyAlignment="1" applyProtection="1">
      <alignment horizontal="left" vertical="center"/>
      <protection hidden="1"/>
    </xf>
    <xf numFmtId="165" fontId="3" fillId="4" borderId="35" xfId="0" applyNumberFormat="1" applyFont="1" applyFill="1" applyBorder="1" applyAlignment="1" applyProtection="1">
      <alignment horizontal="left" vertical="center"/>
      <protection hidden="1"/>
    </xf>
    <xf numFmtId="165" fontId="3" fillId="4" borderId="36" xfId="0" applyNumberFormat="1" applyFont="1" applyFill="1" applyBorder="1" applyAlignment="1" applyProtection="1">
      <alignment horizontal="left" vertical="center"/>
      <protection hidden="1"/>
    </xf>
    <xf numFmtId="165" fontId="13" fillId="4" borderId="37" xfId="0" applyNumberFormat="1" applyFont="1" applyFill="1" applyBorder="1" applyAlignment="1" applyProtection="1">
      <alignment horizontal="left" vertical="center"/>
      <protection hidden="1"/>
    </xf>
    <xf numFmtId="165" fontId="1" fillId="5" borderId="30" xfId="0" applyNumberFormat="1" applyFont="1" applyFill="1" applyBorder="1" applyAlignment="1" applyProtection="1">
      <alignment vertical="top" wrapText="1"/>
      <protection hidden="1"/>
    </xf>
    <xf numFmtId="0" fontId="1" fillId="0" borderId="0" xfId="3" applyFont="1" applyAlignment="1" applyProtection="1">
      <alignment horizontal="left" indent="2"/>
      <protection hidden="1"/>
    </xf>
    <xf numFmtId="0" fontId="1" fillId="0" borderId="0" xfId="0" applyFont="1" applyAlignment="1" applyProtection="1">
      <alignment vertical="top" wrapText="1"/>
      <protection hidden="1"/>
    </xf>
    <xf numFmtId="165" fontId="1" fillId="5" borderId="0" xfId="0" quotePrefix="1" applyNumberFormat="1" applyFont="1" applyFill="1" applyBorder="1" applyAlignment="1" applyProtection="1">
      <alignment vertical="center"/>
      <protection hidden="1"/>
    </xf>
    <xf numFmtId="165" fontId="1" fillId="5" borderId="0" xfId="0" quotePrefix="1" applyNumberFormat="1" applyFont="1" applyFill="1" applyBorder="1" applyAlignment="1" applyProtection="1">
      <alignment horizontal="right" vertical="center"/>
      <protection hidden="1"/>
    </xf>
    <xf numFmtId="0" fontId="1" fillId="0" borderId="0" xfId="4" applyFont="1" applyProtection="1">
      <protection hidden="1"/>
    </xf>
    <xf numFmtId="0" fontId="1" fillId="0" borderId="0" xfId="0" applyFont="1" applyFill="1" applyBorder="1"/>
    <xf numFmtId="0" fontId="37" fillId="0" borderId="0" xfId="0" applyFont="1" applyFill="1" applyBorder="1" applyAlignment="1">
      <alignment horizontal="left" vertical="center" wrapText="1"/>
    </xf>
    <xf numFmtId="0" fontId="2" fillId="0" borderId="0" xfId="0" applyFont="1" applyBorder="1" applyAlignment="1" applyProtection="1">
      <alignment vertical="center"/>
      <protection hidden="1"/>
    </xf>
    <xf numFmtId="170" fontId="8" fillId="9" borderId="0" xfId="0" applyNumberFormat="1" applyFont="1" applyFill="1" applyBorder="1" applyAlignment="1" applyProtection="1">
      <alignment horizontal="left" vertical="top"/>
      <protection locked="0" hidden="1"/>
    </xf>
    <xf numFmtId="0" fontId="1" fillId="0" borderId="0" xfId="0" applyFont="1" applyAlignment="1" applyProtection="1">
      <alignment horizontal="right" vertical="top"/>
      <protection hidden="1"/>
    </xf>
    <xf numFmtId="0" fontId="1" fillId="0" borderId="0" xfId="3" applyFont="1" applyAlignment="1" applyProtection="1">
      <alignment horizontal="right"/>
      <protection hidden="1"/>
    </xf>
    <xf numFmtId="0" fontId="1" fillId="0" borderId="0" xfId="0" applyFont="1" applyAlignment="1" applyProtection="1">
      <alignment horizontal="right"/>
      <protection hidden="1"/>
    </xf>
    <xf numFmtId="0" fontId="26" fillId="4" borderId="0" xfId="4" applyFont="1" applyFill="1" applyBorder="1" applyAlignment="1" applyProtection="1">
      <alignment wrapText="1"/>
      <protection hidden="1"/>
    </xf>
    <xf numFmtId="0" fontId="26" fillId="0" borderId="0" xfId="4" applyFont="1" applyFill="1" applyBorder="1" applyAlignment="1" applyProtection="1">
      <alignment wrapText="1"/>
      <protection hidden="1"/>
    </xf>
    <xf numFmtId="165" fontId="2" fillId="5" borderId="30" xfId="0" applyNumberFormat="1" applyFont="1" applyFill="1" applyBorder="1" applyAlignment="1" applyProtection="1">
      <alignment vertical="top" wrapText="1"/>
    </xf>
    <xf numFmtId="165" fontId="1" fillId="5" borderId="30" xfId="0" applyNumberFormat="1" applyFont="1" applyFill="1" applyBorder="1" applyAlignment="1" applyProtection="1">
      <alignment vertical="top" wrapText="1"/>
    </xf>
    <xf numFmtId="165" fontId="1" fillId="0" borderId="30" xfId="0" applyNumberFormat="1" applyFont="1" applyBorder="1" applyAlignment="1" applyProtection="1">
      <alignment vertical="top" wrapText="1"/>
    </xf>
    <xf numFmtId="0" fontId="2" fillId="0" borderId="0" xfId="3" applyFont="1" applyAlignment="1" applyProtection="1">
      <alignment horizontal="left" indent="2"/>
      <protection hidden="1"/>
    </xf>
    <xf numFmtId="37" fontId="1" fillId="0" borderId="0" xfId="1" applyNumberFormat="1" applyFont="1" applyProtection="1">
      <protection hidden="1"/>
    </xf>
    <xf numFmtId="0" fontId="2" fillId="0" borderId="0" xfId="3" applyFont="1" applyAlignment="1" applyProtection="1">
      <alignment horizontal="left" indent="2"/>
      <protection hidden="1"/>
    </xf>
    <xf numFmtId="0" fontId="28" fillId="0" borderId="0" xfId="3" applyFont="1" applyFill="1" applyBorder="1" applyAlignment="1" applyProtection="1">
      <alignment horizontal="right"/>
      <protection hidden="1"/>
    </xf>
    <xf numFmtId="173" fontId="4" fillId="9" borderId="57" xfId="3" applyNumberFormat="1" applyFont="1" applyFill="1" applyBorder="1" applyAlignment="1" applyProtection="1">
      <alignment horizontal="right"/>
      <protection locked="0" hidden="1"/>
    </xf>
    <xf numFmtId="165" fontId="3" fillId="4" borderId="6" xfId="0" applyNumberFormat="1" applyFont="1" applyFill="1" applyBorder="1" applyAlignment="1" applyProtection="1">
      <alignment horizontal="left" vertical="center"/>
      <protection hidden="1"/>
    </xf>
    <xf numFmtId="165" fontId="3" fillId="4" borderId="8" xfId="0" applyNumberFormat="1" applyFont="1" applyFill="1" applyBorder="1" applyAlignment="1" applyProtection="1">
      <alignment horizontal="left" vertical="center"/>
      <protection hidden="1"/>
    </xf>
    <xf numFmtId="165" fontId="3" fillId="13" borderId="1" xfId="0" applyNumberFormat="1" applyFont="1" applyFill="1" applyBorder="1" applyAlignment="1" applyProtection="1">
      <alignment horizontal="center" vertical="center"/>
      <protection hidden="1"/>
    </xf>
    <xf numFmtId="165" fontId="3" fillId="13" borderId="1" xfId="0" applyNumberFormat="1" applyFont="1" applyFill="1" applyBorder="1" applyAlignment="1" applyProtection="1">
      <alignment horizontal="right" vertical="center"/>
      <protection hidden="1"/>
    </xf>
    <xf numFmtId="165" fontId="3" fillId="13" borderId="2" xfId="0" applyNumberFormat="1" applyFont="1" applyFill="1" applyBorder="1" applyAlignment="1" applyProtection="1">
      <alignment horizontal="right" vertical="center"/>
      <protection hidden="1"/>
    </xf>
    <xf numFmtId="165" fontId="3" fillId="13" borderId="2" xfId="0" applyNumberFormat="1" applyFont="1" applyFill="1" applyBorder="1" applyAlignment="1" applyProtection="1">
      <alignment horizontal="right" vertical="center"/>
      <protection locked="0" hidden="1"/>
    </xf>
    <xf numFmtId="165" fontId="3" fillId="13" borderId="11" xfId="0" applyNumberFormat="1" applyFont="1" applyFill="1" applyBorder="1" applyAlignment="1" applyProtection="1">
      <alignment horizontal="right" vertical="center"/>
      <protection hidden="1"/>
    </xf>
    <xf numFmtId="165" fontId="3" fillId="13" borderId="11" xfId="0" applyNumberFormat="1" applyFont="1" applyFill="1" applyBorder="1" applyAlignment="1" applyProtection="1">
      <alignment horizontal="right" vertical="center"/>
      <protection locked="0" hidden="1"/>
    </xf>
    <xf numFmtId="0" fontId="3" fillId="13" borderId="6" xfId="0" applyFont="1" applyFill="1" applyBorder="1" applyAlignment="1" applyProtection="1">
      <alignment horizontal="right"/>
      <protection hidden="1"/>
    </xf>
    <xf numFmtId="165" fontId="3" fillId="13" borderId="12" xfId="0" applyNumberFormat="1" applyFont="1" applyFill="1" applyBorder="1" applyAlignment="1" applyProtection="1">
      <alignment horizontal="right"/>
      <protection hidden="1"/>
    </xf>
    <xf numFmtId="165" fontId="3" fillId="13" borderId="3" xfId="0" applyNumberFormat="1" applyFont="1" applyFill="1" applyBorder="1" applyAlignment="1" applyProtection="1">
      <alignment horizontal="right" wrapText="1"/>
      <protection hidden="1"/>
    </xf>
    <xf numFmtId="165" fontId="3" fillId="13" borderId="12" xfId="0" applyNumberFormat="1" applyFont="1" applyFill="1" applyBorder="1" applyAlignment="1" applyProtection="1">
      <alignment horizontal="right" vertical="center"/>
      <protection hidden="1"/>
    </xf>
    <xf numFmtId="165" fontId="3" fillId="14" borderId="6" xfId="0" applyNumberFormat="1" applyFont="1" applyFill="1" applyBorder="1" applyAlignment="1" applyProtection="1">
      <alignment horizontal="left" vertical="center"/>
      <protection hidden="1"/>
    </xf>
    <xf numFmtId="165" fontId="3" fillId="14" borderId="7" xfId="0" applyNumberFormat="1" applyFont="1" applyFill="1" applyBorder="1" applyAlignment="1" applyProtection="1">
      <alignment horizontal="left" vertical="center"/>
      <protection hidden="1"/>
    </xf>
    <xf numFmtId="9" fontId="6" fillId="13" borderId="1" xfId="0" applyNumberFormat="1" applyFont="1" applyFill="1" applyBorder="1" applyAlignment="1" applyProtection="1">
      <alignment vertical="center"/>
      <protection hidden="1"/>
    </xf>
    <xf numFmtId="9" fontId="2" fillId="13" borderId="4" xfId="0" applyNumberFormat="1" applyFont="1" applyFill="1" applyBorder="1" applyAlignment="1" applyProtection="1">
      <alignment horizontal="center" vertical="center"/>
      <protection hidden="1"/>
    </xf>
    <xf numFmtId="165" fontId="38" fillId="13" borderId="38" xfId="0" applyNumberFormat="1" applyFont="1" applyFill="1" applyBorder="1" applyAlignment="1" applyProtection="1">
      <alignment horizontal="left" vertical="center"/>
      <protection hidden="1"/>
    </xf>
    <xf numFmtId="165" fontId="38" fillId="13" borderId="39" xfId="0" applyNumberFormat="1" applyFont="1" applyFill="1" applyBorder="1" applyAlignment="1" applyProtection="1">
      <alignment horizontal="left" vertical="center"/>
      <protection hidden="1"/>
    </xf>
    <xf numFmtId="165" fontId="38" fillId="13" borderId="40" xfId="0" applyNumberFormat="1" applyFont="1" applyFill="1" applyBorder="1" applyAlignment="1" applyProtection="1">
      <alignment horizontal="left" vertical="center"/>
      <protection hidden="1"/>
    </xf>
    <xf numFmtId="165" fontId="38" fillId="13" borderId="9" xfId="0" applyNumberFormat="1" applyFont="1" applyFill="1" applyBorder="1" applyAlignment="1" applyProtection="1">
      <alignment horizontal="left" vertical="center"/>
      <protection hidden="1"/>
    </xf>
    <xf numFmtId="165" fontId="38" fillId="13" borderId="7" xfId="0" applyNumberFormat="1" applyFont="1" applyFill="1" applyBorder="1" applyAlignment="1" applyProtection="1">
      <alignment horizontal="left" vertical="center"/>
      <protection hidden="1"/>
    </xf>
    <xf numFmtId="165" fontId="38" fillId="13" borderId="8" xfId="0" applyNumberFormat="1" applyFont="1" applyFill="1" applyBorder="1" applyAlignment="1" applyProtection="1">
      <alignment horizontal="left" vertical="center"/>
      <protection hidden="1"/>
    </xf>
    <xf numFmtId="165" fontId="39" fillId="4" borderId="9" xfId="0" applyNumberFormat="1" applyFont="1" applyFill="1" applyBorder="1" applyAlignment="1" applyProtection="1">
      <alignment horizontal="left" vertical="center"/>
      <protection hidden="1"/>
    </xf>
    <xf numFmtId="165" fontId="39" fillId="4" borderId="7" xfId="0" applyNumberFormat="1" applyFont="1" applyFill="1" applyBorder="1" applyAlignment="1" applyProtection="1">
      <alignment horizontal="left" vertical="center"/>
      <protection hidden="1"/>
    </xf>
    <xf numFmtId="165" fontId="38" fillId="13" borderId="9" xfId="0" applyNumberFormat="1" applyFont="1" applyFill="1" applyBorder="1" applyAlignment="1" applyProtection="1">
      <alignment vertical="center"/>
      <protection hidden="1"/>
    </xf>
    <xf numFmtId="0" fontId="38" fillId="13" borderId="7" xfId="0" applyFont="1" applyFill="1" applyBorder="1" applyAlignment="1" applyProtection="1">
      <alignment vertical="center"/>
      <protection hidden="1"/>
    </xf>
    <xf numFmtId="0" fontId="38" fillId="13" borderId="8" xfId="0" applyFont="1" applyFill="1" applyBorder="1" applyAlignment="1" applyProtection="1">
      <alignment vertical="center"/>
      <protection hidden="1"/>
    </xf>
    <xf numFmtId="0" fontId="38" fillId="13" borderId="7" xfId="0" applyFont="1" applyFill="1" applyBorder="1" applyAlignment="1" applyProtection="1">
      <alignment horizontal="left" vertical="center"/>
      <protection hidden="1"/>
    </xf>
    <xf numFmtId="0" fontId="38" fillId="13" borderId="8" xfId="0" applyFont="1" applyFill="1" applyBorder="1" applyAlignment="1" applyProtection="1">
      <alignment horizontal="left" vertical="center"/>
      <protection hidden="1"/>
    </xf>
    <xf numFmtId="165" fontId="38" fillId="13" borderId="10" xfId="0" applyNumberFormat="1" applyFont="1" applyFill="1" applyBorder="1" applyAlignment="1" applyProtection="1">
      <alignment horizontal="left" vertical="center"/>
      <protection hidden="1"/>
    </xf>
    <xf numFmtId="0" fontId="38" fillId="13" borderId="16" xfId="0" applyFont="1" applyFill="1" applyBorder="1" applyAlignment="1" applyProtection="1">
      <alignment horizontal="left" vertical="center"/>
      <protection hidden="1"/>
    </xf>
    <xf numFmtId="0" fontId="38" fillId="13" borderId="17" xfId="0" applyFont="1" applyFill="1" applyBorder="1" applyAlignment="1" applyProtection="1">
      <alignment horizontal="left" vertical="center"/>
      <protection hidden="1"/>
    </xf>
    <xf numFmtId="165" fontId="40" fillId="15" borderId="33" xfId="0" applyNumberFormat="1" applyFont="1" applyFill="1" applyBorder="1" applyAlignment="1" applyProtection="1">
      <alignment horizontal="center" vertical="center"/>
      <protection hidden="1"/>
    </xf>
    <xf numFmtId="165" fontId="41" fillId="16" borderId="6" xfId="0" applyNumberFormat="1" applyFont="1" applyFill="1" applyBorder="1" applyAlignment="1" applyProtection="1">
      <alignment horizontal="left" vertical="center"/>
      <protection hidden="1"/>
    </xf>
    <xf numFmtId="165" fontId="41" fillId="16" borderId="7" xfId="0" applyNumberFormat="1" applyFont="1" applyFill="1" applyBorder="1" applyAlignment="1" applyProtection="1">
      <alignment horizontal="left" vertical="center"/>
      <protection hidden="1"/>
    </xf>
    <xf numFmtId="165" fontId="1" fillId="13" borderId="7" xfId="0" applyNumberFormat="1" applyFont="1" applyFill="1" applyBorder="1" applyAlignment="1" applyProtection="1">
      <alignment horizontal="left" vertical="center"/>
      <protection hidden="1"/>
    </xf>
    <xf numFmtId="165" fontId="1" fillId="13" borderId="8" xfId="0" applyNumberFormat="1" applyFont="1" applyFill="1" applyBorder="1" applyAlignment="1" applyProtection="1">
      <alignment horizontal="left" vertical="center"/>
      <protection hidden="1"/>
    </xf>
    <xf numFmtId="165" fontId="1" fillId="13" borderId="6" xfId="0" applyNumberFormat="1" applyFont="1" applyFill="1" applyBorder="1" applyAlignment="1" applyProtection="1">
      <alignment horizontal="left" vertical="center"/>
      <protection hidden="1"/>
    </xf>
    <xf numFmtId="165" fontId="38" fillId="13" borderId="6" xfId="0" applyNumberFormat="1" applyFont="1" applyFill="1" applyBorder="1" applyAlignment="1" applyProtection="1">
      <alignment vertical="center"/>
      <protection hidden="1"/>
    </xf>
    <xf numFmtId="165" fontId="38" fillId="13" borderId="7" xfId="0" applyNumberFormat="1" applyFont="1" applyFill="1" applyBorder="1" applyAlignment="1" applyProtection="1">
      <alignment vertical="center"/>
      <protection hidden="1"/>
    </xf>
    <xf numFmtId="165" fontId="39" fillId="13" borderId="6" xfId="0" applyNumberFormat="1" applyFont="1" applyFill="1" applyBorder="1" applyAlignment="1" applyProtection="1">
      <alignment horizontal="left" vertical="center"/>
      <protection hidden="1"/>
    </xf>
    <xf numFmtId="165" fontId="39" fillId="13" borderId="7" xfId="0" applyNumberFormat="1" applyFont="1" applyFill="1" applyBorder="1" applyAlignment="1" applyProtection="1">
      <alignment horizontal="left" vertical="center"/>
      <protection hidden="1"/>
    </xf>
    <xf numFmtId="165" fontId="38" fillId="13" borderId="6" xfId="0" applyNumberFormat="1" applyFont="1" applyFill="1" applyBorder="1" applyAlignment="1" applyProtection="1">
      <alignment horizontal="left" vertical="center"/>
      <protection hidden="1"/>
    </xf>
    <xf numFmtId="165" fontId="39" fillId="14" borderId="6" xfId="0" applyNumberFormat="1" applyFont="1" applyFill="1" applyBorder="1" applyAlignment="1" applyProtection="1">
      <alignment horizontal="left" vertical="center"/>
      <protection hidden="1"/>
    </xf>
    <xf numFmtId="165" fontId="39" fillId="14" borderId="7" xfId="0" applyNumberFormat="1" applyFont="1" applyFill="1" applyBorder="1" applyAlignment="1" applyProtection="1">
      <alignment horizontal="left" vertical="center"/>
      <protection hidden="1"/>
    </xf>
    <xf numFmtId="165" fontId="39" fillId="14" borderId="8" xfId="0" applyNumberFormat="1" applyFont="1" applyFill="1" applyBorder="1" applyAlignment="1" applyProtection="1">
      <alignment horizontal="left" vertical="center"/>
      <protection hidden="1"/>
    </xf>
    <xf numFmtId="165" fontId="38" fillId="13" borderId="11" xfId="0" applyNumberFormat="1" applyFont="1" applyFill="1" applyBorder="1" applyAlignment="1" applyProtection="1">
      <alignment horizontal="left" vertical="center"/>
      <protection hidden="1"/>
    </xf>
    <xf numFmtId="165" fontId="38" fillId="13" borderId="0" xfId="0" applyNumberFormat="1" applyFont="1" applyFill="1" applyBorder="1" applyAlignment="1" applyProtection="1">
      <alignment vertical="center"/>
      <protection hidden="1"/>
    </xf>
    <xf numFmtId="165" fontId="38" fillId="13" borderId="8" xfId="0" applyNumberFormat="1" applyFont="1" applyFill="1" applyBorder="1" applyAlignment="1" applyProtection="1">
      <alignment vertical="center"/>
      <protection hidden="1"/>
    </xf>
    <xf numFmtId="165" fontId="42" fillId="15" borderId="4" xfId="0" applyNumberFormat="1" applyFont="1" applyFill="1" applyBorder="1" applyAlignment="1" applyProtection="1">
      <alignment horizontal="center" vertical="center"/>
      <protection locked="0" hidden="1"/>
    </xf>
    <xf numFmtId="165" fontId="42" fillId="15" borderId="1" xfId="0" applyNumberFormat="1" applyFont="1" applyFill="1" applyBorder="1" applyAlignment="1" applyProtection="1">
      <alignment horizontal="center" vertical="center"/>
      <protection locked="0" hidden="1"/>
    </xf>
    <xf numFmtId="165" fontId="42" fillId="15" borderId="32" xfId="0" applyNumberFormat="1" applyFont="1" applyFill="1" applyBorder="1" applyAlignment="1" applyProtection="1">
      <alignment horizontal="center" vertical="center"/>
      <protection locked="0" hidden="1"/>
    </xf>
    <xf numFmtId="10" fontId="42" fillId="15" borderId="4" xfId="0" applyNumberFormat="1" applyFont="1" applyFill="1" applyBorder="1" applyAlignment="1" applyProtection="1">
      <alignment horizontal="center" vertical="center"/>
      <protection locked="0" hidden="1"/>
    </xf>
    <xf numFmtId="1" fontId="42" fillId="15" borderId="4" xfId="0" applyNumberFormat="1" applyFont="1" applyFill="1" applyBorder="1" applyAlignment="1" applyProtection="1">
      <alignment horizontal="center" vertical="center"/>
      <protection locked="0" hidden="1"/>
    </xf>
    <xf numFmtId="165" fontId="42" fillId="15" borderId="33" xfId="0" applyNumberFormat="1" applyFont="1" applyFill="1" applyBorder="1" applyAlignment="1" applyProtection="1">
      <alignment horizontal="center" vertical="center"/>
      <protection locked="0" hidden="1"/>
    </xf>
    <xf numFmtId="165" fontId="38" fillId="13" borderId="18" xfId="4" applyNumberFormat="1" applyFont="1" applyFill="1" applyBorder="1" applyAlignment="1" applyProtection="1">
      <alignment horizontal="left" vertical="center"/>
      <protection hidden="1"/>
    </xf>
    <xf numFmtId="165" fontId="15" fillId="13" borderId="18" xfId="4" applyNumberFormat="1" applyFont="1" applyFill="1" applyBorder="1" applyAlignment="1" applyProtection="1">
      <alignment horizontal="right" vertical="center" wrapText="1"/>
      <protection locked="0" hidden="1"/>
    </xf>
    <xf numFmtId="165" fontId="38" fillId="13" borderId="18" xfId="4" applyNumberFormat="1" applyFont="1" applyFill="1" applyBorder="1" applyAlignment="1" applyProtection="1">
      <alignment vertical="center"/>
      <protection hidden="1"/>
    </xf>
    <xf numFmtId="165" fontId="39" fillId="13" borderId="18" xfId="4" applyNumberFormat="1" applyFont="1" applyFill="1" applyBorder="1" applyAlignment="1" applyProtection="1">
      <alignment horizontal="left" vertical="center"/>
      <protection hidden="1"/>
    </xf>
    <xf numFmtId="10" fontId="43" fillId="15" borderId="18" xfId="3" applyNumberFormat="1" applyFont="1" applyFill="1" applyBorder="1" applyProtection="1">
      <protection locked="0" hidden="1"/>
    </xf>
    <xf numFmtId="49" fontId="15" fillId="13" borderId="1" xfId="4" applyNumberFormat="1" applyFont="1" applyFill="1" applyBorder="1" applyAlignment="1" applyProtection="1">
      <alignment horizontal="right" vertical="center"/>
      <protection hidden="1"/>
    </xf>
    <xf numFmtId="4" fontId="38" fillId="13" borderId="18" xfId="3" applyNumberFormat="1" applyFont="1" applyFill="1" applyBorder="1" applyProtection="1">
      <protection hidden="1"/>
    </xf>
    <xf numFmtId="49" fontId="15" fillId="13" borderId="1" xfId="4" applyNumberFormat="1" applyFont="1" applyFill="1" applyBorder="1" applyAlignment="1" applyProtection="1">
      <alignment horizontal="left" vertical="center"/>
      <protection hidden="1"/>
    </xf>
    <xf numFmtId="49" fontId="15" fillId="13" borderId="1" xfId="4" applyNumberFormat="1" applyFont="1" applyFill="1" applyBorder="1" applyAlignment="1" applyProtection="1">
      <alignment horizontal="center" vertical="center"/>
      <protection hidden="1"/>
    </xf>
    <xf numFmtId="49" fontId="15" fillId="13" borderId="57" xfId="4" applyNumberFormat="1" applyFont="1" applyFill="1" applyBorder="1" applyAlignment="1" applyProtection="1">
      <alignment horizontal="right" vertical="center"/>
      <protection hidden="1"/>
    </xf>
    <xf numFmtId="3" fontId="38" fillId="13" borderId="57" xfId="3" applyNumberFormat="1" applyFont="1" applyFill="1" applyBorder="1" applyProtection="1">
      <protection hidden="1"/>
    </xf>
    <xf numFmtId="4" fontId="38" fillId="13" borderId="57" xfId="3" applyNumberFormat="1" applyFont="1" applyFill="1" applyBorder="1" applyAlignment="1" applyProtection="1">
      <alignment horizontal="center"/>
      <protection hidden="1"/>
    </xf>
    <xf numFmtId="49" fontId="15" fillId="13" borderId="66" xfId="4" applyNumberFormat="1" applyFont="1" applyFill="1" applyBorder="1" applyAlignment="1" applyProtection="1">
      <alignment horizontal="left" vertical="center"/>
      <protection hidden="1"/>
    </xf>
    <xf numFmtId="49" fontId="15" fillId="13" borderId="67" xfId="4" applyNumberFormat="1" applyFont="1" applyFill="1" applyBorder="1" applyAlignment="1" applyProtection="1">
      <alignment horizontal="left" vertical="center"/>
      <protection hidden="1"/>
    </xf>
    <xf numFmtId="0" fontId="45" fillId="9" borderId="0" xfId="0" applyFont="1" applyFill="1" applyBorder="1" applyAlignment="1" applyProtection="1">
      <alignment vertical="top"/>
      <protection locked="0" hidden="1"/>
    </xf>
    <xf numFmtId="0" fontId="46" fillId="0" borderId="0" xfId="0" applyFont="1" applyFill="1" applyBorder="1" applyAlignment="1">
      <alignment horizontal="left" vertical="top" wrapText="1"/>
    </xf>
    <xf numFmtId="3" fontId="4" fillId="9" borderId="1" xfId="0" applyNumberFormat="1" applyFont="1" applyFill="1" applyBorder="1" applyAlignment="1" applyProtection="1">
      <alignment vertical="center"/>
      <protection locked="0" hidden="1"/>
    </xf>
    <xf numFmtId="3" fontId="5" fillId="3" borderId="1" xfId="0" applyNumberFormat="1" applyFont="1" applyFill="1" applyBorder="1" applyAlignment="1" applyProtection="1">
      <alignment vertical="center"/>
      <protection hidden="1"/>
    </xf>
    <xf numFmtId="3" fontId="6" fillId="4" borderId="1" xfId="0" applyNumberFormat="1" applyFont="1" applyFill="1" applyBorder="1" applyAlignment="1" applyProtection="1">
      <alignment vertical="center"/>
      <protection hidden="1"/>
    </xf>
    <xf numFmtId="3" fontId="38" fillId="0" borderId="1" xfId="0" applyNumberFormat="1" applyFont="1" applyFill="1" applyBorder="1" applyAlignment="1" applyProtection="1">
      <alignment vertical="center"/>
      <protection hidden="1"/>
    </xf>
    <xf numFmtId="3" fontId="6" fillId="5" borderId="1" xfId="0" applyNumberFormat="1" applyFont="1" applyFill="1" applyBorder="1" applyAlignment="1" applyProtection="1">
      <alignment vertical="center"/>
      <protection hidden="1"/>
    </xf>
    <xf numFmtId="3" fontId="6" fillId="5" borderId="5" xfId="0" applyNumberFormat="1" applyFont="1" applyFill="1" applyBorder="1" applyAlignment="1" applyProtection="1">
      <alignment vertical="center"/>
      <protection hidden="1"/>
    </xf>
    <xf numFmtId="3" fontId="6" fillId="5" borderId="2" xfId="0" applyNumberFormat="1" applyFont="1" applyFill="1" applyBorder="1" applyAlignment="1" applyProtection="1">
      <alignment vertical="center"/>
      <protection hidden="1"/>
    </xf>
    <xf numFmtId="3" fontId="6" fillId="6" borderId="1" xfId="0" applyNumberFormat="1" applyFont="1" applyFill="1" applyBorder="1" applyAlignment="1" applyProtection="1">
      <alignment vertical="center"/>
      <protection hidden="1"/>
    </xf>
    <xf numFmtId="3" fontId="5" fillId="0" borderId="1" xfId="0" applyNumberFormat="1" applyFont="1" applyFill="1" applyBorder="1" applyAlignment="1" applyProtection="1">
      <alignment vertical="center"/>
      <protection hidden="1"/>
    </xf>
    <xf numFmtId="3" fontId="4" fillId="0" borderId="3" xfId="0" applyNumberFormat="1" applyFont="1" applyFill="1" applyBorder="1" applyAlignment="1" applyProtection="1">
      <alignment horizontal="center" vertical="center"/>
      <protection hidden="1"/>
    </xf>
    <xf numFmtId="3" fontId="4" fillId="0" borderId="14" xfId="0" applyNumberFormat="1" applyFont="1" applyFill="1" applyBorder="1" applyAlignment="1" applyProtection="1">
      <alignment horizontal="center" vertical="center"/>
      <protection hidden="1"/>
    </xf>
    <xf numFmtId="3" fontId="4" fillId="0" borderId="14" xfId="0" applyNumberFormat="1" applyFont="1" applyFill="1" applyBorder="1" applyAlignment="1" applyProtection="1">
      <alignment vertical="center"/>
      <protection hidden="1"/>
    </xf>
    <xf numFmtId="3" fontId="4" fillId="0" borderId="15" xfId="0" applyNumberFormat="1" applyFont="1" applyFill="1" applyBorder="1" applyAlignment="1" applyProtection="1">
      <alignment horizontal="center" vertical="center"/>
      <protection hidden="1"/>
    </xf>
    <xf numFmtId="3" fontId="4" fillId="0" borderId="0" xfId="0" applyNumberFormat="1" applyFont="1" applyFill="1" applyBorder="1" applyAlignment="1" applyProtection="1">
      <alignment horizontal="center" vertical="center"/>
      <protection hidden="1"/>
    </xf>
    <xf numFmtId="3" fontId="4" fillId="0" borderId="0" xfId="0" applyNumberFormat="1" applyFont="1" applyFill="1" applyBorder="1" applyAlignment="1" applyProtection="1">
      <alignment vertical="center"/>
      <protection hidden="1"/>
    </xf>
    <xf numFmtId="3" fontId="38" fillId="13" borderId="8" xfId="0" applyNumberFormat="1" applyFont="1" applyFill="1" applyBorder="1" applyAlignment="1" applyProtection="1">
      <alignment horizontal="left" vertical="center"/>
      <protection hidden="1"/>
    </xf>
    <xf numFmtId="3" fontId="38" fillId="13" borderId="1" xfId="0" applyNumberFormat="1" applyFont="1" applyFill="1" applyBorder="1" applyAlignment="1" applyProtection="1">
      <alignment vertical="center"/>
      <protection hidden="1"/>
    </xf>
    <xf numFmtId="3" fontId="39" fillId="13" borderId="8" xfId="0" applyNumberFormat="1" applyFont="1" applyFill="1" applyBorder="1" applyAlignment="1" applyProtection="1">
      <alignment horizontal="left" vertical="center"/>
      <protection hidden="1"/>
    </xf>
    <xf numFmtId="3" fontId="39" fillId="13" borderId="1" xfId="0" applyNumberFormat="1" applyFont="1" applyFill="1" applyBorder="1" applyAlignment="1" applyProtection="1">
      <alignment vertical="center"/>
      <protection hidden="1"/>
    </xf>
    <xf numFmtId="3" fontId="39" fillId="14" borderId="8" xfId="0" applyNumberFormat="1" applyFont="1" applyFill="1" applyBorder="1" applyAlignment="1" applyProtection="1">
      <alignment horizontal="left" vertical="center"/>
      <protection hidden="1"/>
    </xf>
    <xf numFmtId="3" fontId="39" fillId="14" borderId="1" xfId="0" applyNumberFormat="1" applyFont="1" applyFill="1" applyBorder="1" applyAlignment="1" applyProtection="1">
      <alignment vertical="center"/>
      <protection hidden="1"/>
    </xf>
    <xf numFmtId="3" fontId="3" fillId="7" borderId="8" xfId="0" applyNumberFormat="1" applyFont="1" applyFill="1" applyBorder="1" applyAlignment="1" applyProtection="1">
      <alignment horizontal="left" vertical="center"/>
      <protection hidden="1"/>
    </xf>
    <xf numFmtId="3" fontId="39" fillId="7" borderId="1" xfId="0" applyNumberFormat="1" applyFont="1" applyFill="1" applyBorder="1" applyAlignment="1" applyProtection="1">
      <alignment vertical="center"/>
      <protection hidden="1"/>
    </xf>
    <xf numFmtId="3" fontId="2" fillId="0" borderId="0" xfId="0" applyNumberFormat="1" applyFont="1" applyFill="1" applyBorder="1" applyAlignment="1" applyProtection="1">
      <alignment vertical="center"/>
      <protection hidden="1"/>
    </xf>
    <xf numFmtId="3" fontId="3" fillId="4" borderId="6" xfId="0" applyNumberFormat="1" applyFont="1" applyFill="1" applyBorder="1" applyAlignment="1" applyProtection="1">
      <alignment horizontal="right" vertical="center"/>
      <protection hidden="1"/>
    </xf>
    <xf numFmtId="3" fontId="3" fillId="4" borderId="1" xfId="0" applyNumberFormat="1" applyFont="1" applyFill="1" applyBorder="1" applyAlignment="1" applyProtection="1">
      <alignment horizontal="right" vertical="center"/>
      <protection hidden="1"/>
    </xf>
    <xf numFmtId="3" fontId="6" fillId="13" borderId="6" xfId="0" applyNumberFormat="1" applyFont="1" applyFill="1" applyBorder="1" applyAlignment="1" applyProtection="1">
      <alignment vertical="center"/>
      <protection hidden="1"/>
    </xf>
    <xf numFmtId="3" fontId="6" fillId="13" borderId="1" xfId="0" applyNumberFormat="1" applyFont="1" applyFill="1" applyBorder="1" applyAlignment="1" applyProtection="1">
      <alignment vertical="center"/>
      <protection hidden="1"/>
    </xf>
    <xf numFmtId="3" fontId="3" fillId="14" borderId="8" xfId="0" applyNumberFormat="1" applyFont="1" applyFill="1" applyBorder="1" applyAlignment="1" applyProtection="1">
      <alignment horizontal="left" vertical="center"/>
      <protection hidden="1"/>
    </xf>
    <xf numFmtId="3" fontId="3" fillId="14" borderId="1" xfId="0" applyNumberFormat="1" applyFont="1" applyFill="1" applyBorder="1" applyAlignment="1" applyProtection="1">
      <alignment vertical="center"/>
      <protection hidden="1"/>
    </xf>
    <xf numFmtId="3" fontId="41" fillId="16" borderId="8" xfId="0" applyNumberFormat="1" applyFont="1" applyFill="1" applyBorder="1" applyAlignment="1" applyProtection="1">
      <alignment horizontal="left" vertical="center"/>
      <protection hidden="1"/>
    </xf>
    <xf numFmtId="3" fontId="41" fillId="16" borderId="1" xfId="0" applyNumberFormat="1" applyFont="1" applyFill="1" applyBorder="1" applyAlignment="1" applyProtection="1">
      <alignment vertical="center"/>
      <protection hidden="1"/>
    </xf>
    <xf numFmtId="3" fontId="16" fillId="9" borderId="1" xfId="0" applyNumberFormat="1" applyFont="1" applyFill="1" applyBorder="1" applyAlignment="1" applyProtection="1">
      <alignment horizontal="right" vertical="center"/>
      <protection locked="0" hidden="1"/>
    </xf>
    <xf numFmtId="3" fontId="2" fillId="0" borderId="0" xfId="0" applyNumberFormat="1" applyFont="1" applyAlignment="1" applyProtection="1">
      <alignment horizontal="right"/>
      <protection hidden="1"/>
    </xf>
    <xf numFmtId="3" fontId="14" fillId="14" borderId="1" xfId="0" applyNumberFormat="1" applyFont="1" applyFill="1" applyBorder="1" applyAlignment="1" applyProtection="1">
      <alignment vertical="center"/>
      <protection hidden="1"/>
    </xf>
    <xf numFmtId="0" fontId="1" fillId="0" borderId="0" xfId="3" applyFont="1" applyFill="1" applyProtection="1">
      <protection hidden="1"/>
    </xf>
    <xf numFmtId="0" fontId="1" fillId="0" borderId="0" xfId="3" applyFont="1" applyFill="1" applyAlignment="1" applyProtection="1">
      <alignment horizontal="right"/>
      <protection hidden="1"/>
    </xf>
    <xf numFmtId="0" fontId="1" fillId="0" borderId="0" xfId="3" applyFont="1" applyProtection="1">
      <protection hidden="1"/>
    </xf>
    <xf numFmtId="0" fontId="1" fillId="0" borderId="0" xfId="0" quotePrefix="1" applyFont="1" applyAlignment="1" applyProtection="1">
      <alignment horizontal="left"/>
      <protection hidden="1"/>
    </xf>
    <xf numFmtId="0" fontId="34" fillId="11" borderId="41" xfId="0" applyFont="1" applyFill="1" applyBorder="1" applyAlignment="1" applyProtection="1">
      <alignment horizontal="center" vertical="top" wrapText="1"/>
      <protection hidden="1"/>
    </xf>
    <xf numFmtId="0" fontId="34" fillId="11" borderId="42" xfId="0" applyFont="1" applyFill="1" applyBorder="1" applyAlignment="1" applyProtection="1">
      <alignment horizontal="center" vertical="top" wrapText="1"/>
      <protection hidden="1"/>
    </xf>
    <xf numFmtId="0" fontId="44" fillId="0" borderId="0" xfId="2" applyFont="1" applyAlignment="1" applyProtection="1">
      <alignment horizontal="center" vertical="top" wrapText="1"/>
      <protection hidden="1"/>
    </xf>
    <xf numFmtId="0" fontId="33" fillId="4" borderId="43" xfId="0" applyFont="1" applyFill="1" applyBorder="1" applyAlignment="1" applyProtection="1">
      <alignment horizontal="center"/>
      <protection hidden="1"/>
    </xf>
    <xf numFmtId="0" fontId="33" fillId="4" borderId="44" xfId="0" applyFont="1" applyFill="1" applyBorder="1" applyAlignment="1" applyProtection="1">
      <alignment horizontal="center"/>
      <protection hidden="1"/>
    </xf>
    <xf numFmtId="0" fontId="34" fillId="11" borderId="41" xfId="0" applyFont="1" applyFill="1" applyBorder="1" applyAlignment="1" applyProtection="1">
      <alignment horizontal="center" vertical="top"/>
      <protection hidden="1"/>
    </xf>
    <xf numFmtId="0" fontId="34" fillId="11" borderId="42" xfId="0" applyFont="1" applyFill="1" applyBorder="1" applyAlignment="1" applyProtection="1">
      <alignment horizontal="center" vertical="top"/>
      <protection hidden="1"/>
    </xf>
    <xf numFmtId="0" fontId="18" fillId="12" borderId="41" xfId="0" applyFont="1" applyFill="1" applyBorder="1" applyAlignment="1" applyProtection="1">
      <alignment horizontal="center" vertical="center" wrapText="1"/>
      <protection hidden="1"/>
    </xf>
    <xf numFmtId="0" fontId="18" fillId="12" borderId="42" xfId="0" applyFont="1" applyFill="1" applyBorder="1" applyAlignment="1" applyProtection="1">
      <alignment horizontal="center" vertical="center" wrapText="1"/>
      <protection hidden="1"/>
    </xf>
    <xf numFmtId="0" fontId="29" fillId="8" borderId="45" xfId="0" applyFont="1" applyFill="1" applyBorder="1" applyAlignment="1" applyProtection="1">
      <alignment horizontal="center"/>
      <protection hidden="1"/>
    </xf>
    <xf numFmtId="0" fontId="29" fillId="8" borderId="46" xfId="0" applyFont="1" applyFill="1" applyBorder="1" applyAlignment="1" applyProtection="1">
      <alignment horizontal="center"/>
      <protection hidden="1"/>
    </xf>
    <xf numFmtId="0" fontId="31" fillId="4" borderId="47" xfId="0" applyFont="1" applyFill="1" applyBorder="1" applyAlignment="1" applyProtection="1">
      <alignment horizontal="center"/>
      <protection hidden="1"/>
    </xf>
    <xf numFmtId="0" fontId="31" fillId="4" borderId="48" xfId="0" applyFont="1" applyFill="1" applyBorder="1" applyAlignment="1" applyProtection="1">
      <alignment horizontal="center"/>
      <protection hidden="1"/>
    </xf>
    <xf numFmtId="0" fontId="32" fillId="4" borderId="47" xfId="0" applyFont="1" applyFill="1" applyBorder="1" applyAlignment="1" applyProtection="1">
      <alignment horizontal="center"/>
      <protection hidden="1"/>
    </xf>
    <xf numFmtId="0" fontId="32" fillId="4" borderId="48" xfId="0" applyFont="1" applyFill="1" applyBorder="1" applyAlignment="1" applyProtection="1">
      <alignment horizontal="center"/>
      <protection hidden="1"/>
    </xf>
    <xf numFmtId="0" fontId="33" fillId="4" borderId="47" xfId="0" applyFont="1" applyFill="1" applyBorder="1" applyAlignment="1" applyProtection="1">
      <alignment horizontal="center"/>
      <protection hidden="1"/>
    </xf>
    <xf numFmtId="0" fontId="33" fillId="4" borderId="48" xfId="0" applyFont="1" applyFill="1" applyBorder="1" applyAlignment="1" applyProtection="1">
      <alignment horizontal="center"/>
      <protection hidden="1"/>
    </xf>
    <xf numFmtId="165" fontId="3" fillId="2" borderId="5" xfId="0" applyNumberFormat="1" applyFont="1" applyFill="1" applyBorder="1" applyAlignment="1" applyProtection="1">
      <alignment horizontal="center" vertical="center" textRotation="90"/>
      <protection hidden="1"/>
    </xf>
    <xf numFmtId="165" fontId="3" fillId="2" borderId="49" xfId="0" applyNumberFormat="1" applyFont="1" applyFill="1" applyBorder="1" applyAlignment="1" applyProtection="1">
      <alignment horizontal="center" vertical="center" textRotation="90"/>
      <protection hidden="1"/>
    </xf>
    <xf numFmtId="165" fontId="3" fillId="2" borderId="2" xfId="0" applyNumberFormat="1" applyFont="1" applyFill="1" applyBorder="1" applyAlignment="1" applyProtection="1">
      <alignment horizontal="center" vertical="center" textRotation="90"/>
      <protection hidden="1"/>
    </xf>
    <xf numFmtId="0" fontId="3" fillId="13" borderId="1" xfId="0" applyFont="1" applyFill="1" applyBorder="1" applyAlignment="1" applyProtection="1">
      <alignment horizontal="right" vertical="center" textRotation="90"/>
      <protection hidden="1"/>
    </xf>
    <xf numFmtId="165" fontId="17" fillId="10" borderId="50" xfId="0" applyNumberFormat="1" applyFont="1" applyFill="1" applyBorder="1" applyAlignment="1" applyProtection="1">
      <alignment horizontal="left" vertical="center"/>
      <protection hidden="1"/>
    </xf>
    <xf numFmtId="165" fontId="17" fillId="10" borderId="31" xfId="0" applyNumberFormat="1" applyFont="1" applyFill="1" applyBorder="1" applyAlignment="1" applyProtection="1">
      <alignment horizontal="left" vertical="center"/>
      <protection hidden="1"/>
    </xf>
    <xf numFmtId="165" fontId="17" fillId="10" borderId="51" xfId="0" applyNumberFormat="1" applyFont="1" applyFill="1" applyBorder="1" applyAlignment="1" applyProtection="1">
      <alignment horizontal="left" vertical="center"/>
      <protection hidden="1"/>
    </xf>
    <xf numFmtId="165" fontId="17" fillId="10" borderId="52" xfId="0" applyNumberFormat="1" applyFont="1" applyFill="1" applyBorder="1" applyAlignment="1" applyProtection="1">
      <alignment horizontal="left" vertical="center"/>
      <protection hidden="1"/>
    </xf>
    <xf numFmtId="165" fontId="17" fillId="10" borderId="27" xfId="0" applyNumberFormat="1" applyFont="1" applyFill="1" applyBorder="1" applyAlignment="1" applyProtection="1">
      <alignment horizontal="left" vertical="center"/>
      <protection hidden="1"/>
    </xf>
    <xf numFmtId="165" fontId="17" fillId="10" borderId="53" xfId="0" applyNumberFormat="1" applyFont="1" applyFill="1" applyBorder="1" applyAlignment="1" applyProtection="1">
      <alignment horizontal="left" vertical="center"/>
      <protection hidden="1"/>
    </xf>
    <xf numFmtId="165" fontId="3" fillId="4" borderId="6" xfId="0" applyNumberFormat="1" applyFont="1" applyFill="1" applyBorder="1" applyAlignment="1" applyProtection="1">
      <alignment horizontal="left" vertical="center"/>
      <protection hidden="1"/>
    </xf>
    <xf numFmtId="165" fontId="3" fillId="4" borderId="7" xfId="0" applyNumberFormat="1" applyFont="1" applyFill="1" applyBorder="1" applyAlignment="1" applyProtection="1">
      <alignment horizontal="left" vertical="center"/>
      <protection hidden="1"/>
    </xf>
    <xf numFmtId="165" fontId="3" fillId="4" borderId="8" xfId="0" applyNumberFormat="1" applyFont="1" applyFill="1" applyBorder="1" applyAlignment="1" applyProtection="1">
      <alignment horizontal="left" vertical="center"/>
      <protection hidden="1"/>
    </xf>
    <xf numFmtId="0" fontId="8" fillId="0" borderId="0" xfId="0" applyFont="1" applyAlignment="1" applyProtection="1">
      <alignment horizontal="center" vertical="top"/>
      <protection hidden="1"/>
    </xf>
    <xf numFmtId="3" fontId="4" fillId="0" borderId="6" xfId="0" applyNumberFormat="1" applyFont="1" applyFill="1" applyBorder="1" applyAlignment="1" applyProtection="1">
      <alignment horizontal="center" vertical="center"/>
      <protection hidden="1"/>
    </xf>
    <xf numFmtId="3" fontId="4" fillId="0" borderId="7" xfId="0" applyNumberFormat="1" applyFont="1" applyFill="1" applyBorder="1" applyAlignment="1" applyProtection="1">
      <alignment horizontal="center" vertical="center"/>
      <protection hidden="1"/>
    </xf>
    <xf numFmtId="3" fontId="4" fillId="0" borderId="8" xfId="0" applyNumberFormat="1" applyFont="1" applyFill="1" applyBorder="1" applyAlignment="1" applyProtection="1">
      <alignment horizontal="center" vertical="center"/>
      <protection hidden="1"/>
    </xf>
    <xf numFmtId="3" fontId="17" fillId="10" borderId="50" xfId="0" applyNumberFormat="1" applyFont="1" applyFill="1" applyBorder="1" applyAlignment="1" applyProtection="1">
      <alignment horizontal="right" vertical="center"/>
      <protection hidden="1"/>
    </xf>
    <xf numFmtId="3" fontId="17" fillId="10" borderId="51" xfId="0" applyNumberFormat="1" applyFont="1" applyFill="1" applyBorder="1" applyAlignment="1" applyProtection="1">
      <alignment horizontal="right" vertical="center"/>
      <protection hidden="1"/>
    </xf>
    <xf numFmtId="3" fontId="17" fillId="10" borderId="52" xfId="0" applyNumberFormat="1" applyFont="1" applyFill="1" applyBorder="1" applyAlignment="1" applyProtection="1">
      <alignment horizontal="right" vertical="center"/>
      <protection hidden="1"/>
    </xf>
    <xf numFmtId="3" fontId="17" fillId="10" borderId="53" xfId="0" applyNumberFormat="1" applyFont="1" applyFill="1" applyBorder="1" applyAlignment="1" applyProtection="1">
      <alignment horizontal="right" vertical="center"/>
      <protection hidden="1"/>
    </xf>
    <xf numFmtId="0" fontId="28" fillId="0" borderId="52" xfId="3" applyFont="1" applyFill="1" applyBorder="1" applyAlignment="1" applyProtection="1">
      <alignment horizontal="right"/>
      <protection hidden="1"/>
    </xf>
    <xf numFmtId="0" fontId="28" fillId="0" borderId="27" xfId="4" applyFont="1" applyBorder="1" applyAlignment="1" applyProtection="1">
      <protection hidden="1"/>
    </xf>
    <xf numFmtId="0" fontId="28" fillId="0" borderId="28" xfId="4" applyFont="1" applyBorder="1" applyAlignment="1" applyProtection="1">
      <protection hidden="1"/>
    </xf>
    <xf numFmtId="165" fontId="8" fillId="6" borderId="54" xfId="4" applyNumberFormat="1" applyFont="1" applyFill="1" applyBorder="1" applyAlignment="1" applyProtection="1">
      <alignment horizontal="center" vertical="top"/>
      <protection hidden="1"/>
    </xf>
    <xf numFmtId="165" fontId="17" fillId="10" borderId="24" xfId="4" applyNumberFormat="1" applyFont="1" applyFill="1" applyBorder="1" applyAlignment="1" applyProtection="1">
      <alignment vertical="center"/>
      <protection hidden="1"/>
    </xf>
    <xf numFmtId="0" fontId="23" fillId="0" borderId="24" xfId="4" applyFont="1" applyBorder="1" applyAlignment="1" applyProtection="1">
      <alignment vertical="center"/>
      <protection hidden="1"/>
    </xf>
    <xf numFmtId="0" fontId="21" fillId="4" borderId="18" xfId="3" applyFont="1" applyFill="1" applyBorder="1" applyAlignment="1" applyProtection="1">
      <alignment horizontal="center" vertical="center"/>
      <protection hidden="1"/>
    </xf>
    <xf numFmtId="0" fontId="15" fillId="0" borderId="22" xfId="3" applyFont="1" applyFill="1" applyBorder="1" applyAlignment="1" applyProtection="1">
      <alignment horizontal="center"/>
      <protection hidden="1"/>
    </xf>
    <xf numFmtId="0" fontId="15" fillId="0" borderId="18" xfId="3" applyFont="1" applyFill="1" applyBorder="1" applyAlignment="1" applyProtection="1">
      <alignment horizontal="center"/>
      <protection hidden="1"/>
    </xf>
    <xf numFmtId="0" fontId="15" fillId="0" borderId="20" xfId="3" applyFont="1" applyFill="1" applyBorder="1" applyAlignment="1" applyProtection="1">
      <alignment horizontal="center"/>
      <protection hidden="1"/>
    </xf>
    <xf numFmtId="0" fontId="26" fillId="4" borderId="6" xfId="4" applyFont="1" applyFill="1" applyBorder="1" applyAlignment="1" applyProtection="1">
      <alignment horizontal="center" vertical="center" wrapText="1"/>
      <protection hidden="1"/>
    </xf>
    <xf numFmtId="0" fontId="26" fillId="4" borderId="7" xfId="4" applyFont="1" applyFill="1" applyBorder="1" applyAlignment="1" applyProtection="1">
      <alignment horizontal="center" vertical="center" wrapText="1"/>
      <protection hidden="1"/>
    </xf>
    <xf numFmtId="0" fontId="26" fillId="4" borderId="8" xfId="4" applyFont="1" applyFill="1" applyBorder="1" applyAlignment="1" applyProtection="1">
      <alignment horizontal="center" vertical="center" wrapText="1"/>
      <protection hidden="1"/>
    </xf>
    <xf numFmtId="165" fontId="8" fillId="6" borderId="12" xfId="4" applyNumberFormat="1" applyFont="1" applyFill="1" applyBorder="1" applyAlignment="1" applyProtection="1">
      <alignment horizontal="center" vertical="top"/>
      <protection hidden="1"/>
    </xf>
    <xf numFmtId="0" fontId="28" fillId="0" borderId="27" xfId="3" applyFont="1" applyFill="1" applyBorder="1" applyAlignment="1" applyProtection="1">
      <alignment horizontal="right"/>
      <protection hidden="1"/>
    </xf>
    <xf numFmtId="165" fontId="17" fillId="10" borderId="25" xfId="4" applyNumberFormat="1" applyFont="1" applyFill="1" applyBorder="1" applyAlignment="1" applyProtection="1">
      <alignment horizontal="left" vertical="center"/>
      <protection hidden="1"/>
    </xf>
    <xf numFmtId="165" fontId="17" fillId="10" borderId="55" xfId="4" applyNumberFormat="1" applyFont="1" applyFill="1" applyBorder="1" applyAlignment="1" applyProtection="1">
      <alignment horizontal="left" vertical="center"/>
      <protection hidden="1"/>
    </xf>
    <xf numFmtId="165" fontId="17" fillId="10" borderId="56" xfId="4" applyNumberFormat="1" applyFont="1" applyFill="1" applyBorder="1" applyAlignment="1" applyProtection="1">
      <alignment horizontal="left" vertical="center"/>
      <protection hidden="1"/>
    </xf>
    <xf numFmtId="0" fontId="1" fillId="0" borderId="0" xfId="3" applyFont="1" applyAlignment="1" applyProtection="1">
      <alignment horizontal="left" wrapText="1" indent="2"/>
      <protection hidden="1"/>
    </xf>
    <xf numFmtId="0" fontId="2" fillId="0" borderId="0" xfId="3" applyFont="1" applyAlignment="1" applyProtection="1">
      <alignment horizontal="left" wrapText="1" indent="2"/>
      <protection hidden="1"/>
    </xf>
    <xf numFmtId="0" fontId="26" fillId="4" borderId="57" xfId="4" applyFont="1" applyFill="1" applyBorder="1" applyAlignment="1" applyProtection="1">
      <alignment horizontal="center" vertical="center" wrapText="1"/>
      <protection hidden="1"/>
    </xf>
    <xf numFmtId="165" fontId="8" fillId="6" borderId="0" xfId="4" applyNumberFormat="1" applyFont="1" applyFill="1" applyBorder="1" applyAlignment="1" applyProtection="1">
      <alignment horizontal="center" vertical="top"/>
      <protection hidden="1"/>
    </xf>
    <xf numFmtId="0" fontId="1" fillId="0" borderId="0" xfId="4" applyFont="1" applyBorder="1" applyAlignment="1" applyProtection="1">
      <alignment horizontal="center"/>
      <protection hidden="1"/>
    </xf>
    <xf numFmtId="0" fontId="2" fillId="0" borderId="0" xfId="4" applyFont="1" applyBorder="1" applyAlignment="1" applyProtection="1">
      <alignment horizontal="center"/>
      <protection hidden="1"/>
    </xf>
    <xf numFmtId="3" fontId="17" fillId="10" borderId="62" xfId="4" applyNumberFormat="1" applyFont="1" applyFill="1" applyBorder="1" applyAlignment="1" applyProtection="1">
      <alignment horizontal="right" vertical="center"/>
      <protection hidden="1"/>
    </xf>
    <xf numFmtId="165" fontId="17" fillId="10" borderId="62" xfId="4" applyNumberFormat="1" applyFont="1" applyFill="1" applyBorder="1" applyAlignment="1" applyProtection="1">
      <alignment horizontal="left" vertical="center"/>
      <protection hidden="1"/>
    </xf>
    <xf numFmtId="49" fontId="15" fillId="13" borderId="57" xfId="4" applyNumberFormat="1" applyFont="1" applyFill="1" applyBorder="1" applyAlignment="1" applyProtection="1">
      <alignment horizontal="center" vertical="center" wrapText="1"/>
      <protection hidden="1"/>
    </xf>
    <xf numFmtId="49" fontId="15" fillId="13" borderId="57" xfId="4" applyNumberFormat="1" applyFont="1" applyFill="1" applyBorder="1" applyAlignment="1" applyProtection="1">
      <alignment horizontal="center" vertical="center"/>
      <protection hidden="1"/>
    </xf>
    <xf numFmtId="49" fontId="15" fillId="13" borderId="57" xfId="4" applyNumberFormat="1" applyFont="1" applyFill="1" applyBorder="1" applyAlignment="1" applyProtection="1">
      <alignment horizontal="right" vertical="center"/>
      <protection hidden="1"/>
    </xf>
    <xf numFmtId="49" fontId="15" fillId="13" borderId="57" xfId="4" applyNumberFormat="1" applyFont="1" applyFill="1" applyBorder="1" applyAlignment="1" applyProtection="1">
      <alignment horizontal="left" vertical="center"/>
      <protection hidden="1"/>
    </xf>
    <xf numFmtId="0" fontId="28" fillId="0" borderId="58" xfId="3" applyFont="1" applyFill="1" applyBorder="1" applyAlignment="1" applyProtection="1">
      <alignment horizontal="right"/>
      <protection hidden="1"/>
    </xf>
    <xf numFmtId="0" fontId="28" fillId="0" borderId="59" xfId="3" applyFont="1" applyFill="1" applyBorder="1" applyAlignment="1" applyProtection="1">
      <alignment horizontal="right"/>
      <protection hidden="1"/>
    </xf>
    <xf numFmtId="3" fontId="39" fillId="13" borderId="60" xfId="3" applyNumberFormat="1" applyFont="1" applyFill="1" applyBorder="1" applyAlignment="1" applyProtection="1">
      <alignment horizontal="right"/>
      <protection hidden="1"/>
    </xf>
    <xf numFmtId="3" fontId="39" fillId="13" borderId="61" xfId="3" applyNumberFormat="1" applyFont="1" applyFill="1" applyBorder="1" applyAlignment="1" applyProtection="1">
      <alignment horizontal="right"/>
      <protection hidden="1"/>
    </xf>
    <xf numFmtId="0" fontId="2" fillId="0" borderId="0" xfId="3" applyFont="1" applyAlignment="1" applyProtection="1">
      <alignment horizontal="left" indent="2"/>
      <protection hidden="1"/>
    </xf>
    <xf numFmtId="165" fontId="39" fillId="13" borderId="57" xfId="0" applyNumberFormat="1" applyFont="1" applyFill="1" applyBorder="1" applyAlignment="1" applyProtection="1">
      <alignment horizontal="left" vertical="center"/>
      <protection hidden="1"/>
    </xf>
    <xf numFmtId="49" fontId="4" fillId="9" borderId="60" xfId="3" applyNumberFormat="1" applyFont="1" applyFill="1" applyBorder="1" applyAlignment="1" applyProtection="1">
      <alignment horizontal="left"/>
      <protection locked="0" hidden="1"/>
    </xf>
    <xf numFmtId="0" fontId="0" fillId="0" borderId="61" xfId="0" applyBorder="1" applyAlignment="1">
      <alignment horizontal="left"/>
    </xf>
    <xf numFmtId="49" fontId="15" fillId="13" borderId="60" xfId="4" applyNumberFormat="1" applyFont="1" applyFill="1" applyBorder="1" applyAlignment="1" applyProtection="1">
      <alignment horizontal="left" vertical="center"/>
      <protection hidden="1"/>
    </xf>
    <xf numFmtId="0" fontId="1" fillId="0" borderId="0" xfId="3" applyFont="1" applyAlignment="1" applyProtection="1">
      <alignment horizontal="left" indent="2"/>
      <protection hidden="1"/>
    </xf>
    <xf numFmtId="165" fontId="17" fillId="10" borderId="63" xfId="4" applyNumberFormat="1" applyFont="1" applyFill="1" applyBorder="1" applyAlignment="1" applyProtection="1">
      <alignment horizontal="left" vertical="center"/>
      <protection hidden="1"/>
    </xf>
    <xf numFmtId="165" fontId="17" fillId="10" borderId="65" xfId="4" applyNumberFormat="1" applyFont="1" applyFill="1" applyBorder="1" applyAlignment="1" applyProtection="1">
      <alignment horizontal="left" vertical="center"/>
      <protection hidden="1"/>
    </xf>
    <xf numFmtId="165" fontId="17" fillId="10" borderId="64" xfId="4" applyNumberFormat="1" applyFont="1" applyFill="1" applyBorder="1" applyAlignment="1" applyProtection="1">
      <alignment horizontal="left" vertical="center"/>
      <protection hidden="1"/>
    </xf>
    <xf numFmtId="3" fontId="17" fillId="10" borderId="63" xfId="4" applyNumberFormat="1" applyFont="1" applyFill="1" applyBorder="1" applyAlignment="1" applyProtection="1">
      <alignment horizontal="right" vertical="center"/>
      <protection hidden="1"/>
    </xf>
    <xf numFmtId="3" fontId="17" fillId="10" borderId="64" xfId="4" applyNumberFormat="1" applyFont="1" applyFill="1" applyBorder="1" applyAlignment="1" applyProtection="1">
      <alignment horizontal="right" vertical="center"/>
      <protection hidden="1"/>
    </xf>
  </cellXfs>
  <cellStyles count="6">
    <cellStyle name="Comma" xfId="1" builtinId="3"/>
    <cellStyle name="Hyperlink" xfId="2" builtinId="8"/>
    <cellStyle name="Normal" xfId="0" builtinId="0"/>
    <cellStyle name="Normal_PerksTax" xfId="3"/>
    <cellStyle name="Normal_TaxCalc_2006" xfId="4"/>
    <cellStyle name="Percent" xfId="5" builtinId="5"/>
  </cellStyles>
  <dxfs count="14">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8"/>
        <color theme="0"/>
        <name val="Franklin Gothic Book"/>
        <scheme val="none"/>
      </font>
      <fill>
        <patternFill patternType="none">
          <fgColor indexed="64"/>
          <bgColor indexed="65"/>
        </patternFill>
      </fill>
      <alignment horizontal="left" vertical="top" textRotation="0" wrapText="1" indent="0" justifyLastLine="0" shrinkToFit="0" readingOrder="0"/>
    </dxf>
    <dxf>
      <font>
        <condense val="0"/>
        <extend val="0"/>
        <color indexed="9"/>
      </font>
    </dxf>
    <dxf>
      <font>
        <condense val="0"/>
        <extend val="0"/>
        <color indexed="9"/>
      </font>
    </dxf>
    <dxf>
      <font>
        <condense val="0"/>
        <extend val="0"/>
        <color indexed="9"/>
      </font>
    </dxf>
    <dxf>
      <font>
        <condense val="0"/>
        <extend val="0"/>
        <color indexed="9"/>
      </font>
    </dxf>
    <dxf>
      <fill>
        <patternFill>
          <bgColor indexed="13"/>
        </patternFill>
      </fill>
    </dxf>
    <dxf>
      <fill>
        <patternFill>
          <bgColor indexed="13"/>
        </patternFill>
      </fill>
    </dxf>
    <dxf>
      <font>
        <strike val="0"/>
        <condense val="0"/>
        <extend val="0"/>
        <color indexed="9"/>
      </font>
    </dxf>
    <dxf>
      <font>
        <color rgb="FFC00000"/>
      </font>
    </dxf>
    <dxf>
      <font>
        <color rgb="FFC0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CostInflationTable" displayName="CostInflationTable" ref="A1:C37" totalsRowShown="0" headerRowDxfId="4" dataDxfId="3">
  <tableColumns count="3">
    <tableColumn id="1" name="Financial Year" dataDxfId="2"/>
    <tableColumn id="2" name="Yr begin" dataDxfId="1">
      <calculatedColumnFormula>LEFT(A2,4)</calculatedColumnFormula>
    </tableColumn>
    <tableColumn id="3" name="CI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3"/>
    <pageSetUpPr fitToPage="1"/>
  </sheetPr>
  <dimension ref="A1:C380"/>
  <sheetViews>
    <sheetView showGridLines="0" topLeftCell="A37" zoomScaleNormal="100" workbookViewId="0">
      <selection activeCell="B56" sqref="B56"/>
    </sheetView>
  </sheetViews>
  <sheetFormatPr defaultColWidth="0" defaultRowHeight="0" customHeight="1" zeroHeight="1" x14ac:dyDescent="0.25"/>
  <cols>
    <col min="1" max="1" width="9.83203125" style="132" customWidth="1"/>
    <col min="2" max="2" width="113.1640625" style="132" customWidth="1"/>
    <col min="3" max="3" width="0.1640625" style="132" customWidth="1"/>
    <col min="4" max="16384" width="10.6640625" style="132" hidden="1"/>
  </cols>
  <sheetData>
    <row r="1" spans="1:2" s="116" customFormat="1" ht="16.5" x14ac:dyDescent="0.3">
      <c r="A1" s="301" t="s">
        <v>95</v>
      </c>
      <c r="B1" s="302"/>
    </row>
    <row r="2" spans="1:2" s="116" customFormat="1" ht="13.5" x14ac:dyDescent="0.25">
      <c r="A2" s="303" t="s">
        <v>435</v>
      </c>
      <c r="B2" s="304"/>
    </row>
    <row r="3" spans="1:2" s="116" customFormat="1" ht="13.5" x14ac:dyDescent="0.25">
      <c r="A3" s="305" t="s">
        <v>436</v>
      </c>
      <c r="B3" s="306"/>
    </row>
    <row r="4" spans="1:2" s="116" customFormat="1" ht="13.5" x14ac:dyDescent="0.25">
      <c r="A4" s="307" t="s">
        <v>364</v>
      </c>
      <c r="B4" s="308"/>
    </row>
    <row r="5" spans="1:2" s="116" customFormat="1" ht="13.5" x14ac:dyDescent="0.25">
      <c r="A5" s="295" t="s">
        <v>96</v>
      </c>
      <c r="B5" s="296"/>
    </row>
    <row r="6" spans="1:2" s="116" customFormat="1" ht="13.5" x14ac:dyDescent="0.25"/>
    <row r="7" spans="1:2" s="117" customFormat="1" ht="13.5" x14ac:dyDescent="0.25">
      <c r="A7" s="169" t="s">
        <v>349</v>
      </c>
      <c r="B7" s="251" t="s">
        <v>453</v>
      </c>
    </row>
    <row r="8" spans="1:2" s="117" customFormat="1" ht="13.5" x14ac:dyDescent="0.25">
      <c r="A8" s="169" t="s">
        <v>350</v>
      </c>
      <c r="B8" s="168">
        <v>30922</v>
      </c>
    </row>
    <row r="9" spans="1:2" s="117" customFormat="1" ht="13.5" x14ac:dyDescent="0.25">
      <c r="A9" s="118"/>
      <c r="B9" s="119"/>
    </row>
    <row r="10" spans="1:2" s="117" customFormat="1" ht="13.5" x14ac:dyDescent="0.25">
      <c r="A10" s="297" t="s">
        <v>97</v>
      </c>
      <c r="B10" s="298"/>
    </row>
    <row r="11" spans="1:2" s="117" customFormat="1" ht="13.5" x14ac:dyDescent="0.25">
      <c r="A11" s="118"/>
      <c r="B11" s="119"/>
    </row>
    <row r="12" spans="1:2" s="117" customFormat="1" ht="60" customHeight="1" x14ac:dyDescent="0.25">
      <c r="A12" s="299" t="s">
        <v>133</v>
      </c>
      <c r="B12" s="300"/>
    </row>
    <row r="13" spans="1:2" s="117" customFormat="1" ht="13.5" x14ac:dyDescent="0.25">
      <c r="A13" s="118"/>
      <c r="B13" s="119"/>
    </row>
    <row r="14" spans="1:2" s="118" customFormat="1" ht="13.5" x14ac:dyDescent="0.25">
      <c r="A14" s="292" t="s">
        <v>98</v>
      </c>
      <c r="B14" s="293"/>
    </row>
    <row r="15" spans="1:2" s="122" customFormat="1" ht="12.75" x14ac:dyDescent="0.25">
      <c r="A15" s="120"/>
      <c r="B15" s="121"/>
    </row>
    <row r="16" spans="1:2" s="122" customFormat="1" ht="12.75" x14ac:dyDescent="0.25">
      <c r="A16" s="123">
        <v>1</v>
      </c>
      <c r="B16" s="174" t="s">
        <v>99</v>
      </c>
    </row>
    <row r="17" spans="1:2" s="122" customFormat="1" ht="12.75" x14ac:dyDescent="0.25">
      <c r="A17" s="123">
        <v>2</v>
      </c>
      <c r="B17" s="174" t="s">
        <v>100</v>
      </c>
    </row>
    <row r="18" spans="1:2" s="122" customFormat="1" ht="12.75" x14ac:dyDescent="0.25">
      <c r="A18" s="123">
        <v>3</v>
      </c>
      <c r="B18" s="174" t="s">
        <v>101</v>
      </c>
    </row>
    <row r="19" spans="1:2" s="122" customFormat="1" ht="12.75" x14ac:dyDescent="0.25">
      <c r="A19" s="123">
        <v>4</v>
      </c>
      <c r="B19" s="175" t="s">
        <v>368</v>
      </c>
    </row>
    <row r="20" spans="1:2" s="122" customFormat="1" ht="25.5" x14ac:dyDescent="0.25">
      <c r="A20" s="123">
        <v>5</v>
      </c>
      <c r="B20" s="175" t="s">
        <v>430</v>
      </c>
    </row>
    <row r="21" spans="1:2" s="122" customFormat="1" ht="12.75" x14ac:dyDescent="0.25">
      <c r="A21" s="123">
        <v>6</v>
      </c>
      <c r="B21" s="174" t="s">
        <v>208</v>
      </c>
    </row>
    <row r="22" spans="1:2" s="122" customFormat="1" ht="25.5" x14ac:dyDescent="0.25">
      <c r="A22" s="123">
        <v>7</v>
      </c>
      <c r="B22" s="175" t="s">
        <v>262</v>
      </c>
    </row>
    <row r="23" spans="1:2" s="122" customFormat="1" ht="38.25" x14ac:dyDescent="0.25">
      <c r="A23" s="123">
        <v>8</v>
      </c>
      <c r="B23" s="175" t="s">
        <v>264</v>
      </c>
    </row>
    <row r="24" spans="1:2" s="122" customFormat="1" ht="54" customHeight="1" x14ac:dyDescent="0.25">
      <c r="A24" s="123">
        <v>9</v>
      </c>
      <c r="B24" s="174" t="s">
        <v>252</v>
      </c>
    </row>
    <row r="25" spans="1:2" s="122" customFormat="1" ht="12.75" x14ac:dyDescent="0.25">
      <c r="A25" s="123">
        <v>10</v>
      </c>
      <c r="B25" s="174" t="s">
        <v>209</v>
      </c>
    </row>
    <row r="26" spans="1:2" s="122" customFormat="1" ht="12.75" x14ac:dyDescent="0.25">
      <c r="A26" s="123">
        <v>11</v>
      </c>
      <c r="B26" s="175" t="s">
        <v>421</v>
      </c>
    </row>
    <row r="27" spans="1:2" s="122" customFormat="1" ht="12.75" x14ac:dyDescent="0.25">
      <c r="A27" s="123">
        <v>12</v>
      </c>
      <c r="B27" s="175" t="s">
        <v>420</v>
      </c>
    </row>
    <row r="28" spans="1:2" s="122" customFormat="1" ht="12.75" x14ac:dyDescent="0.25">
      <c r="A28" s="123">
        <v>13</v>
      </c>
      <c r="B28" s="175" t="s">
        <v>419</v>
      </c>
    </row>
    <row r="29" spans="1:2" s="122" customFormat="1" ht="12.75" x14ac:dyDescent="0.25">
      <c r="A29" s="123">
        <v>14</v>
      </c>
      <c r="B29" s="175" t="s">
        <v>418</v>
      </c>
    </row>
    <row r="30" spans="1:2" s="122" customFormat="1" ht="12.75" x14ac:dyDescent="0.25">
      <c r="A30" s="123">
        <v>15</v>
      </c>
      <c r="B30" s="175" t="s">
        <v>417</v>
      </c>
    </row>
    <row r="31" spans="1:2" s="122" customFormat="1" ht="38.25" x14ac:dyDescent="0.25">
      <c r="A31" s="123">
        <v>16</v>
      </c>
      <c r="B31" s="175" t="s">
        <v>416</v>
      </c>
    </row>
    <row r="32" spans="1:2" s="122" customFormat="1" ht="38.25" x14ac:dyDescent="0.25">
      <c r="A32" s="123">
        <v>17</v>
      </c>
      <c r="B32" s="175" t="s">
        <v>415</v>
      </c>
    </row>
    <row r="33" spans="1:2" s="122" customFormat="1" ht="12.75" x14ac:dyDescent="0.25">
      <c r="A33" s="123">
        <v>18</v>
      </c>
      <c r="B33" s="175" t="s">
        <v>266</v>
      </c>
    </row>
    <row r="34" spans="1:2" s="122" customFormat="1" ht="12.75" x14ac:dyDescent="0.25">
      <c r="A34" s="123">
        <v>19</v>
      </c>
      <c r="B34" s="174" t="s">
        <v>253</v>
      </c>
    </row>
    <row r="35" spans="1:2" s="122" customFormat="1" ht="25.5" x14ac:dyDescent="0.25">
      <c r="A35" s="123">
        <v>20</v>
      </c>
      <c r="B35" s="174" t="s">
        <v>210</v>
      </c>
    </row>
    <row r="36" spans="1:2" s="122" customFormat="1" ht="25.5" x14ac:dyDescent="0.25">
      <c r="A36" s="123">
        <v>21</v>
      </c>
      <c r="B36" s="175" t="s">
        <v>272</v>
      </c>
    </row>
    <row r="37" spans="1:2" s="122" customFormat="1" ht="12.75" x14ac:dyDescent="0.25">
      <c r="A37" s="123">
        <v>22</v>
      </c>
      <c r="B37" s="174" t="s">
        <v>211</v>
      </c>
    </row>
    <row r="38" spans="1:2" s="122" customFormat="1" ht="12.75" x14ac:dyDescent="0.25">
      <c r="A38" s="123">
        <v>23</v>
      </c>
      <c r="B38" s="174" t="s">
        <v>212</v>
      </c>
    </row>
    <row r="39" spans="1:2" s="122" customFormat="1" ht="12.75" x14ac:dyDescent="0.25">
      <c r="A39" s="123">
        <v>24</v>
      </c>
      <c r="B39" s="175" t="s">
        <v>426</v>
      </c>
    </row>
    <row r="40" spans="1:2" s="122" customFormat="1" ht="12.75" x14ac:dyDescent="0.25">
      <c r="A40" s="123">
        <v>25</v>
      </c>
      <c r="B40" s="175" t="s">
        <v>267</v>
      </c>
    </row>
    <row r="41" spans="1:2" s="122" customFormat="1" ht="12.75" x14ac:dyDescent="0.25">
      <c r="A41" s="123">
        <v>26</v>
      </c>
      <c r="B41" s="175" t="s">
        <v>427</v>
      </c>
    </row>
    <row r="42" spans="1:2" s="122" customFormat="1" ht="12.75" x14ac:dyDescent="0.25">
      <c r="A42" s="123">
        <v>27</v>
      </c>
      <c r="B42" s="174" t="s">
        <v>246</v>
      </c>
    </row>
    <row r="43" spans="1:2" s="122" customFormat="1" ht="25.5" x14ac:dyDescent="0.25">
      <c r="A43" s="123">
        <v>28</v>
      </c>
      <c r="B43" s="174" t="s">
        <v>247</v>
      </c>
    </row>
    <row r="44" spans="1:2" s="122" customFormat="1" ht="12.75" x14ac:dyDescent="0.25">
      <c r="A44" s="123">
        <v>29</v>
      </c>
      <c r="B44" s="175" t="s">
        <v>357</v>
      </c>
    </row>
    <row r="45" spans="1:2" s="122" customFormat="1" ht="12.75" x14ac:dyDescent="0.25">
      <c r="A45" s="123">
        <v>30</v>
      </c>
      <c r="B45" s="175" t="s">
        <v>268</v>
      </c>
    </row>
    <row r="46" spans="1:2" s="122" customFormat="1" ht="12.75" x14ac:dyDescent="0.25">
      <c r="A46" s="123">
        <v>31</v>
      </c>
      <c r="B46" s="175" t="s">
        <v>361</v>
      </c>
    </row>
    <row r="47" spans="1:2" s="122" customFormat="1" ht="25.5" x14ac:dyDescent="0.25">
      <c r="A47" s="123">
        <v>32</v>
      </c>
      <c r="B47" s="175" t="s">
        <v>269</v>
      </c>
    </row>
    <row r="48" spans="1:2" s="122" customFormat="1" ht="12.75" x14ac:dyDescent="0.25">
      <c r="A48" s="123">
        <v>33</v>
      </c>
      <c r="B48" s="175" t="s">
        <v>375</v>
      </c>
    </row>
    <row r="49" spans="1:2" s="122" customFormat="1" ht="12.75" x14ac:dyDescent="0.25">
      <c r="A49" s="123">
        <v>34</v>
      </c>
      <c r="B49" s="175" t="s">
        <v>378</v>
      </c>
    </row>
    <row r="50" spans="1:2" s="122" customFormat="1" ht="38.25" x14ac:dyDescent="0.25">
      <c r="A50" s="123">
        <v>35</v>
      </c>
      <c r="B50" s="175" t="s">
        <v>359</v>
      </c>
    </row>
    <row r="51" spans="1:2" s="125" customFormat="1" ht="12.75" x14ac:dyDescent="0.25">
      <c r="A51" s="121"/>
      <c r="B51" s="121"/>
    </row>
    <row r="52" spans="1:2" s="122" customFormat="1" ht="13.5" x14ac:dyDescent="0.25">
      <c r="A52" s="292" t="s">
        <v>102</v>
      </c>
      <c r="B52" s="293"/>
    </row>
    <row r="53" spans="1:2" s="122" customFormat="1" ht="12.75" x14ac:dyDescent="0.25">
      <c r="A53" s="121"/>
      <c r="B53" s="121"/>
    </row>
    <row r="54" spans="1:2" s="122" customFormat="1" ht="12.75" x14ac:dyDescent="0.25">
      <c r="A54" s="123">
        <v>1</v>
      </c>
      <c r="B54" s="174" t="s">
        <v>203</v>
      </c>
    </row>
    <row r="55" spans="1:2" s="122" customFormat="1" ht="12.75" x14ac:dyDescent="0.25">
      <c r="A55" s="123">
        <v>2</v>
      </c>
      <c r="B55" s="175" t="s">
        <v>405</v>
      </c>
    </row>
    <row r="56" spans="1:2" s="122" customFormat="1" ht="12.75" x14ac:dyDescent="0.25">
      <c r="A56" s="123">
        <v>3</v>
      </c>
      <c r="B56" s="175" t="s">
        <v>366</v>
      </c>
    </row>
    <row r="57" spans="1:2" s="122" customFormat="1" ht="25.5" x14ac:dyDescent="0.25">
      <c r="A57" s="123">
        <v>4</v>
      </c>
      <c r="B57" s="175" t="s">
        <v>334</v>
      </c>
    </row>
    <row r="58" spans="1:2" s="122" customFormat="1" ht="12.75" x14ac:dyDescent="0.25">
      <c r="A58" s="123">
        <v>5</v>
      </c>
      <c r="B58" s="174" t="s">
        <v>248</v>
      </c>
    </row>
    <row r="59" spans="1:2" s="122" customFormat="1" ht="25.5" x14ac:dyDescent="0.25">
      <c r="A59" s="123">
        <v>6</v>
      </c>
      <c r="B59" s="175" t="s">
        <v>284</v>
      </c>
    </row>
    <row r="60" spans="1:2" s="122" customFormat="1" ht="25.5" x14ac:dyDescent="0.25">
      <c r="A60" s="123">
        <v>7</v>
      </c>
      <c r="B60" s="175" t="s">
        <v>367</v>
      </c>
    </row>
    <row r="61" spans="1:2" s="122" customFormat="1" ht="63.75" x14ac:dyDescent="0.25">
      <c r="A61" s="123">
        <v>8</v>
      </c>
      <c r="B61" s="175" t="s">
        <v>422</v>
      </c>
    </row>
    <row r="62" spans="1:2" s="122" customFormat="1" ht="25.5" x14ac:dyDescent="0.25">
      <c r="A62" s="123">
        <v>9</v>
      </c>
      <c r="B62" s="175" t="s">
        <v>282</v>
      </c>
    </row>
    <row r="63" spans="1:2" s="122" customFormat="1" ht="38.25" x14ac:dyDescent="0.25">
      <c r="A63" s="123">
        <v>10</v>
      </c>
      <c r="B63" s="175" t="s">
        <v>406</v>
      </c>
    </row>
    <row r="64" spans="1:2" s="122" customFormat="1" ht="25.5" x14ac:dyDescent="0.25">
      <c r="A64" s="123">
        <v>11</v>
      </c>
      <c r="B64" s="175" t="s">
        <v>407</v>
      </c>
    </row>
    <row r="65" spans="1:2" s="122" customFormat="1" ht="25.5" x14ac:dyDescent="0.25">
      <c r="A65" s="123">
        <v>12</v>
      </c>
      <c r="B65" s="175" t="s">
        <v>408</v>
      </c>
    </row>
    <row r="66" spans="1:2" s="122" customFormat="1" ht="25.5" x14ac:dyDescent="0.25">
      <c r="A66" s="123">
        <v>13</v>
      </c>
      <c r="B66" s="175" t="s">
        <v>409</v>
      </c>
    </row>
    <row r="67" spans="1:2" s="122" customFormat="1" ht="12.75" x14ac:dyDescent="0.25">
      <c r="A67" s="123">
        <v>14</v>
      </c>
      <c r="B67" s="176" t="s">
        <v>410</v>
      </c>
    </row>
    <row r="68" spans="1:2" s="122" customFormat="1" ht="25.5" x14ac:dyDescent="0.25">
      <c r="A68" s="123">
        <v>15</v>
      </c>
      <c r="B68" s="176" t="s">
        <v>414</v>
      </c>
    </row>
    <row r="69" spans="1:2" s="122" customFormat="1" ht="25.5" x14ac:dyDescent="0.25">
      <c r="A69" s="123">
        <v>16</v>
      </c>
      <c r="B69" s="175" t="s">
        <v>360</v>
      </c>
    </row>
    <row r="70" spans="1:2" s="122" customFormat="1" ht="12.75" x14ac:dyDescent="0.25">
      <c r="A70" s="123">
        <v>17</v>
      </c>
      <c r="B70" s="175" t="s">
        <v>362</v>
      </c>
    </row>
    <row r="71" spans="1:2" s="122" customFormat="1" ht="17.25" customHeight="1" x14ac:dyDescent="0.25">
      <c r="A71" s="123">
        <v>18</v>
      </c>
      <c r="B71" s="175" t="s">
        <v>404</v>
      </c>
    </row>
    <row r="72" spans="1:2" s="122" customFormat="1" ht="51" x14ac:dyDescent="0.25">
      <c r="A72" s="123">
        <v>19</v>
      </c>
      <c r="B72" s="175" t="s">
        <v>411</v>
      </c>
    </row>
    <row r="73" spans="1:2" s="122" customFormat="1" ht="51" x14ac:dyDescent="0.25">
      <c r="A73" s="123">
        <v>20</v>
      </c>
      <c r="B73" s="175" t="s">
        <v>271</v>
      </c>
    </row>
    <row r="74" spans="1:2" s="122" customFormat="1" ht="25.5" x14ac:dyDescent="0.25">
      <c r="A74" s="123">
        <v>21</v>
      </c>
      <c r="B74" s="175" t="s">
        <v>363</v>
      </c>
    </row>
    <row r="75" spans="1:2" s="122" customFormat="1" ht="12.75" x14ac:dyDescent="0.25">
      <c r="A75" s="123">
        <v>23</v>
      </c>
      <c r="B75" s="174" t="s">
        <v>249</v>
      </c>
    </row>
    <row r="76" spans="1:2" s="122" customFormat="1" ht="12.75" x14ac:dyDescent="0.25">
      <c r="A76" s="123"/>
      <c r="B76" s="174"/>
    </row>
    <row r="77" spans="1:2" s="122" customFormat="1" ht="12.75" x14ac:dyDescent="0.25">
      <c r="A77" s="121"/>
      <c r="B77" s="121"/>
    </row>
    <row r="78" spans="1:2" s="122" customFormat="1" ht="13.5" x14ac:dyDescent="0.25">
      <c r="A78" s="292" t="s">
        <v>103</v>
      </c>
      <c r="B78" s="293"/>
    </row>
    <row r="79" spans="1:2" s="122" customFormat="1" ht="12.75" x14ac:dyDescent="0.25">
      <c r="A79" s="121"/>
      <c r="B79" s="121"/>
    </row>
    <row r="80" spans="1:2" s="122" customFormat="1" ht="12.75" x14ac:dyDescent="0.25">
      <c r="A80" s="123">
        <v>1</v>
      </c>
      <c r="B80" s="159" t="s">
        <v>450</v>
      </c>
    </row>
    <row r="81" spans="1:2" s="122" customFormat="1" ht="12.75" x14ac:dyDescent="0.25">
      <c r="A81" s="123">
        <v>2</v>
      </c>
      <c r="B81" s="124" t="s">
        <v>104</v>
      </c>
    </row>
    <row r="82" spans="1:2" s="122" customFormat="1" ht="12.75" x14ac:dyDescent="0.25">
      <c r="A82" s="123">
        <v>3</v>
      </c>
      <c r="B82" s="159" t="s">
        <v>365</v>
      </c>
    </row>
    <row r="83" spans="1:2" s="122" customFormat="1" ht="25.5" x14ac:dyDescent="0.25">
      <c r="A83" s="123">
        <v>4</v>
      </c>
      <c r="B83" s="124" t="s">
        <v>105</v>
      </c>
    </row>
    <row r="84" spans="1:2" s="122" customFormat="1" ht="25.5" x14ac:dyDescent="0.25">
      <c r="A84" s="123">
        <v>5</v>
      </c>
      <c r="B84" s="159" t="s">
        <v>451</v>
      </c>
    </row>
    <row r="85" spans="1:2" s="122" customFormat="1" ht="25.5" x14ac:dyDescent="0.25">
      <c r="A85" s="123">
        <v>6</v>
      </c>
      <c r="B85" s="159" t="s">
        <v>412</v>
      </c>
    </row>
    <row r="86" spans="1:2" s="126" customFormat="1" ht="25.5" x14ac:dyDescent="0.25">
      <c r="A86" s="123">
        <v>7</v>
      </c>
      <c r="B86" s="159" t="s">
        <v>290</v>
      </c>
    </row>
    <row r="87" spans="1:2" s="126" customFormat="1" ht="25.5" x14ac:dyDescent="0.25">
      <c r="A87" s="123">
        <v>8</v>
      </c>
      <c r="B87" s="124" t="s">
        <v>204</v>
      </c>
    </row>
    <row r="88" spans="1:2" s="126" customFormat="1" ht="25.5" x14ac:dyDescent="0.25">
      <c r="A88" s="123">
        <v>9</v>
      </c>
      <c r="B88" s="159" t="s">
        <v>452</v>
      </c>
    </row>
    <row r="89" spans="1:2" s="126" customFormat="1" ht="24.75" customHeight="1" x14ac:dyDescent="0.25">
      <c r="A89" s="123">
        <v>10</v>
      </c>
      <c r="B89" s="127" t="s">
        <v>106</v>
      </c>
    </row>
    <row r="90" spans="1:2" s="126" customFormat="1" ht="12.75" x14ac:dyDescent="0.25">
      <c r="A90" s="121"/>
      <c r="B90" s="121"/>
    </row>
    <row r="91" spans="1:2" s="126" customFormat="1" ht="12.75" x14ac:dyDescent="0.25">
      <c r="A91" s="128"/>
      <c r="B91" s="128"/>
    </row>
    <row r="92" spans="1:2" s="117" customFormat="1" ht="13.5" x14ac:dyDescent="0.25">
      <c r="A92" s="294" t="s">
        <v>107</v>
      </c>
      <c r="B92" s="294"/>
    </row>
    <row r="93" spans="1:2" s="126" customFormat="1" ht="12.75" x14ac:dyDescent="0.25">
      <c r="B93" s="128"/>
    </row>
    <row r="94" spans="1:2" s="126" customFormat="1" ht="12.75" x14ac:dyDescent="0.25">
      <c r="B94" s="128"/>
    </row>
    <row r="95" spans="1:2" s="126" customFormat="1" ht="13.5" x14ac:dyDescent="0.25">
      <c r="A95" s="292" t="s">
        <v>108</v>
      </c>
      <c r="B95" s="293"/>
    </row>
    <row r="96" spans="1:2" s="130" customFormat="1" ht="13.5" x14ac:dyDescent="0.25">
      <c r="A96" s="129"/>
      <c r="B96" s="128"/>
    </row>
    <row r="97" spans="1:2" s="130" customFormat="1" ht="12.75" x14ac:dyDescent="0.25">
      <c r="A97" s="131" t="s">
        <v>437</v>
      </c>
      <c r="B97" s="128"/>
    </row>
    <row r="98" spans="1:2" s="130" customFormat="1" ht="12.75" x14ac:dyDescent="0.25">
      <c r="A98" s="126"/>
      <c r="B98" s="161" t="s">
        <v>449</v>
      </c>
    </row>
    <row r="99" spans="1:2" s="130" customFormat="1" ht="12.75" x14ac:dyDescent="0.25">
      <c r="A99" s="131" t="s">
        <v>432</v>
      </c>
      <c r="B99" s="128"/>
    </row>
    <row r="100" spans="1:2" s="130" customFormat="1" ht="12.75" x14ac:dyDescent="0.25">
      <c r="A100" s="126"/>
      <c r="B100" s="161" t="s">
        <v>433</v>
      </c>
    </row>
    <row r="101" spans="1:2" s="130" customFormat="1" ht="12.75" x14ac:dyDescent="0.25">
      <c r="A101" s="131" t="s">
        <v>413</v>
      </c>
      <c r="B101" s="128"/>
    </row>
    <row r="102" spans="1:2" s="130" customFormat="1" ht="12.75" x14ac:dyDescent="0.25">
      <c r="A102" s="126"/>
      <c r="B102" s="161" t="s">
        <v>431</v>
      </c>
    </row>
    <row r="103" spans="1:2" s="130" customFormat="1" ht="12.75" x14ac:dyDescent="0.25">
      <c r="A103" s="131" t="s">
        <v>402</v>
      </c>
      <c r="B103" s="128"/>
    </row>
    <row r="104" spans="1:2" s="130" customFormat="1" ht="12.75" x14ac:dyDescent="0.25">
      <c r="A104" s="126"/>
      <c r="B104" s="161" t="s">
        <v>401</v>
      </c>
    </row>
    <row r="105" spans="1:2" s="130" customFormat="1" ht="12.75" x14ac:dyDescent="0.25">
      <c r="A105" s="131" t="s">
        <v>399</v>
      </c>
      <c r="B105" s="128"/>
    </row>
    <row r="106" spans="1:2" s="130" customFormat="1" ht="12.75" x14ac:dyDescent="0.25">
      <c r="A106" s="126"/>
      <c r="B106" s="161" t="s">
        <v>400</v>
      </c>
    </row>
    <row r="107" spans="1:2" s="130" customFormat="1" ht="12.75" x14ac:dyDescent="0.25">
      <c r="A107" s="131" t="s">
        <v>396</v>
      </c>
      <c r="B107" s="128"/>
    </row>
    <row r="108" spans="1:2" s="130" customFormat="1" ht="12.75" x14ac:dyDescent="0.25">
      <c r="A108" s="126"/>
      <c r="B108" s="161" t="s">
        <v>397</v>
      </c>
    </row>
    <row r="109" spans="1:2" s="130" customFormat="1" ht="12.75" x14ac:dyDescent="0.25">
      <c r="A109" s="131" t="s">
        <v>376</v>
      </c>
      <c r="B109" s="128"/>
    </row>
    <row r="110" spans="1:2" s="130" customFormat="1" ht="12.75" x14ac:dyDescent="0.25">
      <c r="A110" s="126"/>
      <c r="B110" s="161" t="s">
        <v>379</v>
      </c>
    </row>
    <row r="111" spans="1:2" s="130" customFormat="1" ht="12.75" x14ac:dyDescent="0.25">
      <c r="A111" s="131" t="s">
        <v>355</v>
      </c>
      <c r="B111" s="128"/>
    </row>
    <row r="112" spans="1:2" s="130" customFormat="1" ht="12.75" x14ac:dyDescent="0.25">
      <c r="A112" s="126"/>
      <c r="B112" s="161" t="s">
        <v>356</v>
      </c>
    </row>
    <row r="113" spans="1:2" s="130" customFormat="1" ht="12.75" x14ac:dyDescent="0.25">
      <c r="A113" s="131" t="s">
        <v>295</v>
      </c>
      <c r="B113" s="128"/>
    </row>
    <row r="114" spans="1:2" s="130" customFormat="1" ht="12.75" x14ac:dyDescent="0.25">
      <c r="A114" s="126"/>
      <c r="B114" s="161" t="s">
        <v>296</v>
      </c>
    </row>
    <row r="115" spans="1:2" s="130" customFormat="1" ht="12.75" x14ac:dyDescent="0.25">
      <c r="A115" s="131" t="s">
        <v>294</v>
      </c>
      <c r="B115" s="128"/>
    </row>
    <row r="116" spans="1:2" s="130" customFormat="1" ht="12.75" x14ac:dyDescent="0.25">
      <c r="A116" s="126"/>
      <c r="B116" s="161" t="s">
        <v>293</v>
      </c>
    </row>
    <row r="117" spans="1:2" s="130" customFormat="1" ht="12.75" x14ac:dyDescent="0.25">
      <c r="A117" s="131" t="s">
        <v>288</v>
      </c>
      <c r="B117" s="128"/>
    </row>
    <row r="118" spans="1:2" s="130" customFormat="1" ht="12.75" x14ac:dyDescent="0.25">
      <c r="A118" s="126"/>
      <c r="B118" s="161" t="s">
        <v>292</v>
      </c>
    </row>
    <row r="119" spans="1:2" s="130" customFormat="1" ht="12.75" x14ac:dyDescent="0.25">
      <c r="A119" s="131" t="s">
        <v>278</v>
      </c>
      <c r="B119" s="128"/>
    </row>
    <row r="120" spans="1:2" s="130" customFormat="1" ht="12.75" x14ac:dyDescent="0.25">
      <c r="A120" s="126"/>
      <c r="B120" s="161" t="s">
        <v>273</v>
      </c>
    </row>
    <row r="121" spans="1:2" s="130" customFormat="1" ht="12.75" x14ac:dyDescent="0.25">
      <c r="A121" s="131" t="s">
        <v>270</v>
      </c>
      <c r="B121" s="128"/>
    </row>
    <row r="122" spans="1:2" s="130" customFormat="1" ht="12.75" x14ac:dyDescent="0.25">
      <c r="A122" s="126"/>
      <c r="B122" s="128" t="s">
        <v>254</v>
      </c>
    </row>
    <row r="123" spans="1:2" s="130" customFormat="1" ht="12.75" x14ac:dyDescent="0.25">
      <c r="A123" s="131" t="s">
        <v>250</v>
      </c>
      <c r="B123" s="128"/>
    </row>
    <row r="124" spans="1:2" s="130" customFormat="1" ht="12.75" x14ac:dyDescent="0.25">
      <c r="A124" s="126"/>
      <c r="B124" s="128" t="s">
        <v>251</v>
      </c>
    </row>
    <row r="125" spans="1:2" s="130" customFormat="1" ht="12.75" x14ac:dyDescent="0.25">
      <c r="A125" s="131" t="s">
        <v>235</v>
      </c>
      <c r="B125" s="128"/>
    </row>
    <row r="126" spans="1:2" s="130" customFormat="1" ht="12.75" x14ac:dyDescent="0.25">
      <c r="A126" s="126"/>
      <c r="B126" s="128" t="s">
        <v>231</v>
      </c>
    </row>
    <row r="127" spans="1:2" s="130" customFormat="1" ht="12.75" x14ac:dyDescent="0.25">
      <c r="A127" s="131" t="s">
        <v>229</v>
      </c>
      <c r="B127" s="128"/>
    </row>
    <row r="128" spans="1:2" s="130" customFormat="1" ht="12.75" x14ac:dyDescent="0.25">
      <c r="A128" s="126"/>
      <c r="B128" s="128" t="s">
        <v>228</v>
      </c>
    </row>
    <row r="129" spans="1:2" s="130" customFormat="1" ht="12.75" x14ac:dyDescent="0.25">
      <c r="A129" s="131" t="s">
        <v>213</v>
      </c>
      <c r="B129" s="128"/>
    </row>
    <row r="130" spans="1:2" s="130" customFormat="1" ht="12.75" x14ac:dyDescent="0.25">
      <c r="A130" s="126"/>
      <c r="B130" s="128" t="s">
        <v>207</v>
      </c>
    </row>
    <row r="131" spans="1:2" s="130" customFormat="1" ht="12.75" x14ac:dyDescent="0.25">
      <c r="A131" s="131" t="s">
        <v>205</v>
      </c>
      <c r="B131" s="128"/>
    </row>
    <row r="132" spans="1:2" s="130" customFormat="1" ht="12.75" x14ac:dyDescent="0.25">
      <c r="A132" s="126"/>
      <c r="B132" s="128" t="s">
        <v>206</v>
      </c>
    </row>
    <row r="133" spans="1:2" s="130" customFormat="1" ht="12.75" x14ac:dyDescent="0.25">
      <c r="A133" s="131" t="s">
        <v>109</v>
      </c>
      <c r="B133" s="128"/>
    </row>
    <row r="134" spans="1:2" s="130" customFormat="1" ht="12.75" x14ac:dyDescent="0.25">
      <c r="A134" s="126"/>
      <c r="B134" s="128" t="s">
        <v>110</v>
      </c>
    </row>
    <row r="135" spans="1:2" s="130" customFormat="1" ht="12.75" x14ac:dyDescent="0.25">
      <c r="A135" s="131" t="s">
        <v>111</v>
      </c>
      <c r="B135" s="128"/>
    </row>
    <row r="136" spans="1:2" s="130" customFormat="1" ht="12.75" x14ac:dyDescent="0.25">
      <c r="A136" s="126"/>
      <c r="B136" s="128" t="s">
        <v>112</v>
      </c>
    </row>
    <row r="137" spans="1:2" s="130" customFormat="1" ht="12.75" x14ac:dyDescent="0.25">
      <c r="A137" s="131" t="s">
        <v>113</v>
      </c>
      <c r="B137" s="128"/>
    </row>
    <row r="138" spans="1:2" s="130" customFormat="1" ht="12.75" x14ac:dyDescent="0.25">
      <c r="A138" s="126"/>
      <c r="B138" s="128" t="s">
        <v>114</v>
      </c>
    </row>
    <row r="139" spans="1:2" s="130" customFormat="1" ht="12.75" x14ac:dyDescent="0.25">
      <c r="A139" s="131" t="s">
        <v>115</v>
      </c>
      <c r="B139" s="128"/>
    </row>
    <row r="140" spans="1:2" s="130" customFormat="1" ht="12.75" x14ac:dyDescent="0.25">
      <c r="A140" s="126"/>
      <c r="B140" s="128" t="s">
        <v>116</v>
      </c>
    </row>
    <row r="141" spans="1:2" s="130" customFormat="1" ht="12.75" x14ac:dyDescent="0.25">
      <c r="A141" s="131" t="s">
        <v>117</v>
      </c>
      <c r="B141" s="128"/>
    </row>
    <row r="142" spans="1:2" s="130" customFormat="1" ht="25.5" x14ac:dyDescent="0.25">
      <c r="A142" s="126"/>
      <c r="B142" s="128" t="s">
        <v>118</v>
      </c>
    </row>
    <row r="143" spans="1:2" s="130" customFormat="1" ht="12.75" x14ac:dyDescent="0.25">
      <c r="A143" s="131" t="s">
        <v>119</v>
      </c>
      <c r="B143" s="128"/>
    </row>
    <row r="144" spans="1:2" s="130" customFormat="1" ht="12.75" x14ac:dyDescent="0.25">
      <c r="A144" s="126"/>
      <c r="B144" s="128" t="s">
        <v>120</v>
      </c>
    </row>
    <row r="145" spans="1:2" s="130" customFormat="1" ht="12.75" x14ac:dyDescent="0.25">
      <c r="A145" s="131" t="s">
        <v>121</v>
      </c>
      <c r="B145" s="128"/>
    </row>
    <row r="146" spans="1:2" s="130" customFormat="1" ht="25.5" x14ac:dyDescent="0.25">
      <c r="A146" s="126"/>
      <c r="B146" s="128" t="s">
        <v>122</v>
      </c>
    </row>
    <row r="147" spans="1:2" s="126" customFormat="1" ht="12.75" x14ac:dyDescent="0.25">
      <c r="A147" s="131" t="s">
        <v>123</v>
      </c>
      <c r="B147" s="128"/>
    </row>
    <row r="148" spans="1:2" s="126" customFormat="1" ht="25.5" x14ac:dyDescent="0.25">
      <c r="B148" s="128" t="s">
        <v>124</v>
      </c>
    </row>
    <row r="149" spans="1:2" s="126" customFormat="1" ht="12.75" x14ac:dyDescent="0.25">
      <c r="A149" s="131" t="s">
        <v>125</v>
      </c>
      <c r="B149" s="128"/>
    </row>
    <row r="150" spans="1:2" s="126" customFormat="1" ht="12.75" x14ac:dyDescent="0.25">
      <c r="B150" s="128" t="s">
        <v>126</v>
      </c>
    </row>
    <row r="151" spans="1:2" s="126" customFormat="1" ht="12.75" x14ac:dyDescent="0.25">
      <c r="A151" s="131" t="s">
        <v>127</v>
      </c>
      <c r="B151" s="128"/>
    </row>
    <row r="152" spans="1:2" s="126" customFormat="1" ht="12.75" x14ac:dyDescent="0.25">
      <c r="B152" s="128" t="s">
        <v>128</v>
      </c>
    </row>
    <row r="153" spans="1:2" s="126" customFormat="1" ht="12.75" x14ac:dyDescent="0.25">
      <c r="A153" s="131" t="s">
        <v>129</v>
      </c>
      <c r="B153" s="128"/>
    </row>
    <row r="154" spans="1:2" s="126" customFormat="1" ht="12.75" x14ac:dyDescent="0.25">
      <c r="B154" s="128" t="s">
        <v>130</v>
      </c>
    </row>
    <row r="155" spans="1:2" s="126" customFormat="1" ht="12.75" x14ac:dyDescent="0.25">
      <c r="A155" s="131" t="s">
        <v>131</v>
      </c>
      <c r="B155" s="128"/>
    </row>
    <row r="156" spans="1:2" s="126" customFormat="1" ht="12.75" x14ac:dyDescent="0.25">
      <c r="B156" s="128" t="s">
        <v>132</v>
      </c>
    </row>
    <row r="157" spans="1:2" s="126" customFormat="1" ht="12.75" x14ac:dyDescent="0.25">
      <c r="B157" s="128"/>
    </row>
    <row r="158" spans="1:2" s="126" customFormat="1" ht="12.75" hidden="1" x14ac:dyDescent="0.25">
      <c r="B158" s="128"/>
    </row>
    <row r="159" spans="1:2" s="126" customFormat="1" ht="12.75" hidden="1" x14ac:dyDescent="0.25">
      <c r="B159" s="128"/>
    </row>
    <row r="160" spans="1:2" s="126" customFormat="1" ht="12.75" hidden="1" x14ac:dyDescent="0.25">
      <c r="B160" s="128"/>
    </row>
    <row r="161" spans="2:2" s="126" customFormat="1" ht="12.75" hidden="1" x14ac:dyDescent="0.25">
      <c r="B161" s="128"/>
    </row>
    <row r="162" spans="2:2" s="126" customFormat="1" ht="12.75" hidden="1" x14ac:dyDescent="0.25">
      <c r="B162" s="128"/>
    </row>
    <row r="163" spans="2:2" s="126" customFormat="1" ht="12.75" hidden="1" x14ac:dyDescent="0.25">
      <c r="B163" s="128"/>
    </row>
    <row r="164" spans="2:2" s="126" customFormat="1" ht="12.75" hidden="1" x14ac:dyDescent="0.25">
      <c r="B164" s="128"/>
    </row>
    <row r="165" spans="2:2" s="126" customFormat="1" ht="12.75" hidden="1" x14ac:dyDescent="0.25">
      <c r="B165" s="128"/>
    </row>
    <row r="166" spans="2:2" s="126" customFormat="1" ht="12.75" hidden="1" x14ac:dyDescent="0.25">
      <c r="B166" s="128"/>
    </row>
    <row r="167" spans="2:2" s="126" customFormat="1" ht="12.75" hidden="1" x14ac:dyDescent="0.25">
      <c r="B167" s="128"/>
    </row>
    <row r="168" spans="2:2" s="126" customFormat="1" ht="12.75" hidden="1" x14ac:dyDescent="0.25">
      <c r="B168" s="128"/>
    </row>
    <row r="169" spans="2:2" s="126" customFormat="1" ht="12.75" hidden="1" x14ac:dyDescent="0.25">
      <c r="B169" s="128"/>
    </row>
    <row r="170" spans="2:2" s="126" customFormat="1" ht="12.75" hidden="1" x14ac:dyDescent="0.25">
      <c r="B170" s="128"/>
    </row>
    <row r="171" spans="2:2" s="126" customFormat="1" ht="12.75" hidden="1" x14ac:dyDescent="0.25">
      <c r="B171" s="128"/>
    </row>
    <row r="172" spans="2:2" s="126" customFormat="1" ht="12.75" hidden="1" x14ac:dyDescent="0.25">
      <c r="B172" s="128"/>
    </row>
    <row r="173" spans="2:2" s="126" customFormat="1" ht="12.75" hidden="1" x14ac:dyDescent="0.25">
      <c r="B173" s="128"/>
    </row>
    <row r="174" spans="2:2" s="126" customFormat="1" ht="12.75" hidden="1" x14ac:dyDescent="0.25">
      <c r="B174" s="128"/>
    </row>
    <row r="175" spans="2:2" s="126" customFormat="1" ht="12.75" hidden="1" x14ac:dyDescent="0.25">
      <c r="B175" s="128"/>
    </row>
    <row r="176" spans="2:2" s="126" customFormat="1" ht="12.75" hidden="1" x14ac:dyDescent="0.25">
      <c r="B176" s="128"/>
    </row>
    <row r="177" spans="2:2" s="126" customFormat="1" ht="12.75" hidden="1" x14ac:dyDescent="0.25">
      <c r="B177" s="128"/>
    </row>
    <row r="178" spans="2:2" s="126" customFormat="1" ht="12.75" hidden="1" x14ac:dyDescent="0.25">
      <c r="B178" s="128"/>
    </row>
    <row r="179" spans="2:2" s="126" customFormat="1" ht="12.75" hidden="1" x14ac:dyDescent="0.25">
      <c r="B179" s="128"/>
    </row>
    <row r="180" spans="2:2" s="126" customFormat="1" ht="12.75" hidden="1" x14ac:dyDescent="0.25">
      <c r="B180" s="128"/>
    </row>
    <row r="181" spans="2:2" s="126" customFormat="1" ht="12.75" hidden="1" x14ac:dyDescent="0.25">
      <c r="B181" s="128"/>
    </row>
    <row r="182" spans="2:2" s="126" customFormat="1" ht="12.75" hidden="1" x14ac:dyDescent="0.25">
      <c r="B182" s="128"/>
    </row>
    <row r="183" spans="2:2" s="126" customFormat="1" ht="12.75" hidden="1" x14ac:dyDescent="0.25">
      <c r="B183" s="128"/>
    </row>
    <row r="184" spans="2:2" s="126" customFormat="1" ht="12.75" hidden="1" x14ac:dyDescent="0.25">
      <c r="B184" s="128"/>
    </row>
    <row r="185" spans="2:2" s="126" customFormat="1" ht="12.75" hidden="1" x14ac:dyDescent="0.25">
      <c r="B185" s="128"/>
    </row>
    <row r="186" spans="2:2" s="126" customFormat="1" ht="12.75" hidden="1" x14ac:dyDescent="0.25">
      <c r="B186" s="128"/>
    </row>
    <row r="187" spans="2:2" s="126" customFormat="1" ht="12.75" hidden="1" x14ac:dyDescent="0.25">
      <c r="B187" s="128"/>
    </row>
    <row r="188" spans="2:2" s="126" customFormat="1" ht="12.75" hidden="1" x14ac:dyDescent="0.25">
      <c r="B188" s="128"/>
    </row>
    <row r="189" spans="2:2" s="126" customFormat="1" ht="12.75" hidden="1" x14ac:dyDescent="0.25">
      <c r="B189" s="128"/>
    </row>
    <row r="190" spans="2:2" s="126" customFormat="1" ht="12.75" hidden="1" x14ac:dyDescent="0.25">
      <c r="B190" s="128"/>
    </row>
    <row r="191" spans="2:2" s="126" customFormat="1" ht="12.75" hidden="1" x14ac:dyDescent="0.25">
      <c r="B191" s="128"/>
    </row>
    <row r="192" spans="2:2" s="126" customFormat="1" ht="12.75" hidden="1" x14ac:dyDescent="0.25">
      <c r="B192" s="128"/>
    </row>
    <row r="193" spans="2:2" s="126" customFormat="1" ht="12.75" hidden="1" x14ac:dyDescent="0.25">
      <c r="B193" s="128"/>
    </row>
    <row r="194" spans="2:2" s="126" customFormat="1" ht="12.75" hidden="1" x14ac:dyDescent="0.25">
      <c r="B194" s="128"/>
    </row>
    <row r="195" spans="2:2" s="126" customFormat="1" ht="12.75" hidden="1" x14ac:dyDescent="0.25">
      <c r="B195" s="128"/>
    </row>
    <row r="196" spans="2:2" s="126" customFormat="1" ht="12.75" hidden="1" x14ac:dyDescent="0.25">
      <c r="B196" s="128"/>
    </row>
    <row r="197" spans="2:2" s="126" customFormat="1" ht="12.75" hidden="1" x14ac:dyDescent="0.25">
      <c r="B197" s="128"/>
    </row>
    <row r="198" spans="2:2" s="126" customFormat="1" ht="12.75" hidden="1" x14ac:dyDescent="0.25">
      <c r="B198" s="128"/>
    </row>
    <row r="199" spans="2:2" s="126" customFormat="1" ht="12.75" hidden="1" x14ac:dyDescent="0.25">
      <c r="B199" s="128"/>
    </row>
    <row r="200" spans="2:2" s="126" customFormat="1" ht="12.75" hidden="1" x14ac:dyDescent="0.25">
      <c r="B200" s="128"/>
    </row>
    <row r="201" spans="2:2" s="126" customFormat="1" ht="12.75" hidden="1" x14ac:dyDescent="0.25">
      <c r="B201" s="128"/>
    </row>
    <row r="202" spans="2:2" s="126" customFormat="1" ht="12.75" hidden="1" x14ac:dyDescent="0.25">
      <c r="B202" s="128"/>
    </row>
    <row r="203" spans="2:2" s="126" customFormat="1" ht="12.75" hidden="1" x14ac:dyDescent="0.25">
      <c r="B203" s="128"/>
    </row>
    <row r="204" spans="2:2" s="126" customFormat="1" ht="12.75" hidden="1" x14ac:dyDescent="0.25">
      <c r="B204" s="128"/>
    </row>
    <row r="205" spans="2:2" s="126" customFormat="1" ht="12.75" hidden="1" x14ac:dyDescent="0.25">
      <c r="B205" s="128"/>
    </row>
    <row r="206" spans="2:2" s="126" customFormat="1" ht="12.75" hidden="1" x14ac:dyDescent="0.25">
      <c r="B206" s="128"/>
    </row>
    <row r="207" spans="2:2" s="126" customFormat="1" ht="12.75" hidden="1" x14ac:dyDescent="0.25">
      <c r="B207" s="128"/>
    </row>
    <row r="208" spans="2:2" s="126" customFormat="1" ht="12.75" hidden="1" x14ac:dyDescent="0.25">
      <c r="B208" s="128"/>
    </row>
    <row r="209" spans="2:2" s="126" customFormat="1" ht="12.75" hidden="1" x14ac:dyDescent="0.25">
      <c r="B209" s="128"/>
    </row>
    <row r="210" spans="2:2" s="126" customFormat="1" ht="12.75" hidden="1" x14ac:dyDescent="0.25">
      <c r="B210" s="128"/>
    </row>
    <row r="211" spans="2:2" s="126" customFormat="1" ht="12.75" hidden="1" x14ac:dyDescent="0.25">
      <c r="B211" s="128"/>
    </row>
    <row r="212" spans="2:2" s="126" customFormat="1" ht="12.75" hidden="1" x14ac:dyDescent="0.25">
      <c r="B212" s="128"/>
    </row>
    <row r="213" spans="2:2" s="126" customFormat="1" ht="12.75" hidden="1" x14ac:dyDescent="0.25">
      <c r="B213" s="128"/>
    </row>
    <row r="214" spans="2:2" s="126" customFormat="1" ht="12.75" hidden="1" x14ac:dyDescent="0.25">
      <c r="B214" s="128"/>
    </row>
    <row r="215" spans="2:2" s="126" customFormat="1" ht="12.75" hidden="1" x14ac:dyDescent="0.25">
      <c r="B215" s="128"/>
    </row>
    <row r="216" spans="2:2" s="126" customFormat="1" ht="12.75" hidden="1" x14ac:dyDescent="0.25">
      <c r="B216" s="128"/>
    </row>
    <row r="217" spans="2:2" s="126" customFormat="1" ht="12.75" hidden="1" x14ac:dyDescent="0.25">
      <c r="B217" s="128"/>
    </row>
    <row r="218" spans="2:2" s="126" customFormat="1" ht="12.75" hidden="1" x14ac:dyDescent="0.25">
      <c r="B218" s="128"/>
    </row>
    <row r="219" spans="2:2" s="126" customFormat="1" ht="12.75" hidden="1" x14ac:dyDescent="0.25">
      <c r="B219" s="128"/>
    </row>
    <row r="220" spans="2:2" s="126" customFormat="1" ht="12.75" hidden="1" x14ac:dyDescent="0.25">
      <c r="B220" s="128"/>
    </row>
    <row r="221" spans="2:2" s="126" customFormat="1" ht="12.75" hidden="1" x14ac:dyDescent="0.25">
      <c r="B221" s="128"/>
    </row>
    <row r="222" spans="2:2" s="126" customFormat="1" ht="12.75" hidden="1" x14ac:dyDescent="0.25">
      <c r="B222" s="128"/>
    </row>
    <row r="223" spans="2:2" s="126" customFormat="1" ht="12.75" hidden="1" x14ac:dyDescent="0.25">
      <c r="B223" s="128"/>
    </row>
    <row r="224" spans="2:2" s="126" customFormat="1" ht="12.75" hidden="1" x14ac:dyDescent="0.25">
      <c r="B224" s="128"/>
    </row>
    <row r="225" spans="2:2" s="126" customFormat="1" ht="12.75" hidden="1" x14ac:dyDescent="0.25">
      <c r="B225" s="128"/>
    </row>
    <row r="226" spans="2:2" s="126" customFormat="1" ht="12.75" hidden="1" x14ac:dyDescent="0.25">
      <c r="B226" s="128"/>
    </row>
    <row r="227" spans="2:2" s="126" customFormat="1" ht="12.75" hidden="1" x14ac:dyDescent="0.25">
      <c r="B227" s="128"/>
    </row>
    <row r="228" spans="2:2" s="126" customFormat="1" ht="12.75" hidden="1" x14ac:dyDescent="0.25">
      <c r="B228" s="128"/>
    </row>
    <row r="229" spans="2:2" s="126" customFormat="1" ht="12.75" hidden="1" x14ac:dyDescent="0.25">
      <c r="B229" s="128"/>
    </row>
    <row r="230" spans="2:2" s="126" customFormat="1" ht="12.75" hidden="1" x14ac:dyDescent="0.25">
      <c r="B230" s="128"/>
    </row>
    <row r="231" spans="2:2" s="126" customFormat="1" ht="12.75" hidden="1" x14ac:dyDescent="0.25">
      <c r="B231" s="128"/>
    </row>
    <row r="232" spans="2:2" s="126" customFormat="1" ht="12.75" hidden="1" x14ac:dyDescent="0.25">
      <c r="B232" s="128"/>
    </row>
    <row r="233" spans="2:2" s="126" customFormat="1" ht="12.75" hidden="1" x14ac:dyDescent="0.25">
      <c r="B233" s="128"/>
    </row>
    <row r="234" spans="2:2" s="126" customFormat="1" ht="12.75" hidden="1" x14ac:dyDescent="0.25">
      <c r="B234" s="128"/>
    </row>
    <row r="235" spans="2:2" s="126" customFormat="1" ht="12.75" hidden="1" x14ac:dyDescent="0.25">
      <c r="B235" s="128"/>
    </row>
    <row r="236" spans="2:2" s="126" customFormat="1" ht="12.75" hidden="1" x14ac:dyDescent="0.25">
      <c r="B236" s="128"/>
    </row>
    <row r="237" spans="2:2" s="126" customFormat="1" ht="12.75" hidden="1" x14ac:dyDescent="0.25">
      <c r="B237" s="128"/>
    </row>
    <row r="238" spans="2:2" s="126" customFormat="1" ht="12.75" hidden="1" x14ac:dyDescent="0.25">
      <c r="B238" s="128"/>
    </row>
    <row r="239" spans="2:2" s="126" customFormat="1" ht="12.75" hidden="1" x14ac:dyDescent="0.25">
      <c r="B239" s="128"/>
    </row>
    <row r="240" spans="2:2" s="126" customFormat="1" ht="12.75" hidden="1" x14ac:dyDescent="0.25">
      <c r="B240" s="128"/>
    </row>
    <row r="241" spans="2:2" s="126" customFormat="1" ht="12.75" hidden="1" x14ac:dyDescent="0.25">
      <c r="B241" s="128"/>
    </row>
    <row r="242" spans="2:2" s="126" customFormat="1" ht="12.75" hidden="1" x14ac:dyDescent="0.25">
      <c r="B242" s="128"/>
    </row>
    <row r="243" spans="2:2" s="126" customFormat="1" ht="12.75" hidden="1" x14ac:dyDescent="0.25">
      <c r="B243" s="128"/>
    </row>
    <row r="244" spans="2:2" s="126" customFormat="1" ht="12.75" hidden="1" x14ac:dyDescent="0.25"/>
    <row r="245" spans="2:2" s="126" customFormat="1" ht="12.75" hidden="1" x14ac:dyDescent="0.25"/>
    <row r="246" spans="2:2" s="126" customFormat="1" ht="12.75" hidden="1" x14ac:dyDescent="0.25"/>
    <row r="247" spans="2:2" s="126" customFormat="1" ht="12.75" hidden="1" x14ac:dyDescent="0.25"/>
    <row r="248" spans="2:2" s="126" customFormat="1" ht="12.75" hidden="1" x14ac:dyDescent="0.25"/>
    <row r="249" spans="2:2" s="126" customFormat="1" ht="12.75" hidden="1" x14ac:dyDescent="0.25"/>
    <row r="250" spans="2:2" s="126" customFormat="1" ht="12.75" hidden="1" x14ac:dyDescent="0.25"/>
    <row r="251" spans="2:2" s="126" customFormat="1" ht="12.75" hidden="1" x14ac:dyDescent="0.25"/>
    <row r="252" spans="2:2" s="126" customFormat="1" ht="12.75" hidden="1" x14ac:dyDescent="0.25"/>
    <row r="253" spans="2:2" s="126" customFormat="1" ht="12.75" hidden="1" x14ac:dyDescent="0.25"/>
    <row r="254" spans="2:2" s="126" customFormat="1" ht="12.75" hidden="1" x14ac:dyDescent="0.25"/>
    <row r="255" spans="2:2" s="126" customFormat="1" ht="12.75" hidden="1" x14ac:dyDescent="0.25"/>
    <row r="256" spans="2:2" s="126" customFormat="1" ht="12.75" hidden="1" x14ac:dyDescent="0.25"/>
    <row r="257" s="126" customFormat="1" ht="12.75" hidden="1" x14ac:dyDescent="0.25"/>
    <row r="258" s="126" customFormat="1" ht="12.75" hidden="1" x14ac:dyDescent="0.25"/>
    <row r="259" s="126" customFormat="1" ht="12.75" hidden="1" x14ac:dyDescent="0.25"/>
    <row r="260" s="126" customFormat="1" ht="12.75" hidden="1" x14ac:dyDescent="0.25"/>
    <row r="261" s="126" customFormat="1" ht="12.75" hidden="1" x14ac:dyDescent="0.25"/>
    <row r="262" s="126" customFormat="1" ht="12.75" hidden="1" x14ac:dyDescent="0.25"/>
    <row r="263" s="126" customFormat="1" ht="12.75" hidden="1" x14ac:dyDescent="0.25"/>
    <row r="264" s="126" customFormat="1" ht="12.75" hidden="1" x14ac:dyDescent="0.25"/>
    <row r="265" s="126" customFormat="1" ht="12.75" hidden="1" x14ac:dyDescent="0.25"/>
    <row r="266" s="126" customFormat="1" ht="12.75" hidden="1" x14ac:dyDescent="0.25"/>
    <row r="267" s="126" customFormat="1" ht="12.75" hidden="1" x14ac:dyDescent="0.25"/>
    <row r="268" s="126" customFormat="1" ht="12.75" hidden="1" x14ac:dyDescent="0.25"/>
    <row r="269" s="126" customFormat="1" ht="12.75" hidden="1" x14ac:dyDescent="0.25"/>
    <row r="270" s="126" customFormat="1" ht="12.75" hidden="1" x14ac:dyDescent="0.25"/>
    <row r="271" s="126" customFormat="1" ht="12.75" hidden="1" x14ac:dyDescent="0.25"/>
    <row r="272" s="126" customFormat="1" ht="12.75" hidden="1" x14ac:dyDescent="0.25"/>
    <row r="273" s="126" customFormat="1" ht="12.75" hidden="1" x14ac:dyDescent="0.25"/>
    <row r="274" s="126" customFormat="1" ht="12.75" hidden="1" x14ac:dyDescent="0.25"/>
    <row r="275" s="126" customFormat="1" ht="12.75" hidden="1" x14ac:dyDescent="0.25"/>
    <row r="276" s="126" customFormat="1" ht="12.75" hidden="1" x14ac:dyDescent="0.25"/>
    <row r="277" s="126" customFormat="1" ht="12.75" hidden="1" x14ac:dyDescent="0.25"/>
    <row r="278" s="126" customFormat="1" ht="12.75" hidden="1" x14ac:dyDescent="0.25"/>
    <row r="279" s="126" customFormat="1" ht="12.75" hidden="1" x14ac:dyDescent="0.25"/>
    <row r="280" s="126" customFormat="1" ht="12.75" hidden="1" x14ac:dyDescent="0.25"/>
    <row r="281" s="126" customFormat="1" ht="12.75" hidden="1" x14ac:dyDescent="0.25"/>
    <row r="282" s="126" customFormat="1" ht="12.75" hidden="1" x14ac:dyDescent="0.25"/>
    <row r="283" s="126" customFormat="1" ht="12.75" hidden="1" x14ac:dyDescent="0.25"/>
    <row r="284" s="126" customFormat="1" ht="12.75" hidden="1" x14ac:dyDescent="0.25"/>
    <row r="285" s="126" customFormat="1" ht="12.75" hidden="1" x14ac:dyDescent="0.25"/>
    <row r="286" s="126" customFormat="1" ht="12.75" hidden="1" x14ac:dyDescent="0.25"/>
    <row r="287" s="126" customFormat="1" ht="12.75" hidden="1" x14ac:dyDescent="0.25"/>
    <row r="288" s="126" customFormat="1" ht="12.75" hidden="1" x14ac:dyDescent="0.25"/>
    <row r="289" s="126" customFormat="1" ht="12.75" hidden="1" x14ac:dyDescent="0.25"/>
    <row r="290" s="126" customFormat="1" ht="12.75" hidden="1" x14ac:dyDescent="0.25"/>
    <row r="291" s="126" customFormat="1" ht="12.75" hidden="1" x14ac:dyDescent="0.25"/>
    <row r="292" s="126" customFormat="1" ht="12.75" hidden="1" x14ac:dyDescent="0.25"/>
    <row r="293" s="126" customFormat="1" ht="12.75" hidden="1" x14ac:dyDescent="0.25"/>
    <row r="294" s="126" customFormat="1" ht="12.75" hidden="1" x14ac:dyDescent="0.25"/>
    <row r="295" s="126" customFormat="1" ht="12.75" hidden="1" x14ac:dyDescent="0.25"/>
    <row r="296" s="126" customFormat="1" ht="12.75" hidden="1" x14ac:dyDescent="0.25"/>
    <row r="297" s="126" customFormat="1" ht="12.75" hidden="1" x14ac:dyDescent="0.25"/>
    <row r="298" s="126" customFormat="1" ht="12.75" hidden="1" x14ac:dyDescent="0.25"/>
    <row r="299" s="126" customFormat="1" ht="12.75" hidden="1" x14ac:dyDescent="0.25"/>
    <row r="300" s="126" customFormat="1" ht="12.75" hidden="1" x14ac:dyDescent="0.25"/>
    <row r="301" s="126" customFormat="1" ht="12.75" hidden="1" x14ac:dyDescent="0.25"/>
    <row r="302" s="126" customFormat="1" ht="12.75" hidden="1" x14ac:dyDescent="0.25"/>
    <row r="303" s="126" customFormat="1" ht="12.75" hidden="1" x14ac:dyDescent="0.25"/>
    <row r="304" s="126" customFormat="1" ht="12.75" hidden="1" x14ac:dyDescent="0.25"/>
    <row r="305" ht="12.75" hidden="1" x14ac:dyDescent="0.25"/>
    <row r="306" ht="12.75" hidden="1" x14ac:dyDescent="0.25"/>
    <row r="307" ht="12.75" hidden="1" x14ac:dyDescent="0.25"/>
    <row r="308" ht="12.75" hidden="1" x14ac:dyDescent="0.25"/>
    <row r="309" ht="12.75" hidden="1" x14ac:dyDescent="0.25"/>
    <row r="310" ht="12.75" hidden="1" x14ac:dyDescent="0.25"/>
    <row r="311" ht="12.75" hidden="1" x14ac:dyDescent="0.25"/>
    <row r="312" ht="12.75" hidden="1" x14ac:dyDescent="0.25"/>
    <row r="313" ht="12.75" hidden="1" x14ac:dyDescent="0.25"/>
    <row r="314" ht="12.75" hidden="1" x14ac:dyDescent="0.25"/>
    <row r="315" ht="12.75" hidden="1" x14ac:dyDescent="0.25"/>
    <row r="316" ht="12.75" hidden="1" x14ac:dyDescent="0.25"/>
    <row r="317" ht="12.75" hidden="1" x14ac:dyDescent="0.25"/>
    <row r="318" ht="12.75" hidden="1" x14ac:dyDescent="0.25"/>
    <row r="319" ht="12.75" hidden="1" x14ac:dyDescent="0.25"/>
    <row r="320" ht="12.75" hidden="1" x14ac:dyDescent="0.25"/>
    <row r="321" ht="12.75" hidden="1" x14ac:dyDescent="0.25"/>
    <row r="322" ht="12.75" hidden="1" x14ac:dyDescent="0.25"/>
    <row r="323" ht="12.75" hidden="1" x14ac:dyDescent="0.25"/>
    <row r="324" ht="12.75" hidden="1" x14ac:dyDescent="0.25"/>
    <row r="325" ht="12.75" hidden="1" x14ac:dyDescent="0.25"/>
    <row r="326" ht="12.75" hidden="1" x14ac:dyDescent="0.25"/>
    <row r="327" ht="12.75" hidden="1" x14ac:dyDescent="0.25"/>
    <row r="328" ht="12.75" hidden="1" x14ac:dyDescent="0.25"/>
    <row r="329" ht="12.75" hidden="1" x14ac:dyDescent="0.25"/>
    <row r="330" ht="12.75" hidden="1" x14ac:dyDescent="0.25"/>
    <row r="331" ht="12.75" hidden="1" x14ac:dyDescent="0.25"/>
    <row r="332" ht="12.75" hidden="1" x14ac:dyDescent="0.25"/>
    <row r="333" ht="12.75" hidden="1" x14ac:dyDescent="0.25"/>
    <row r="334" ht="12.75" hidden="1" x14ac:dyDescent="0.25"/>
    <row r="335" ht="12.75" hidden="1" x14ac:dyDescent="0.25"/>
    <row r="336" ht="12.75" hidden="1" x14ac:dyDescent="0.25"/>
    <row r="337" ht="12.75" hidden="1" x14ac:dyDescent="0.25"/>
    <row r="338" ht="12.75" hidden="1" x14ac:dyDescent="0.25"/>
    <row r="339" ht="12.75" hidden="1" x14ac:dyDescent="0.25"/>
    <row r="340" ht="12.75" hidden="1" x14ac:dyDescent="0.25"/>
    <row r="341" ht="12.75" hidden="1" x14ac:dyDescent="0.25"/>
    <row r="342" ht="12.75" hidden="1" x14ac:dyDescent="0.25"/>
    <row r="343" ht="12.75" hidden="1" x14ac:dyDescent="0.25"/>
    <row r="344" ht="12.75" hidden="1" x14ac:dyDescent="0.25"/>
    <row r="345" ht="12.75" hidden="1" x14ac:dyDescent="0.25"/>
    <row r="346" ht="12.75" hidden="1" x14ac:dyDescent="0.25"/>
    <row r="347" ht="12.75" hidden="1" x14ac:dyDescent="0.25"/>
    <row r="348" ht="12.75" hidden="1" x14ac:dyDescent="0.25"/>
    <row r="349" ht="12.75" hidden="1" x14ac:dyDescent="0.25"/>
    <row r="350" ht="12.75" hidden="1" x14ac:dyDescent="0.25"/>
    <row r="351" ht="12.75" hidden="1" x14ac:dyDescent="0.25"/>
    <row r="352" ht="12.75" hidden="1" x14ac:dyDescent="0.25"/>
    <row r="353" ht="12.75" hidden="1" x14ac:dyDescent="0.25"/>
    <row r="354" ht="12.75" hidden="1" x14ac:dyDescent="0.25"/>
    <row r="355" ht="12.75" hidden="1" x14ac:dyDescent="0.25"/>
    <row r="356" ht="12.75" hidden="1" x14ac:dyDescent="0.25"/>
    <row r="357" ht="12.75" hidden="1" x14ac:dyDescent="0.25"/>
    <row r="358" ht="12.75" hidden="1" x14ac:dyDescent="0.25"/>
    <row r="359" ht="12.75" hidden="1" x14ac:dyDescent="0.25"/>
    <row r="360" ht="12.75" hidden="1" x14ac:dyDescent="0.25"/>
    <row r="361" ht="12.75" hidden="1" x14ac:dyDescent="0.25"/>
    <row r="362" ht="12.75" hidden="1" x14ac:dyDescent="0.25"/>
    <row r="363" ht="12.75" hidden="1" x14ac:dyDescent="0.25"/>
    <row r="364" ht="12.75" hidden="1" x14ac:dyDescent="0.25"/>
    <row r="365" ht="12.75" hidden="1" x14ac:dyDescent="0.25"/>
    <row r="366" ht="12.75" hidden="1" x14ac:dyDescent="0.25"/>
    <row r="367" ht="12.75" hidden="1" x14ac:dyDescent="0.25"/>
    <row r="368" ht="12.75" hidden="1" x14ac:dyDescent="0.25"/>
    <row r="369" ht="12.75" hidden="1" x14ac:dyDescent="0.25"/>
    <row r="370" ht="12.75" hidden="1" x14ac:dyDescent="0.25"/>
    <row r="371" ht="12.75" hidden="1" x14ac:dyDescent="0.25"/>
    <row r="372" ht="12.75" hidden="1" x14ac:dyDescent="0.25"/>
    <row r="373" ht="12.75" hidden="1" x14ac:dyDescent="0.25"/>
    <row r="374" ht="12.75" hidden="1" x14ac:dyDescent="0.25"/>
    <row r="375" ht="12.75" hidden="1" x14ac:dyDescent="0.25"/>
    <row r="376" ht="12.75" hidden="1" x14ac:dyDescent="0.25"/>
    <row r="377" ht="12.75" hidden="1" x14ac:dyDescent="0.25"/>
    <row r="378" ht="12.75" hidden="1" x14ac:dyDescent="0.25"/>
    <row r="379" ht="12.75" hidden="1" x14ac:dyDescent="0.25"/>
    <row r="380" ht="12.75" hidden="1" x14ac:dyDescent="0.25"/>
  </sheetData>
  <sheetProtection algorithmName="SHA-512" hashValue="yMFRYFWHAmvAPZ1+TI6KXE+HhGyXjULUlynK2W4/q+mWVx+kuEJox78ejfs0rNUi54Ycw+gysAFk+JcReiPOgg==" saltValue="8OVHgy/+06o3Td5yVPn4iQ==" spinCount="100000" sheet="1" objects="1" scenarios="1"/>
  <mergeCells count="12">
    <mergeCell ref="A1:B1"/>
    <mergeCell ref="A2:B2"/>
    <mergeCell ref="A3:B3"/>
    <mergeCell ref="A4:B4"/>
    <mergeCell ref="A78:B78"/>
    <mergeCell ref="A95:B95"/>
    <mergeCell ref="A92:B92"/>
    <mergeCell ref="A5:B5"/>
    <mergeCell ref="A14:B14"/>
    <mergeCell ref="A52:B52"/>
    <mergeCell ref="A10:B10"/>
    <mergeCell ref="A12:B12"/>
  </mergeCells>
  <phoneticPr fontId="11" type="noConversion"/>
  <hyperlinks>
    <hyperlink ref="A92:B92" location="'IT 2017-18'!D3" tooltip="Go to Tax Calculation sheet" display="Click here to go to the tax calculation sheet"/>
  </hyperlinks>
  <pageMargins left="0.5" right="0.5" top="0.7" bottom="0.7" header="0.5" footer="0.5"/>
  <pageSetup paperSize="9" scale="90" fitToHeight="0" pageOrder="overThenDown" orientation="portrait" r:id="rId1"/>
  <headerFooter alignWithMargins="0">
    <oddFooter>&amp;C&amp;"Verdana,Bold"Page &amp;P of &amp;N</oddFooter>
  </headerFooter>
  <rowBreaks count="2" manualBreakCount="2">
    <brk id="51" max="1" man="1"/>
    <brk id="77" max="1" man="1"/>
  </rowBreaks>
  <extLst>
    <ext xmlns:x14="http://schemas.microsoft.com/office/spreadsheetml/2009/9/main" uri="{CCE6A557-97BC-4b89-ADB6-D9C93CAAB3DF}">
      <x14:dataValidations xmlns:xm="http://schemas.microsoft.com/office/excel/2006/main" count="1">
        <x14:dataValidation type="date" allowBlank="1" showInputMessage="1" showErrorMessage="1" errorTitle="Date Error" error="Please enter a valid date in dd-mmm-yyyy format">
          <x14:formula1>
            <xm:f>1</xm:f>
          </x14:formula1>
          <x14:formula2>
            <xm:f>Perquisites!P5</xm:f>
          </x14:formula2>
          <xm:sqref>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pageSetUpPr fitToPage="1"/>
  </sheetPr>
  <dimension ref="A1:AG105"/>
  <sheetViews>
    <sheetView showGridLines="0" tabSelected="1" zoomScaleNormal="100" workbookViewId="0">
      <pane xSplit="3" ySplit="2" topLeftCell="D3" activePane="bottomRight" state="frozen"/>
      <selection pane="topRight" activeCell="D1" sqref="D1"/>
      <selection pane="bottomLeft" activeCell="A3" sqref="A3"/>
      <selection pane="bottomRight" activeCell="X35" sqref="X35"/>
    </sheetView>
  </sheetViews>
  <sheetFormatPr defaultColWidth="0" defaultRowHeight="12.75" zeroHeight="1" x14ac:dyDescent="0.25"/>
  <cols>
    <col min="1" max="1" width="3.83203125" style="26" bestFit="1" customWidth="1"/>
    <col min="2" max="2" width="14.83203125" style="26" customWidth="1"/>
    <col min="3" max="3" width="8.83203125" style="29" customWidth="1"/>
    <col min="4" max="6" width="10.83203125" style="26" customWidth="1"/>
    <col min="7" max="7" width="11.83203125" style="26" customWidth="1"/>
    <col min="8" max="15" width="10.83203125" style="26" customWidth="1"/>
    <col min="16" max="16" width="12.83203125" style="26" customWidth="1"/>
    <col min="17" max="19" width="9.83203125" style="26" customWidth="1"/>
    <col min="20" max="20" width="12.83203125" style="26" customWidth="1"/>
    <col min="21" max="26" width="9.33203125" style="26" customWidth="1"/>
    <col min="27" max="27" width="10.83203125" style="26" customWidth="1"/>
    <col min="28" max="28" width="1.83203125" style="26" customWidth="1"/>
    <col min="29" max="32" width="9.33203125" style="26" hidden="1" customWidth="1"/>
    <col min="33" max="33" width="13" style="26" hidden="1" customWidth="1"/>
    <col min="34" max="16384" width="9.33203125" style="26" hidden="1"/>
  </cols>
  <sheetData>
    <row r="1" spans="1:20" ht="30" customHeight="1" x14ac:dyDescent="0.25">
      <c r="A1" s="322" t="str">
        <f>Instructions!B7</f>
        <v>Atul Tegar</v>
      </c>
      <c r="B1" s="322"/>
      <c r="C1" s="322"/>
      <c r="D1" s="322"/>
      <c r="E1" s="322"/>
      <c r="F1" s="322"/>
      <c r="G1" s="322"/>
      <c r="H1" s="322"/>
      <c r="I1" s="322"/>
      <c r="J1" s="322"/>
      <c r="K1" s="322"/>
      <c r="L1" s="322"/>
      <c r="M1" s="322"/>
      <c r="N1" s="322"/>
      <c r="O1" s="322"/>
      <c r="P1" s="322"/>
      <c r="Q1" s="322"/>
      <c r="R1" s="322"/>
      <c r="S1" s="322"/>
      <c r="T1" s="322"/>
    </row>
    <row r="2" spans="1:20" s="27" customFormat="1" x14ac:dyDescent="0.25">
      <c r="C2" s="184" t="s">
        <v>42</v>
      </c>
      <c r="D2" s="185" t="s">
        <v>21</v>
      </c>
      <c r="E2" s="185" t="s">
        <v>17</v>
      </c>
      <c r="F2" s="185" t="s">
        <v>22</v>
      </c>
      <c r="G2" s="185" t="s">
        <v>23</v>
      </c>
      <c r="H2" s="185" t="s">
        <v>24</v>
      </c>
      <c r="I2" s="185" t="s">
        <v>25</v>
      </c>
      <c r="J2" s="185" t="s">
        <v>26</v>
      </c>
      <c r="K2" s="185" t="s">
        <v>27</v>
      </c>
      <c r="L2" s="185" t="s">
        <v>28</v>
      </c>
      <c r="M2" s="185" t="s">
        <v>29</v>
      </c>
      <c r="N2" s="185" t="s">
        <v>30</v>
      </c>
      <c r="O2" s="185" t="s">
        <v>31</v>
      </c>
      <c r="P2" s="185" t="s">
        <v>8</v>
      </c>
      <c r="Q2" s="185" t="s">
        <v>18</v>
      </c>
      <c r="R2" s="185" t="s">
        <v>19</v>
      </c>
      <c r="S2" s="185" t="s">
        <v>80</v>
      </c>
      <c r="T2" s="185" t="s">
        <v>20</v>
      </c>
    </row>
    <row r="3" spans="1:20" x14ac:dyDescent="0.25">
      <c r="A3" s="312" t="s">
        <v>15</v>
      </c>
      <c r="B3" s="185" t="s">
        <v>0</v>
      </c>
      <c r="C3" s="4" t="s">
        <v>32</v>
      </c>
      <c r="D3" s="253">
        <v>33800</v>
      </c>
      <c r="E3" s="253">
        <v>33800</v>
      </c>
      <c r="F3" s="253">
        <v>33800</v>
      </c>
      <c r="G3" s="253">
        <v>33800</v>
      </c>
      <c r="H3" s="253">
        <v>33800</v>
      </c>
      <c r="I3" s="253">
        <v>33800</v>
      </c>
      <c r="J3" s="253">
        <v>33800</v>
      </c>
      <c r="K3" s="253">
        <v>31140</v>
      </c>
      <c r="L3" s="253">
        <v>33800</v>
      </c>
      <c r="M3" s="253">
        <v>30791</v>
      </c>
      <c r="N3" s="253">
        <v>39400</v>
      </c>
      <c r="O3" s="253">
        <v>36600</v>
      </c>
      <c r="P3" s="254">
        <f t="shared" ref="P3:P26" si="0">SUM(D3:O3)</f>
        <v>408331</v>
      </c>
      <c r="Q3" s="323"/>
      <c r="R3" s="324"/>
      <c r="S3" s="325"/>
      <c r="T3" s="254">
        <f t="shared" ref="T3:T27" si="1">SUM(P3:S3)</f>
        <v>408331</v>
      </c>
    </row>
    <row r="4" spans="1:20" x14ac:dyDescent="0.25">
      <c r="A4" s="312"/>
      <c r="B4" s="186" t="s">
        <v>1</v>
      </c>
      <c r="C4" s="231" t="s">
        <v>32</v>
      </c>
      <c r="D4" s="253">
        <v>0</v>
      </c>
      <c r="E4" s="253">
        <v>0</v>
      </c>
      <c r="F4" s="253">
        <v>0</v>
      </c>
      <c r="G4" s="253">
        <v>0</v>
      </c>
      <c r="H4" s="253">
        <v>0</v>
      </c>
      <c r="I4" s="253">
        <v>0</v>
      </c>
      <c r="J4" s="253">
        <v>0</v>
      </c>
      <c r="K4" s="253">
        <v>0</v>
      </c>
      <c r="L4" s="253">
        <v>0</v>
      </c>
      <c r="M4" s="253">
        <v>0</v>
      </c>
      <c r="N4" s="253">
        <v>0</v>
      </c>
      <c r="O4" s="253">
        <v>0</v>
      </c>
      <c r="P4" s="254">
        <f t="shared" si="0"/>
        <v>0</v>
      </c>
      <c r="Q4" s="323"/>
      <c r="R4" s="324"/>
      <c r="S4" s="325"/>
      <c r="T4" s="254">
        <f t="shared" si="1"/>
        <v>0</v>
      </c>
    </row>
    <row r="5" spans="1:20" x14ac:dyDescent="0.25">
      <c r="A5" s="312"/>
      <c r="B5" s="186" t="s">
        <v>2</v>
      </c>
      <c r="C5" s="231" t="s">
        <v>33</v>
      </c>
      <c r="D5" s="253">
        <v>1600</v>
      </c>
      <c r="E5" s="253">
        <v>1600</v>
      </c>
      <c r="F5" s="253">
        <v>1600</v>
      </c>
      <c r="G5" s="253">
        <v>1600</v>
      </c>
      <c r="H5" s="253">
        <v>1600</v>
      </c>
      <c r="I5" s="253">
        <v>1600</v>
      </c>
      <c r="J5" s="253">
        <v>1600</v>
      </c>
      <c r="K5" s="253">
        <v>1474</v>
      </c>
      <c r="L5" s="253">
        <v>1600</v>
      </c>
      <c r="M5" s="253">
        <v>1458</v>
      </c>
      <c r="N5" s="253">
        <v>1600</v>
      </c>
      <c r="O5" s="253">
        <v>1600</v>
      </c>
      <c r="P5" s="254">
        <f t="shared" si="0"/>
        <v>18932</v>
      </c>
      <c r="Q5" s="323"/>
      <c r="R5" s="324"/>
      <c r="S5" s="325"/>
      <c r="T5" s="254">
        <f t="shared" si="1"/>
        <v>18932</v>
      </c>
    </row>
    <row r="6" spans="1:20" x14ac:dyDescent="0.25">
      <c r="A6" s="312"/>
      <c r="B6" s="186" t="s">
        <v>3</v>
      </c>
      <c r="C6" s="231" t="s">
        <v>33</v>
      </c>
      <c r="D6" s="253">
        <v>13520</v>
      </c>
      <c r="E6" s="253">
        <v>13520</v>
      </c>
      <c r="F6" s="253">
        <v>13520</v>
      </c>
      <c r="G6" s="253">
        <v>13520</v>
      </c>
      <c r="H6" s="253">
        <v>13520</v>
      </c>
      <c r="I6" s="253">
        <v>13520</v>
      </c>
      <c r="J6" s="253">
        <v>13520</v>
      </c>
      <c r="K6" s="253">
        <v>12456</v>
      </c>
      <c r="L6" s="253">
        <v>13520</v>
      </c>
      <c r="M6" s="253">
        <v>12316</v>
      </c>
      <c r="N6" s="253">
        <v>15760</v>
      </c>
      <c r="O6" s="253">
        <v>14640</v>
      </c>
      <c r="P6" s="254">
        <f t="shared" si="0"/>
        <v>163332</v>
      </c>
      <c r="Q6" s="323"/>
      <c r="R6" s="324"/>
      <c r="S6" s="325"/>
      <c r="T6" s="254">
        <f t="shared" si="1"/>
        <v>163332</v>
      </c>
    </row>
    <row r="7" spans="1:20" x14ac:dyDescent="0.25">
      <c r="A7" s="312"/>
      <c r="B7" s="186" t="s">
        <v>4</v>
      </c>
      <c r="C7" s="231" t="s">
        <v>33</v>
      </c>
      <c r="D7" s="253">
        <v>0</v>
      </c>
      <c r="E7" s="253">
        <v>0</v>
      </c>
      <c r="F7" s="253">
        <v>0</v>
      </c>
      <c r="G7" s="253">
        <v>0</v>
      </c>
      <c r="H7" s="253">
        <v>0</v>
      </c>
      <c r="I7" s="253">
        <v>0</v>
      </c>
      <c r="J7" s="253">
        <v>0</v>
      </c>
      <c r="K7" s="253">
        <v>0</v>
      </c>
      <c r="L7" s="253">
        <v>0</v>
      </c>
      <c r="M7" s="253">
        <v>0</v>
      </c>
      <c r="N7" s="253">
        <v>0</v>
      </c>
      <c r="O7" s="253">
        <v>0</v>
      </c>
      <c r="P7" s="254">
        <f t="shared" si="0"/>
        <v>0</v>
      </c>
      <c r="Q7" s="323"/>
      <c r="R7" s="324"/>
      <c r="S7" s="325"/>
      <c r="T7" s="254">
        <f t="shared" si="1"/>
        <v>0</v>
      </c>
    </row>
    <row r="8" spans="1:20" x14ac:dyDescent="0.25">
      <c r="A8" s="312"/>
      <c r="B8" s="186" t="s">
        <v>5</v>
      </c>
      <c r="C8" s="231" t="s">
        <v>33</v>
      </c>
      <c r="D8" s="253">
        <v>1250</v>
      </c>
      <c r="E8" s="253">
        <v>1250</v>
      </c>
      <c r="F8" s="253">
        <v>1250</v>
      </c>
      <c r="G8" s="253">
        <v>1250</v>
      </c>
      <c r="H8" s="253">
        <v>1250</v>
      </c>
      <c r="I8" s="253">
        <v>1250</v>
      </c>
      <c r="J8" s="253">
        <v>1250</v>
      </c>
      <c r="K8" s="253">
        <v>1152</v>
      </c>
      <c r="L8" s="253">
        <v>1250</v>
      </c>
      <c r="M8" s="253">
        <v>1139</v>
      </c>
      <c r="N8" s="253">
        <v>1250</v>
      </c>
      <c r="O8" s="253">
        <v>1250</v>
      </c>
      <c r="P8" s="254">
        <f t="shared" si="0"/>
        <v>14791</v>
      </c>
      <c r="Q8" s="323"/>
      <c r="R8" s="324"/>
      <c r="S8" s="325"/>
      <c r="T8" s="254">
        <f t="shared" si="1"/>
        <v>14791</v>
      </c>
    </row>
    <row r="9" spans="1:20" x14ac:dyDescent="0.25">
      <c r="A9" s="312"/>
      <c r="B9" s="186" t="s">
        <v>6</v>
      </c>
      <c r="C9" s="231" t="s">
        <v>33</v>
      </c>
      <c r="D9" s="253">
        <v>0</v>
      </c>
      <c r="E9" s="253">
        <v>0</v>
      </c>
      <c r="F9" s="253">
        <v>0</v>
      </c>
      <c r="G9" s="253">
        <v>0</v>
      </c>
      <c r="H9" s="253">
        <v>0</v>
      </c>
      <c r="I9" s="253">
        <v>0</v>
      </c>
      <c r="J9" s="253">
        <v>0</v>
      </c>
      <c r="K9" s="253">
        <v>0</v>
      </c>
      <c r="L9" s="253">
        <v>19232</v>
      </c>
      <c r="M9" s="253">
        <v>0</v>
      </c>
      <c r="N9" s="253">
        <v>0</v>
      </c>
      <c r="O9" s="253">
        <v>0</v>
      </c>
      <c r="P9" s="254">
        <f t="shared" si="0"/>
        <v>19232</v>
      </c>
      <c r="Q9" s="323"/>
      <c r="R9" s="324"/>
      <c r="S9" s="325"/>
      <c r="T9" s="254">
        <f t="shared" si="1"/>
        <v>19232</v>
      </c>
    </row>
    <row r="10" spans="1:20" x14ac:dyDescent="0.25">
      <c r="A10" s="312"/>
      <c r="B10" s="186" t="s">
        <v>245</v>
      </c>
      <c r="C10" s="231" t="s">
        <v>33</v>
      </c>
      <c r="D10" s="253">
        <v>0</v>
      </c>
      <c r="E10" s="253">
        <v>0</v>
      </c>
      <c r="F10" s="253">
        <v>0</v>
      </c>
      <c r="G10" s="253">
        <v>0</v>
      </c>
      <c r="H10" s="253">
        <v>0</v>
      </c>
      <c r="I10" s="253">
        <v>0</v>
      </c>
      <c r="J10" s="253">
        <v>0</v>
      </c>
      <c r="K10" s="253">
        <v>0</v>
      </c>
      <c r="L10" s="253">
        <v>0</v>
      </c>
      <c r="M10" s="253">
        <v>0</v>
      </c>
      <c r="N10" s="253">
        <v>0</v>
      </c>
      <c r="O10" s="253">
        <v>0</v>
      </c>
      <c r="P10" s="254">
        <f t="shared" si="0"/>
        <v>0</v>
      </c>
      <c r="Q10" s="323"/>
      <c r="R10" s="324"/>
      <c r="S10" s="325"/>
      <c r="T10" s="254">
        <f t="shared" si="1"/>
        <v>0</v>
      </c>
    </row>
    <row r="11" spans="1:20" x14ac:dyDescent="0.25">
      <c r="A11" s="312"/>
      <c r="B11" s="186" t="s">
        <v>447</v>
      </c>
      <c r="C11" s="231" t="s">
        <v>33</v>
      </c>
      <c r="D11" s="253">
        <v>0</v>
      </c>
      <c r="E11" s="253">
        <v>0</v>
      </c>
      <c r="F11" s="253">
        <v>0</v>
      </c>
      <c r="G11" s="253">
        <v>0</v>
      </c>
      <c r="H11" s="253">
        <v>0</v>
      </c>
      <c r="I11" s="253">
        <v>0</v>
      </c>
      <c r="J11" s="253">
        <v>0</v>
      </c>
      <c r="K11" s="253">
        <v>0</v>
      </c>
      <c r="L11" s="253">
        <v>0</v>
      </c>
      <c r="M11" s="253">
        <v>0</v>
      </c>
      <c r="N11" s="253">
        <v>0</v>
      </c>
      <c r="O11" s="253">
        <v>0</v>
      </c>
      <c r="P11" s="254">
        <f t="shared" si="0"/>
        <v>0</v>
      </c>
      <c r="Q11" s="323"/>
      <c r="R11" s="324"/>
      <c r="S11" s="325"/>
      <c r="T11" s="254">
        <f t="shared" si="1"/>
        <v>0</v>
      </c>
    </row>
    <row r="12" spans="1:20" x14ac:dyDescent="0.25">
      <c r="A12" s="312"/>
      <c r="B12" s="187" t="s">
        <v>454</v>
      </c>
      <c r="C12" s="231" t="s">
        <v>33</v>
      </c>
      <c r="D12" s="253">
        <v>34330</v>
      </c>
      <c r="E12" s="253">
        <v>34330</v>
      </c>
      <c r="F12" s="253">
        <v>34330</v>
      </c>
      <c r="G12" s="253">
        <v>34330</v>
      </c>
      <c r="H12" s="253">
        <v>34330</v>
      </c>
      <c r="I12" s="253">
        <v>34330</v>
      </c>
      <c r="J12" s="253">
        <v>34330</v>
      </c>
      <c r="K12" s="253">
        <v>31628</v>
      </c>
      <c r="L12" s="253">
        <v>34330</v>
      </c>
      <c r="M12" s="253">
        <v>31274</v>
      </c>
      <c r="N12" s="253">
        <v>40490</v>
      </c>
      <c r="O12" s="253">
        <v>37410</v>
      </c>
      <c r="P12" s="254">
        <f t="shared" si="0"/>
        <v>415442</v>
      </c>
      <c r="Q12" s="323"/>
      <c r="R12" s="324"/>
      <c r="S12" s="325"/>
      <c r="T12" s="254">
        <f t="shared" si="1"/>
        <v>415442</v>
      </c>
    </row>
    <row r="13" spans="1:20" x14ac:dyDescent="0.25">
      <c r="A13" s="312"/>
      <c r="B13" s="187" t="s">
        <v>7</v>
      </c>
      <c r="C13" s="232" t="s">
        <v>33</v>
      </c>
      <c r="D13" s="253">
        <v>0</v>
      </c>
      <c r="E13" s="253">
        <v>0</v>
      </c>
      <c r="F13" s="253">
        <v>0</v>
      </c>
      <c r="G13" s="253">
        <v>0</v>
      </c>
      <c r="H13" s="253">
        <v>0</v>
      </c>
      <c r="I13" s="253">
        <v>0</v>
      </c>
      <c r="J13" s="253">
        <v>0</v>
      </c>
      <c r="K13" s="253">
        <v>0</v>
      </c>
      <c r="L13" s="253">
        <v>0</v>
      </c>
      <c r="M13" s="253">
        <v>0</v>
      </c>
      <c r="N13" s="253">
        <v>0</v>
      </c>
      <c r="O13" s="253">
        <v>0</v>
      </c>
      <c r="P13" s="254">
        <f t="shared" si="0"/>
        <v>0</v>
      </c>
      <c r="Q13" s="323"/>
      <c r="R13" s="324"/>
      <c r="S13" s="325"/>
      <c r="T13" s="254">
        <f t="shared" si="1"/>
        <v>0</v>
      </c>
    </row>
    <row r="14" spans="1:20" x14ac:dyDescent="0.25">
      <c r="A14" s="312"/>
      <c r="B14" s="187" t="s">
        <v>7</v>
      </c>
      <c r="C14" s="232" t="s">
        <v>33</v>
      </c>
      <c r="D14" s="253">
        <v>0</v>
      </c>
      <c r="E14" s="253">
        <v>0</v>
      </c>
      <c r="F14" s="253">
        <v>0</v>
      </c>
      <c r="G14" s="253">
        <v>0</v>
      </c>
      <c r="H14" s="253">
        <v>0</v>
      </c>
      <c r="I14" s="253">
        <v>0</v>
      </c>
      <c r="J14" s="253">
        <v>0</v>
      </c>
      <c r="K14" s="253">
        <v>0</v>
      </c>
      <c r="L14" s="253">
        <v>0</v>
      </c>
      <c r="M14" s="253">
        <v>0</v>
      </c>
      <c r="N14" s="253">
        <v>0</v>
      </c>
      <c r="O14" s="253">
        <v>0</v>
      </c>
      <c r="P14" s="254">
        <f t="shared" si="0"/>
        <v>0</v>
      </c>
      <c r="Q14" s="323"/>
      <c r="R14" s="324"/>
      <c r="S14" s="325"/>
      <c r="T14" s="254">
        <f t="shared" si="1"/>
        <v>0</v>
      </c>
    </row>
    <row r="15" spans="1:20" x14ac:dyDescent="0.25">
      <c r="A15" s="312"/>
      <c r="B15" s="187" t="s">
        <v>7</v>
      </c>
      <c r="C15" s="232" t="s">
        <v>33</v>
      </c>
      <c r="D15" s="253">
        <v>0</v>
      </c>
      <c r="E15" s="253">
        <v>0</v>
      </c>
      <c r="F15" s="253">
        <v>0</v>
      </c>
      <c r="G15" s="253">
        <v>0</v>
      </c>
      <c r="H15" s="253">
        <v>0</v>
      </c>
      <c r="I15" s="253">
        <v>0</v>
      </c>
      <c r="J15" s="253">
        <v>0</v>
      </c>
      <c r="K15" s="253">
        <v>0</v>
      </c>
      <c r="L15" s="253">
        <v>0</v>
      </c>
      <c r="M15" s="253">
        <v>0</v>
      </c>
      <c r="N15" s="253">
        <v>0</v>
      </c>
      <c r="O15" s="253">
        <v>0</v>
      </c>
      <c r="P15" s="254">
        <f t="shared" si="0"/>
        <v>0</v>
      </c>
      <c r="Q15" s="323"/>
      <c r="R15" s="324"/>
      <c r="S15" s="325"/>
      <c r="T15" s="254">
        <f t="shared" si="1"/>
        <v>0</v>
      </c>
    </row>
    <row r="16" spans="1:20" x14ac:dyDescent="0.25">
      <c r="A16" s="312"/>
      <c r="B16" s="187" t="s">
        <v>7</v>
      </c>
      <c r="C16" s="232" t="s">
        <v>33</v>
      </c>
      <c r="D16" s="253">
        <v>0</v>
      </c>
      <c r="E16" s="253">
        <v>0</v>
      </c>
      <c r="F16" s="253">
        <v>0</v>
      </c>
      <c r="G16" s="253">
        <v>0</v>
      </c>
      <c r="H16" s="253">
        <v>0</v>
      </c>
      <c r="I16" s="253">
        <v>0</v>
      </c>
      <c r="J16" s="253">
        <v>0</v>
      </c>
      <c r="K16" s="253">
        <v>0</v>
      </c>
      <c r="L16" s="253">
        <v>0</v>
      </c>
      <c r="M16" s="253">
        <v>0</v>
      </c>
      <c r="N16" s="253">
        <v>0</v>
      </c>
      <c r="O16" s="253">
        <v>0</v>
      </c>
      <c r="P16" s="254">
        <f t="shared" si="0"/>
        <v>0</v>
      </c>
      <c r="Q16" s="323"/>
      <c r="R16" s="324"/>
      <c r="S16" s="325"/>
      <c r="T16" s="254">
        <f t="shared" si="1"/>
        <v>0</v>
      </c>
    </row>
    <row r="17" spans="1:21" x14ac:dyDescent="0.25">
      <c r="A17" s="312"/>
      <c r="B17" s="187" t="s">
        <v>7</v>
      </c>
      <c r="C17" s="232" t="s">
        <v>33</v>
      </c>
      <c r="D17" s="253">
        <v>0</v>
      </c>
      <c r="E17" s="253">
        <v>0</v>
      </c>
      <c r="F17" s="253">
        <v>0</v>
      </c>
      <c r="G17" s="253">
        <v>0</v>
      </c>
      <c r="H17" s="253">
        <v>0</v>
      </c>
      <c r="I17" s="253">
        <v>0</v>
      </c>
      <c r="J17" s="253">
        <v>0</v>
      </c>
      <c r="K17" s="253">
        <v>0</v>
      </c>
      <c r="L17" s="253">
        <v>0</v>
      </c>
      <c r="M17" s="253">
        <v>0</v>
      </c>
      <c r="N17" s="253">
        <v>0</v>
      </c>
      <c r="O17" s="253">
        <v>0</v>
      </c>
      <c r="P17" s="254">
        <f t="shared" si="0"/>
        <v>0</v>
      </c>
      <c r="Q17" s="323"/>
      <c r="R17" s="324"/>
      <c r="S17" s="325"/>
      <c r="T17" s="254">
        <f t="shared" si="1"/>
        <v>0</v>
      </c>
    </row>
    <row r="18" spans="1:21" x14ac:dyDescent="0.25">
      <c r="A18" s="312"/>
      <c r="B18" s="187" t="s">
        <v>7</v>
      </c>
      <c r="C18" s="232" t="s">
        <v>33</v>
      </c>
      <c r="D18" s="253">
        <v>0</v>
      </c>
      <c r="E18" s="253">
        <v>0</v>
      </c>
      <c r="F18" s="253">
        <v>0</v>
      </c>
      <c r="G18" s="253">
        <v>0</v>
      </c>
      <c r="H18" s="253">
        <v>0</v>
      </c>
      <c r="I18" s="253">
        <v>0</v>
      </c>
      <c r="J18" s="253">
        <v>0</v>
      </c>
      <c r="K18" s="253">
        <v>0</v>
      </c>
      <c r="L18" s="253">
        <v>0</v>
      </c>
      <c r="M18" s="253">
        <v>0</v>
      </c>
      <c r="N18" s="253">
        <v>0</v>
      </c>
      <c r="O18" s="253">
        <v>0</v>
      </c>
      <c r="P18" s="254">
        <f t="shared" si="0"/>
        <v>0</v>
      </c>
      <c r="Q18" s="323"/>
      <c r="R18" s="324"/>
      <c r="S18" s="325"/>
      <c r="T18" s="254">
        <f t="shared" si="1"/>
        <v>0</v>
      </c>
    </row>
    <row r="19" spans="1:21" x14ac:dyDescent="0.25">
      <c r="A19" s="312"/>
      <c r="B19" s="187" t="s">
        <v>7</v>
      </c>
      <c r="C19" s="232" t="s">
        <v>33</v>
      </c>
      <c r="D19" s="253">
        <v>0</v>
      </c>
      <c r="E19" s="253">
        <v>0</v>
      </c>
      <c r="F19" s="253">
        <v>0</v>
      </c>
      <c r="G19" s="253">
        <v>0</v>
      </c>
      <c r="H19" s="253">
        <v>0</v>
      </c>
      <c r="I19" s="253">
        <v>0</v>
      </c>
      <c r="J19" s="253">
        <v>0</v>
      </c>
      <c r="K19" s="253">
        <v>0</v>
      </c>
      <c r="L19" s="253">
        <v>0</v>
      </c>
      <c r="M19" s="253">
        <v>0</v>
      </c>
      <c r="N19" s="253">
        <v>0</v>
      </c>
      <c r="O19" s="253">
        <v>0</v>
      </c>
      <c r="P19" s="254">
        <f t="shared" si="0"/>
        <v>0</v>
      </c>
      <c r="Q19" s="323"/>
      <c r="R19" s="324"/>
      <c r="S19" s="325"/>
      <c r="T19" s="254">
        <f t="shared" si="1"/>
        <v>0</v>
      </c>
    </row>
    <row r="20" spans="1:21" x14ac:dyDescent="0.25">
      <c r="A20" s="312"/>
      <c r="B20" s="187" t="s">
        <v>7</v>
      </c>
      <c r="C20" s="232" t="s">
        <v>33</v>
      </c>
      <c r="D20" s="253">
        <v>0</v>
      </c>
      <c r="E20" s="253">
        <v>0</v>
      </c>
      <c r="F20" s="253">
        <v>0</v>
      </c>
      <c r="G20" s="253">
        <v>0</v>
      </c>
      <c r="H20" s="253">
        <v>0</v>
      </c>
      <c r="I20" s="253">
        <v>0</v>
      </c>
      <c r="J20" s="253">
        <v>0</v>
      </c>
      <c r="K20" s="253">
        <v>0</v>
      </c>
      <c r="L20" s="253">
        <v>0</v>
      </c>
      <c r="M20" s="253">
        <v>0</v>
      </c>
      <c r="N20" s="253">
        <v>0</v>
      </c>
      <c r="O20" s="253">
        <v>0</v>
      </c>
      <c r="P20" s="254">
        <f t="shared" si="0"/>
        <v>0</v>
      </c>
      <c r="Q20" s="323"/>
      <c r="R20" s="324"/>
      <c r="S20" s="325"/>
      <c r="T20" s="254">
        <f t="shared" si="1"/>
        <v>0</v>
      </c>
    </row>
    <row r="21" spans="1:21" x14ac:dyDescent="0.25">
      <c r="A21" s="312"/>
      <c r="B21" s="188" t="s">
        <v>8</v>
      </c>
      <c r="C21" s="28"/>
      <c r="D21" s="255">
        <f t="shared" ref="D21:O21" si="2">SUM(D3:D20)</f>
        <v>84500</v>
      </c>
      <c r="E21" s="255">
        <f t="shared" si="2"/>
        <v>84500</v>
      </c>
      <c r="F21" s="255">
        <f t="shared" si="2"/>
        <v>84500</v>
      </c>
      <c r="G21" s="255">
        <f t="shared" si="2"/>
        <v>84500</v>
      </c>
      <c r="H21" s="255">
        <f t="shared" si="2"/>
        <v>84500</v>
      </c>
      <c r="I21" s="255">
        <f t="shared" si="2"/>
        <v>84500</v>
      </c>
      <c r="J21" s="255">
        <f t="shared" si="2"/>
        <v>84500</v>
      </c>
      <c r="K21" s="255">
        <f t="shared" si="2"/>
        <v>77850</v>
      </c>
      <c r="L21" s="255">
        <f t="shared" si="2"/>
        <v>103732</v>
      </c>
      <c r="M21" s="255">
        <f t="shared" si="2"/>
        <v>76978</v>
      </c>
      <c r="N21" s="255">
        <f t="shared" si="2"/>
        <v>98500</v>
      </c>
      <c r="O21" s="255">
        <f t="shared" si="2"/>
        <v>91500</v>
      </c>
      <c r="P21" s="254">
        <f t="shared" si="0"/>
        <v>1040060</v>
      </c>
      <c r="Q21" s="256">
        <f>MAX(Perquisites!K53+MAX((P41-P95),0),0)</f>
        <v>0</v>
      </c>
      <c r="R21" s="253">
        <v>105625</v>
      </c>
      <c r="S21" s="253">
        <v>0</v>
      </c>
      <c r="T21" s="254">
        <f t="shared" si="1"/>
        <v>1145685</v>
      </c>
    </row>
    <row r="22" spans="1:21" x14ac:dyDescent="0.25">
      <c r="A22" s="312" t="s">
        <v>16</v>
      </c>
      <c r="B22" s="188" t="s">
        <v>182</v>
      </c>
      <c r="C22" s="28"/>
      <c r="D22" s="253">
        <v>200</v>
      </c>
      <c r="E22" s="253">
        <v>200</v>
      </c>
      <c r="F22" s="253">
        <v>200</v>
      </c>
      <c r="G22" s="253">
        <v>200</v>
      </c>
      <c r="H22" s="253">
        <v>200</v>
      </c>
      <c r="I22" s="253">
        <v>200</v>
      </c>
      <c r="J22" s="253">
        <v>200</v>
      </c>
      <c r="K22" s="253">
        <v>200</v>
      </c>
      <c r="L22" s="253">
        <v>200</v>
      </c>
      <c r="M22" s="253">
        <v>200</v>
      </c>
      <c r="N22" s="253">
        <v>300</v>
      </c>
      <c r="O22" s="253">
        <v>200</v>
      </c>
      <c r="P22" s="254">
        <f t="shared" si="0"/>
        <v>2500</v>
      </c>
      <c r="Q22" s="323"/>
      <c r="R22" s="324"/>
      <c r="S22" s="325"/>
      <c r="T22" s="254">
        <f t="shared" si="1"/>
        <v>2500</v>
      </c>
    </row>
    <row r="23" spans="1:21" x14ac:dyDescent="0.25">
      <c r="A23" s="312"/>
      <c r="B23" s="188" t="s">
        <v>9</v>
      </c>
      <c r="C23" s="28"/>
      <c r="D23" s="257">
        <f t="shared" ref="D23:O23" si="3">MIN(D92*D48,$AE$51)</f>
        <v>4056</v>
      </c>
      <c r="E23" s="257">
        <f t="shared" si="3"/>
        <v>4056</v>
      </c>
      <c r="F23" s="257">
        <f t="shared" si="3"/>
        <v>4056</v>
      </c>
      <c r="G23" s="257">
        <f t="shared" si="3"/>
        <v>4056</v>
      </c>
      <c r="H23" s="257">
        <f t="shared" si="3"/>
        <v>4056</v>
      </c>
      <c r="I23" s="257">
        <f t="shared" si="3"/>
        <v>4056</v>
      </c>
      <c r="J23" s="257">
        <f t="shared" si="3"/>
        <v>4056</v>
      </c>
      <c r="K23" s="257">
        <f t="shared" si="3"/>
        <v>3737</v>
      </c>
      <c r="L23" s="257">
        <f t="shared" si="3"/>
        <v>4056</v>
      </c>
      <c r="M23" s="257">
        <f t="shared" si="3"/>
        <v>3695</v>
      </c>
      <c r="N23" s="257">
        <f t="shared" si="3"/>
        <v>4728</v>
      </c>
      <c r="O23" s="257">
        <f t="shared" si="3"/>
        <v>4392</v>
      </c>
      <c r="P23" s="254">
        <f t="shared" si="0"/>
        <v>49000</v>
      </c>
      <c r="Q23" s="258"/>
      <c r="R23" s="253">
        <v>0</v>
      </c>
      <c r="S23" s="257"/>
      <c r="T23" s="254">
        <f t="shared" si="1"/>
        <v>49000</v>
      </c>
    </row>
    <row r="24" spans="1:21" x14ac:dyDescent="0.25">
      <c r="A24" s="312"/>
      <c r="B24" s="188" t="s">
        <v>10</v>
      </c>
      <c r="C24" s="28"/>
      <c r="D24" s="257">
        <f t="shared" ref="D24:O24" si="4">IF($AA$58="P",D92*D91,D43)</f>
        <v>0</v>
      </c>
      <c r="E24" s="257">
        <f t="shared" si="4"/>
        <v>0</v>
      </c>
      <c r="F24" s="257">
        <f t="shared" si="4"/>
        <v>0</v>
      </c>
      <c r="G24" s="257">
        <f t="shared" si="4"/>
        <v>0</v>
      </c>
      <c r="H24" s="257">
        <f t="shared" si="4"/>
        <v>0</v>
      </c>
      <c r="I24" s="257">
        <f t="shared" si="4"/>
        <v>0</v>
      </c>
      <c r="J24" s="257">
        <f t="shared" si="4"/>
        <v>0</v>
      </c>
      <c r="K24" s="257">
        <f t="shared" si="4"/>
        <v>0</v>
      </c>
      <c r="L24" s="257">
        <f t="shared" si="4"/>
        <v>0</v>
      </c>
      <c r="M24" s="257">
        <f t="shared" si="4"/>
        <v>0</v>
      </c>
      <c r="N24" s="257">
        <f t="shared" si="4"/>
        <v>0</v>
      </c>
      <c r="O24" s="257">
        <f t="shared" si="4"/>
        <v>0</v>
      </c>
      <c r="P24" s="254">
        <f t="shared" si="0"/>
        <v>0</v>
      </c>
      <c r="Q24" s="258"/>
      <c r="R24" s="253">
        <v>0</v>
      </c>
      <c r="S24" s="259"/>
      <c r="T24" s="254">
        <f t="shared" si="1"/>
        <v>0</v>
      </c>
    </row>
    <row r="25" spans="1:21" x14ac:dyDescent="0.25">
      <c r="A25" s="312"/>
      <c r="B25" s="188" t="s">
        <v>11</v>
      </c>
      <c r="C25" s="28"/>
      <c r="D25" s="253">
        <v>1401</v>
      </c>
      <c r="E25" s="253">
        <v>1402</v>
      </c>
      <c r="F25" s="253">
        <v>1401</v>
      </c>
      <c r="G25" s="253">
        <v>1402</v>
      </c>
      <c r="H25" s="253">
        <v>1401</v>
      </c>
      <c r="I25" s="253">
        <v>1402</v>
      </c>
      <c r="J25" s="253">
        <v>12299</v>
      </c>
      <c r="K25" s="253">
        <v>2876</v>
      </c>
      <c r="L25" s="253">
        <v>5706</v>
      </c>
      <c r="M25" s="253">
        <v>6221</v>
      </c>
      <c r="N25" s="253">
        <v>9803</v>
      </c>
      <c r="O25" s="253">
        <v>0</v>
      </c>
      <c r="P25" s="254">
        <f t="shared" si="0"/>
        <v>45314</v>
      </c>
      <c r="Q25" s="253">
        <v>0</v>
      </c>
      <c r="R25" s="253">
        <v>0</v>
      </c>
      <c r="S25" s="253">
        <v>0</v>
      </c>
      <c r="T25" s="254">
        <f t="shared" si="1"/>
        <v>45314</v>
      </c>
    </row>
    <row r="26" spans="1:21" x14ac:dyDescent="0.25">
      <c r="A26" s="312"/>
      <c r="B26" s="188" t="s">
        <v>12</v>
      </c>
      <c r="C26" s="28"/>
      <c r="D26" s="253">
        <v>15500</v>
      </c>
      <c r="E26" s="253">
        <v>15500</v>
      </c>
      <c r="F26" s="253">
        <v>15500</v>
      </c>
      <c r="G26" s="253">
        <v>15500</v>
      </c>
      <c r="H26" s="253">
        <v>15500</v>
      </c>
      <c r="I26" s="253">
        <v>15500</v>
      </c>
      <c r="J26" s="253">
        <v>15500</v>
      </c>
      <c r="K26" s="253">
        <v>16500</v>
      </c>
      <c r="L26" s="253">
        <v>16500</v>
      </c>
      <c r="M26" s="253">
        <v>16500</v>
      </c>
      <c r="N26" s="253">
        <v>16500</v>
      </c>
      <c r="O26" s="253">
        <v>16500</v>
      </c>
      <c r="P26" s="254">
        <f t="shared" si="0"/>
        <v>191000</v>
      </c>
      <c r="Q26" s="253">
        <v>0</v>
      </c>
      <c r="R26" s="253">
        <v>0</v>
      </c>
      <c r="S26" s="253">
        <v>0</v>
      </c>
      <c r="T26" s="254">
        <f t="shared" si="1"/>
        <v>191000</v>
      </c>
      <c r="U26" s="146" t="str">
        <f>IF(AND(P26&lt;&gt;0,SUM(Q25:S26)&lt;&gt;0),"ERROR! Enter only one set: D26-O26 or Q26-S26; not both","")</f>
        <v/>
      </c>
    </row>
    <row r="27" spans="1:21" x14ac:dyDescent="0.25">
      <c r="A27" s="312"/>
      <c r="B27" s="188" t="s">
        <v>13</v>
      </c>
      <c r="C27" s="28"/>
      <c r="D27" s="253">
        <v>0</v>
      </c>
      <c r="E27" s="253">
        <v>0</v>
      </c>
      <c r="F27" s="253">
        <v>0</v>
      </c>
      <c r="G27" s="253">
        <v>0</v>
      </c>
      <c r="H27" s="253">
        <v>0</v>
      </c>
      <c r="I27" s="253">
        <v>0</v>
      </c>
      <c r="J27" s="253">
        <v>0</v>
      </c>
      <c r="K27" s="253">
        <v>0</v>
      </c>
      <c r="L27" s="253">
        <v>0</v>
      </c>
      <c r="M27" s="253">
        <v>0</v>
      </c>
      <c r="N27" s="253">
        <v>0</v>
      </c>
      <c r="O27" s="253">
        <v>0</v>
      </c>
      <c r="P27" s="254">
        <f t="shared" ref="P27:P38" si="5">SUM(D27:O27)</f>
        <v>0</v>
      </c>
      <c r="Q27" s="323"/>
      <c r="R27" s="324"/>
      <c r="S27" s="325"/>
      <c r="T27" s="254">
        <f t="shared" si="1"/>
        <v>0</v>
      </c>
    </row>
    <row r="28" spans="1:21" x14ac:dyDescent="0.25">
      <c r="A28" s="312"/>
      <c r="B28" s="189" t="s">
        <v>14</v>
      </c>
      <c r="C28" s="28"/>
      <c r="D28" s="253">
        <v>0</v>
      </c>
      <c r="E28" s="253">
        <v>0</v>
      </c>
      <c r="F28" s="253">
        <v>0</v>
      </c>
      <c r="G28" s="253">
        <v>0</v>
      </c>
      <c r="H28" s="253">
        <v>0</v>
      </c>
      <c r="I28" s="253">
        <v>0</v>
      </c>
      <c r="J28" s="253">
        <v>0</v>
      </c>
      <c r="K28" s="253">
        <v>0</v>
      </c>
      <c r="L28" s="253">
        <v>0</v>
      </c>
      <c r="M28" s="253">
        <v>0</v>
      </c>
      <c r="N28" s="253">
        <v>0</v>
      </c>
      <c r="O28" s="253">
        <v>0</v>
      </c>
      <c r="P28" s="254">
        <f t="shared" si="5"/>
        <v>0</v>
      </c>
      <c r="Q28" s="323"/>
      <c r="R28" s="324"/>
      <c r="S28" s="325"/>
      <c r="T28" s="254">
        <f t="shared" ref="T28:T38" si="6">SUM(P28:S28)</f>
        <v>0</v>
      </c>
    </row>
    <row r="29" spans="1:21" x14ac:dyDescent="0.25">
      <c r="A29" s="312"/>
      <c r="B29" s="189" t="s">
        <v>14</v>
      </c>
      <c r="C29" s="28"/>
      <c r="D29" s="253">
        <v>0</v>
      </c>
      <c r="E29" s="253">
        <v>0</v>
      </c>
      <c r="F29" s="253">
        <v>0</v>
      </c>
      <c r="G29" s="253">
        <v>0</v>
      </c>
      <c r="H29" s="253">
        <v>0</v>
      </c>
      <c r="I29" s="253">
        <v>0</v>
      </c>
      <c r="J29" s="253">
        <v>0</v>
      </c>
      <c r="K29" s="253">
        <v>0</v>
      </c>
      <c r="L29" s="253">
        <v>0</v>
      </c>
      <c r="M29" s="253">
        <v>0</v>
      </c>
      <c r="N29" s="253">
        <v>0</v>
      </c>
      <c r="O29" s="253">
        <v>0</v>
      </c>
      <c r="P29" s="254">
        <f t="shared" si="5"/>
        <v>0</v>
      </c>
      <c r="Q29" s="323"/>
      <c r="R29" s="324"/>
      <c r="S29" s="325"/>
      <c r="T29" s="254">
        <f t="shared" si="6"/>
        <v>0</v>
      </c>
    </row>
    <row r="30" spans="1:21" x14ac:dyDescent="0.25">
      <c r="A30" s="312"/>
      <c r="B30" s="189" t="s">
        <v>14</v>
      </c>
      <c r="C30" s="28"/>
      <c r="D30" s="253">
        <v>0</v>
      </c>
      <c r="E30" s="253">
        <v>0</v>
      </c>
      <c r="F30" s="253">
        <v>0</v>
      </c>
      <c r="G30" s="253">
        <v>0</v>
      </c>
      <c r="H30" s="253">
        <v>0</v>
      </c>
      <c r="I30" s="253">
        <v>0</v>
      </c>
      <c r="J30" s="253">
        <v>0</v>
      </c>
      <c r="K30" s="253">
        <v>0</v>
      </c>
      <c r="L30" s="253">
        <v>0</v>
      </c>
      <c r="M30" s="253">
        <v>0</v>
      </c>
      <c r="N30" s="253">
        <v>0</v>
      </c>
      <c r="O30" s="253">
        <v>0</v>
      </c>
      <c r="P30" s="254">
        <f t="shared" si="5"/>
        <v>0</v>
      </c>
      <c r="Q30" s="323"/>
      <c r="R30" s="324"/>
      <c r="S30" s="325"/>
      <c r="T30" s="254">
        <f t="shared" si="6"/>
        <v>0</v>
      </c>
    </row>
    <row r="31" spans="1:21" x14ac:dyDescent="0.25">
      <c r="A31" s="312"/>
      <c r="B31" s="189" t="s">
        <v>14</v>
      </c>
      <c r="C31" s="28"/>
      <c r="D31" s="253">
        <v>0</v>
      </c>
      <c r="E31" s="253">
        <v>0</v>
      </c>
      <c r="F31" s="253">
        <v>0</v>
      </c>
      <c r="G31" s="253">
        <v>0</v>
      </c>
      <c r="H31" s="253">
        <v>0</v>
      </c>
      <c r="I31" s="253">
        <v>0</v>
      </c>
      <c r="J31" s="253">
        <v>0</v>
      </c>
      <c r="K31" s="253">
        <v>0</v>
      </c>
      <c r="L31" s="253">
        <v>0</v>
      </c>
      <c r="M31" s="253">
        <v>0</v>
      </c>
      <c r="N31" s="253">
        <v>0</v>
      </c>
      <c r="O31" s="253">
        <v>0</v>
      </c>
      <c r="P31" s="254">
        <f>SUM(D31:O31)</f>
        <v>0</v>
      </c>
      <c r="Q31" s="323"/>
      <c r="R31" s="324"/>
      <c r="S31" s="325"/>
      <c r="T31" s="254">
        <f>SUM(P31:S31)</f>
        <v>0</v>
      </c>
    </row>
    <row r="32" spans="1:21" x14ac:dyDescent="0.25">
      <c r="A32" s="312"/>
      <c r="B32" s="189" t="s">
        <v>14</v>
      </c>
      <c r="C32" s="28"/>
      <c r="D32" s="253">
        <v>0</v>
      </c>
      <c r="E32" s="253">
        <v>0</v>
      </c>
      <c r="F32" s="253">
        <v>0</v>
      </c>
      <c r="G32" s="253">
        <v>0</v>
      </c>
      <c r="H32" s="253">
        <v>0</v>
      </c>
      <c r="I32" s="253">
        <v>0</v>
      </c>
      <c r="J32" s="253">
        <v>0</v>
      </c>
      <c r="K32" s="253">
        <v>0</v>
      </c>
      <c r="L32" s="253">
        <v>0</v>
      </c>
      <c r="M32" s="253">
        <v>0</v>
      </c>
      <c r="N32" s="253">
        <v>0</v>
      </c>
      <c r="O32" s="253">
        <v>0</v>
      </c>
      <c r="P32" s="254">
        <f t="shared" si="5"/>
        <v>0</v>
      </c>
      <c r="Q32" s="323"/>
      <c r="R32" s="324"/>
      <c r="S32" s="325"/>
      <c r="T32" s="254">
        <f t="shared" si="6"/>
        <v>0</v>
      </c>
    </row>
    <row r="33" spans="1:20" x14ac:dyDescent="0.25">
      <c r="A33" s="312"/>
      <c r="B33" s="189" t="s">
        <v>14</v>
      </c>
      <c r="C33" s="28"/>
      <c r="D33" s="253">
        <v>0</v>
      </c>
      <c r="E33" s="253">
        <v>0</v>
      </c>
      <c r="F33" s="253">
        <v>0</v>
      </c>
      <c r="G33" s="253">
        <v>0</v>
      </c>
      <c r="H33" s="253">
        <v>0</v>
      </c>
      <c r="I33" s="253">
        <v>0</v>
      </c>
      <c r="J33" s="253">
        <v>0</v>
      </c>
      <c r="K33" s="253">
        <v>0</v>
      </c>
      <c r="L33" s="253">
        <v>0</v>
      </c>
      <c r="M33" s="253">
        <v>0</v>
      </c>
      <c r="N33" s="253">
        <v>0</v>
      </c>
      <c r="O33" s="253">
        <v>0</v>
      </c>
      <c r="P33" s="254">
        <f t="shared" si="5"/>
        <v>0</v>
      </c>
      <c r="Q33" s="323"/>
      <c r="R33" s="324"/>
      <c r="S33" s="325"/>
      <c r="T33" s="254">
        <f t="shared" si="6"/>
        <v>0</v>
      </c>
    </row>
    <row r="34" spans="1:20" x14ac:dyDescent="0.25">
      <c r="A34" s="312"/>
      <c r="B34" s="189" t="s">
        <v>14</v>
      </c>
      <c r="C34" s="28"/>
      <c r="D34" s="253">
        <v>0</v>
      </c>
      <c r="E34" s="253">
        <v>0</v>
      </c>
      <c r="F34" s="253">
        <v>0</v>
      </c>
      <c r="G34" s="253">
        <v>0</v>
      </c>
      <c r="H34" s="253">
        <v>0</v>
      </c>
      <c r="I34" s="253">
        <v>0</v>
      </c>
      <c r="J34" s="253">
        <v>0</v>
      </c>
      <c r="K34" s="253">
        <v>0</v>
      </c>
      <c r="L34" s="253">
        <v>0</v>
      </c>
      <c r="M34" s="253">
        <v>0</v>
      </c>
      <c r="N34" s="253">
        <v>0</v>
      </c>
      <c r="O34" s="253">
        <v>0</v>
      </c>
      <c r="P34" s="254">
        <f t="shared" si="5"/>
        <v>0</v>
      </c>
      <c r="Q34" s="323"/>
      <c r="R34" s="324"/>
      <c r="S34" s="325"/>
      <c r="T34" s="254">
        <f t="shared" si="6"/>
        <v>0</v>
      </c>
    </row>
    <row r="35" spans="1:20" x14ac:dyDescent="0.25">
      <c r="A35" s="312"/>
      <c r="B35" s="189" t="s">
        <v>14</v>
      </c>
      <c r="C35" s="28"/>
      <c r="D35" s="253">
        <v>0</v>
      </c>
      <c r="E35" s="253">
        <v>0</v>
      </c>
      <c r="F35" s="253">
        <v>0</v>
      </c>
      <c r="G35" s="253">
        <v>0</v>
      </c>
      <c r="H35" s="253">
        <v>0</v>
      </c>
      <c r="I35" s="253">
        <v>0</v>
      </c>
      <c r="J35" s="253">
        <v>0</v>
      </c>
      <c r="K35" s="253">
        <v>0</v>
      </c>
      <c r="L35" s="253">
        <v>0</v>
      </c>
      <c r="M35" s="253">
        <v>0</v>
      </c>
      <c r="N35" s="253">
        <v>0</v>
      </c>
      <c r="O35" s="253">
        <v>0</v>
      </c>
      <c r="P35" s="254">
        <f t="shared" si="5"/>
        <v>0</v>
      </c>
      <c r="Q35" s="323"/>
      <c r="R35" s="324"/>
      <c r="S35" s="325"/>
      <c r="T35" s="254">
        <f t="shared" si="6"/>
        <v>0</v>
      </c>
    </row>
    <row r="36" spans="1:20" x14ac:dyDescent="0.25">
      <c r="A36" s="312"/>
      <c r="B36" s="189" t="s">
        <v>14</v>
      </c>
      <c r="C36" s="28"/>
      <c r="D36" s="253">
        <v>0</v>
      </c>
      <c r="E36" s="253">
        <v>0</v>
      </c>
      <c r="F36" s="253">
        <v>0</v>
      </c>
      <c r="G36" s="253">
        <v>0</v>
      </c>
      <c r="H36" s="253">
        <v>0</v>
      </c>
      <c r="I36" s="253">
        <v>0</v>
      </c>
      <c r="J36" s="253">
        <v>0</v>
      </c>
      <c r="K36" s="253">
        <v>0</v>
      </c>
      <c r="L36" s="253">
        <v>0</v>
      </c>
      <c r="M36" s="253">
        <v>0</v>
      </c>
      <c r="N36" s="253">
        <v>0</v>
      </c>
      <c r="O36" s="253">
        <v>0</v>
      </c>
      <c r="P36" s="254">
        <f t="shared" si="5"/>
        <v>0</v>
      </c>
      <c r="Q36" s="323"/>
      <c r="R36" s="324"/>
      <c r="S36" s="325"/>
      <c r="T36" s="254">
        <f t="shared" si="6"/>
        <v>0</v>
      </c>
    </row>
    <row r="37" spans="1:20" x14ac:dyDescent="0.25">
      <c r="A37" s="312"/>
      <c r="B37" s="188" t="s">
        <v>34</v>
      </c>
      <c r="C37" s="28"/>
      <c r="D37" s="260">
        <f t="shared" ref="D37:O37" si="7">SUM(D22:D36)</f>
        <v>21157</v>
      </c>
      <c r="E37" s="260">
        <f t="shared" si="7"/>
        <v>21158</v>
      </c>
      <c r="F37" s="260">
        <f t="shared" si="7"/>
        <v>21157</v>
      </c>
      <c r="G37" s="260">
        <f t="shared" si="7"/>
        <v>21158</v>
      </c>
      <c r="H37" s="260">
        <f t="shared" si="7"/>
        <v>21157</v>
      </c>
      <c r="I37" s="260">
        <f t="shared" si="7"/>
        <v>21158</v>
      </c>
      <c r="J37" s="260">
        <f t="shared" si="7"/>
        <v>32055</v>
      </c>
      <c r="K37" s="260">
        <f t="shared" si="7"/>
        <v>23313</v>
      </c>
      <c r="L37" s="260">
        <f t="shared" si="7"/>
        <v>26462</v>
      </c>
      <c r="M37" s="260">
        <f t="shared" si="7"/>
        <v>26616</v>
      </c>
      <c r="N37" s="260">
        <f t="shared" si="7"/>
        <v>31331</v>
      </c>
      <c r="O37" s="260">
        <f t="shared" si="7"/>
        <v>21092</v>
      </c>
      <c r="P37" s="254">
        <f t="shared" si="5"/>
        <v>287814</v>
      </c>
      <c r="Q37" s="323"/>
      <c r="R37" s="324"/>
      <c r="S37" s="325"/>
      <c r="T37" s="254">
        <f t="shared" si="6"/>
        <v>287814</v>
      </c>
    </row>
    <row r="38" spans="1:20" x14ac:dyDescent="0.25">
      <c r="A38" s="190"/>
      <c r="B38" s="191" t="s">
        <v>35</v>
      </c>
      <c r="C38" s="28"/>
      <c r="D38" s="255">
        <f t="shared" ref="D38:O38" si="8">D21-D37</f>
        <v>63343</v>
      </c>
      <c r="E38" s="255">
        <f t="shared" si="8"/>
        <v>63342</v>
      </c>
      <c r="F38" s="255">
        <f t="shared" si="8"/>
        <v>63343</v>
      </c>
      <c r="G38" s="255">
        <f t="shared" si="8"/>
        <v>63342</v>
      </c>
      <c r="H38" s="255">
        <f t="shared" si="8"/>
        <v>63343</v>
      </c>
      <c r="I38" s="255">
        <f t="shared" si="8"/>
        <v>63342</v>
      </c>
      <c r="J38" s="255">
        <f t="shared" si="8"/>
        <v>52445</v>
      </c>
      <c r="K38" s="255">
        <f t="shared" si="8"/>
        <v>54537</v>
      </c>
      <c r="L38" s="255">
        <f t="shared" si="8"/>
        <v>77270</v>
      </c>
      <c r="M38" s="255">
        <f t="shared" si="8"/>
        <v>50362</v>
      </c>
      <c r="N38" s="255">
        <f t="shared" si="8"/>
        <v>67169</v>
      </c>
      <c r="O38" s="255">
        <f t="shared" si="8"/>
        <v>70408</v>
      </c>
      <c r="P38" s="254">
        <f t="shared" si="5"/>
        <v>752246</v>
      </c>
      <c r="Q38" s="323"/>
      <c r="R38" s="324"/>
      <c r="S38" s="325"/>
      <c r="T38" s="254">
        <f t="shared" si="6"/>
        <v>752246</v>
      </c>
    </row>
    <row r="39" spans="1:20" ht="12.75" customHeight="1" x14ac:dyDescent="0.25">
      <c r="A39" s="312" t="s">
        <v>9</v>
      </c>
      <c r="B39" s="192" t="s">
        <v>134</v>
      </c>
      <c r="C39" s="28"/>
      <c r="D39" s="253">
        <v>0</v>
      </c>
      <c r="E39" s="253">
        <v>0</v>
      </c>
      <c r="F39" s="253">
        <v>0</v>
      </c>
      <c r="G39" s="253">
        <v>0</v>
      </c>
      <c r="H39" s="253">
        <v>0</v>
      </c>
      <c r="I39" s="253">
        <v>0</v>
      </c>
      <c r="J39" s="253">
        <v>0</v>
      </c>
      <c r="K39" s="253">
        <v>0</v>
      </c>
      <c r="L39" s="253">
        <v>0</v>
      </c>
      <c r="M39" s="253">
        <v>0</v>
      </c>
      <c r="N39" s="253">
        <v>0</v>
      </c>
      <c r="O39" s="253">
        <v>0</v>
      </c>
      <c r="P39" s="261"/>
      <c r="Q39" s="262"/>
      <c r="R39" s="263"/>
      <c r="S39" s="263"/>
      <c r="T39" s="264"/>
    </row>
    <row r="40" spans="1:20" x14ac:dyDescent="0.25">
      <c r="A40" s="312"/>
      <c r="B40" s="185" t="s">
        <v>36</v>
      </c>
      <c r="C40" s="28"/>
      <c r="D40" s="253">
        <v>0</v>
      </c>
      <c r="E40" s="260">
        <f>D42</f>
        <v>6862</v>
      </c>
      <c r="F40" s="260">
        <f t="shared" ref="F40:O40" si="9">E42</f>
        <v>13724</v>
      </c>
      <c r="G40" s="260">
        <f t="shared" si="9"/>
        <v>20586</v>
      </c>
      <c r="H40" s="260">
        <f t="shared" si="9"/>
        <v>27448</v>
      </c>
      <c r="I40" s="260">
        <f t="shared" si="9"/>
        <v>34310</v>
      </c>
      <c r="J40" s="260">
        <f t="shared" si="9"/>
        <v>41172</v>
      </c>
      <c r="K40" s="260">
        <f t="shared" si="9"/>
        <v>48034</v>
      </c>
      <c r="L40" s="260">
        <f t="shared" si="9"/>
        <v>54258</v>
      </c>
      <c r="M40" s="260">
        <f t="shared" si="9"/>
        <v>61120</v>
      </c>
      <c r="N40" s="260">
        <f t="shared" si="9"/>
        <v>67260</v>
      </c>
      <c r="O40" s="260">
        <f t="shared" si="9"/>
        <v>75466</v>
      </c>
      <c r="P40" s="254">
        <f>D40</f>
        <v>0</v>
      </c>
      <c r="Q40" s="265"/>
      <c r="R40" s="266"/>
      <c r="S40" s="266"/>
      <c r="T40" s="267"/>
    </row>
    <row r="41" spans="1:20" x14ac:dyDescent="0.25">
      <c r="A41" s="312"/>
      <c r="B41" s="188" t="s">
        <v>37</v>
      </c>
      <c r="C41" s="28"/>
      <c r="D41" s="260">
        <f t="shared" ref="D41:O41" si="10">ROUND(D40*($AA$57/12),0)</f>
        <v>0</v>
      </c>
      <c r="E41" s="260">
        <f t="shared" si="10"/>
        <v>49</v>
      </c>
      <c r="F41" s="260">
        <f t="shared" si="10"/>
        <v>97</v>
      </c>
      <c r="G41" s="260">
        <f t="shared" si="10"/>
        <v>146</v>
      </c>
      <c r="H41" s="260">
        <f t="shared" si="10"/>
        <v>194</v>
      </c>
      <c r="I41" s="260">
        <f t="shared" si="10"/>
        <v>243</v>
      </c>
      <c r="J41" s="260">
        <f t="shared" si="10"/>
        <v>292</v>
      </c>
      <c r="K41" s="260">
        <f t="shared" si="10"/>
        <v>340</v>
      </c>
      <c r="L41" s="260">
        <f t="shared" si="10"/>
        <v>384</v>
      </c>
      <c r="M41" s="260">
        <f t="shared" si="10"/>
        <v>433</v>
      </c>
      <c r="N41" s="260">
        <f t="shared" si="10"/>
        <v>476</v>
      </c>
      <c r="O41" s="260">
        <f t="shared" si="10"/>
        <v>535</v>
      </c>
      <c r="P41" s="254">
        <f>SUM(D41:O41)</f>
        <v>3189</v>
      </c>
      <c r="Q41" s="265"/>
      <c r="R41" s="266"/>
      <c r="S41" s="266"/>
      <c r="T41" s="267"/>
    </row>
    <row r="42" spans="1:20" x14ac:dyDescent="0.25">
      <c r="A42" s="312"/>
      <c r="B42" s="188" t="s">
        <v>38</v>
      </c>
      <c r="C42" s="28"/>
      <c r="D42" s="255">
        <f t="shared" ref="D42:O42" si="11">D40+D23+D24-D39+MAX((D23-MIN(D92*8.33%,1250)),0)</f>
        <v>6862</v>
      </c>
      <c r="E42" s="255">
        <f t="shared" si="11"/>
        <v>13724</v>
      </c>
      <c r="F42" s="255">
        <f t="shared" si="11"/>
        <v>20586</v>
      </c>
      <c r="G42" s="255">
        <f t="shared" si="11"/>
        <v>27448</v>
      </c>
      <c r="H42" s="255">
        <f t="shared" si="11"/>
        <v>34310</v>
      </c>
      <c r="I42" s="255">
        <f t="shared" si="11"/>
        <v>41172</v>
      </c>
      <c r="J42" s="255">
        <f t="shared" si="11"/>
        <v>48034</v>
      </c>
      <c r="K42" s="255">
        <f t="shared" si="11"/>
        <v>54258</v>
      </c>
      <c r="L42" s="255">
        <f t="shared" si="11"/>
        <v>61120</v>
      </c>
      <c r="M42" s="255">
        <f t="shared" si="11"/>
        <v>67260</v>
      </c>
      <c r="N42" s="255">
        <f t="shared" si="11"/>
        <v>75466</v>
      </c>
      <c r="O42" s="255">
        <f t="shared" si="11"/>
        <v>83000</v>
      </c>
      <c r="P42" s="254">
        <f>O42+P41</f>
        <v>86189</v>
      </c>
      <c r="Q42" s="265"/>
      <c r="R42" s="266"/>
      <c r="S42" s="266"/>
      <c r="T42" s="267"/>
    </row>
    <row r="43" spans="1:20" x14ac:dyDescent="0.25">
      <c r="A43" s="190"/>
      <c r="B43" s="193" t="str">
        <f>IF(AA58="P","VPF %","VPF Amt")</f>
        <v>VPF %</v>
      </c>
      <c r="C43" s="28"/>
      <c r="D43" s="134">
        <v>0</v>
      </c>
      <c r="E43" s="134">
        <v>0</v>
      </c>
      <c r="F43" s="134">
        <v>0</v>
      </c>
      <c r="G43" s="134">
        <v>0</v>
      </c>
      <c r="H43" s="134">
        <v>0</v>
      </c>
      <c r="I43" s="134">
        <v>0</v>
      </c>
      <c r="J43" s="134">
        <v>0</v>
      </c>
      <c r="K43" s="134">
        <v>0</v>
      </c>
      <c r="L43" s="134">
        <v>0</v>
      </c>
      <c r="M43" s="134">
        <v>0</v>
      </c>
      <c r="N43" s="134">
        <v>0</v>
      </c>
      <c r="O43" s="137">
        <v>0</v>
      </c>
    </row>
    <row r="44" spans="1:20" x14ac:dyDescent="0.25">
      <c r="A44" s="190"/>
      <c r="B44" s="193" t="s">
        <v>258</v>
      </c>
      <c r="C44" s="28"/>
      <c r="D44" s="135" t="s">
        <v>33</v>
      </c>
      <c r="E44" s="135" t="s">
        <v>33</v>
      </c>
      <c r="F44" s="135" t="s">
        <v>33</v>
      </c>
      <c r="G44" s="135" t="s">
        <v>33</v>
      </c>
      <c r="H44" s="135" t="s">
        <v>33</v>
      </c>
      <c r="I44" s="135" t="s">
        <v>33</v>
      </c>
      <c r="J44" s="135" t="s">
        <v>33</v>
      </c>
      <c r="K44" s="135" t="s">
        <v>33</v>
      </c>
      <c r="L44" s="135" t="s">
        <v>33</v>
      </c>
      <c r="M44" s="135" t="s">
        <v>33</v>
      </c>
      <c r="N44" s="135" t="s">
        <v>33</v>
      </c>
      <c r="O44" s="135" t="s">
        <v>33</v>
      </c>
    </row>
    <row r="45" spans="1:20" x14ac:dyDescent="0.25">
      <c r="A45" s="190"/>
      <c r="B45" s="193" t="s">
        <v>260</v>
      </c>
      <c r="C45" s="28"/>
      <c r="D45" s="135" t="s">
        <v>33</v>
      </c>
      <c r="E45" s="135" t="s">
        <v>33</v>
      </c>
      <c r="F45" s="135" t="s">
        <v>33</v>
      </c>
      <c r="G45" s="135" t="s">
        <v>33</v>
      </c>
      <c r="H45" s="135" t="s">
        <v>33</v>
      </c>
      <c r="I45" s="135" t="s">
        <v>33</v>
      </c>
      <c r="J45" s="135" t="s">
        <v>33</v>
      </c>
      <c r="K45" s="135" t="s">
        <v>33</v>
      </c>
      <c r="L45" s="135" t="s">
        <v>33</v>
      </c>
      <c r="M45" s="135" t="s">
        <v>33</v>
      </c>
      <c r="N45" s="135" t="s">
        <v>33</v>
      </c>
      <c r="O45" s="135" t="s">
        <v>33</v>
      </c>
    </row>
    <row r="46" spans="1:20" x14ac:dyDescent="0.25">
      <c r="A46" s="190"/>
      <c r="B46" s="193" t="s">
        <v>39</v>
      </c>
      <c r="C46" s="28"/>
      <c r="D46" s="135" t="s">
        <v>32</v>
      </c>
      <c r="E46" s="135" t="s">
        <v>32</v>
      </c>
      <c r="F46" s="135" t="s">
        <v>32</v>
      </c>
      <c r="G46" s="135" t="s">
        <v>32</v>
      </c>
      <c r="H46" s="135" t="s">
        <v>32</v>
      </c>
      <c r="I46" s="135" t="s">
        <v>32</v>
      </c>
      <c r="J46" s="135" t="s">
        <v>32</v>
      </c>
      <c r="K46" s="135" t="s">
        <v>32</v>
      </c>
      <c r="L46" s="135" t="s">
        <v>32</v>
      </c>
      <c r="M46" s="135" t="s">
        <v>32</v>
      </c>
      <c r="N46" s="135" t="s">
        <v>32</v>
      </c>
      <c r="O46" s="135" t="s">
        <v>32</v>
      </c>
    </row>
    <row r="47" spans="1:20" x14ac:dyDescent="0.25">
      <c r="A47" s="190"/>
      <c r="B47" s="193" t="s">
        <v>40</v>
      </c>
      <c r="C47" s="28"/>
      <c r="D47" s="135" t="str">
        <f t="shared" ref="D47:O47" si="12">$AA$51</f>
        <v>N</v>
      </c>
      <c r="E47" s="135" t="str">
        <f t="shared" si="12"/>
        <v>N</v>
      </c>
      <c r="F47" s="135" t="str">
        <f t="shared" si="12"/>
        <v>N</v>
      </c>
      <c r="G47" s="135" t="str">
        <f t="shared" si="12"/>
        <v>N</v>
      </c>
      <c r="H47" s="135" t="str">
        <f t="shared" si="12"/>
        <v>N</v>
      </c>
      <c r="I47" s="135" t="str">
        <f t="shared" si="12"/>
        <v>N</v>
      </c>
      <c r="J47" s="135" t="str">
        <f t="shared" si="12"/>
        <v>N</v>
      </c>
      <c r="K47" s="135" t="str">
        <f t="shared" si="12"/>
        <v>N</v>
      </c>
      <c r="L47" s="135" t="str">
        <f t="shared" si="12"/>
        <v>N</v>
      </c>
      <c r="M47" s="135" t="str">
        <f t="shared" si="12"/>
        <v>N</v>
      </c>
      <c r="N47" s="135" t="str">
        <f t="shared" si="12"/>
        <v>N</v>
      </c>
      <c r="O47" s="135" t="str">
        <f t="shared" si="12"/>
        <v>N</v>
      </c>
    </row>
    <row r="48" spans="1:20" x14ac:dyDescent="0.25">
      <c r="A48" s="190"/>
      <c r="B48" s="193" t="s">
        <v>41</v>
      </c>
      <c r="C48" s="28"/>
      <c r="D48" s="136">
        <f t="shared" ref="D48:O48" si="13">$AA$54</f>
        <v>0.12</v>
      </c>
      <c r="E48" s="136">
        <f t="shared" si="13"/>
        <v>0.12</v>
      </c>
      <c r="F48" s="136">
        <f t="shared" si="13"/>
        <v>0.12</v>
      </c>
      <c r="G48" s="136">
        <f t="shared" si="13"/>
        <v>0.12</v>
      </c>
      <c r="H48" s="136">
        <f t="shared" si="13"/>
        <v>0.12</v>
      </c>
      <c r="I48" s="136">
        <f t="shared" si="13"/>
        <v>0.12</v>
      </c>
      <c r="J48" s="136">
        <f t="shared" si="13"/>
        <v>0.12</v>
      </c>
      <c r="K48" s="136">
        <f t="shared" si="13"/>
        <v>0.12</v>
      </c>
      <c r="L48" s="136">
        <f t="shared" si="13"/>
        <v>0.12</v>
      </c>
      <c r="M48" s="136">
        <f t="shared" si="13"/>
        <v>0.12</v>
      </c>
      <c r="N48" s="136">
        <f t="shared" si="13"/>
        <v>0.12</v>
      </c>
      <c r="O48" s="136">
        <f t="shared" si="13"/>
        <v>0.12</v>
      </c>
    </row>
    <row r="49" spans="1:33" x14ac:dyDescent="0.25"/>
    <row r="50" spans="1:33" x14ac:dyDescent="0.25">
      <c r="A50" s="319" t="s">
        <v>43</v>
      </c>
      <c r="B50" s="320"/>
      <c r="C50" s="320"/>
      <c r="D50" s="320"/>
      <c r="E50" s="320"/>
      <c r="F50" s="320"/>
      <c r="G50" s="321"/>
      <c r="I50" s="5" t="s">
        <v>46</v>
      </c>
      <c r="J50" s="6"/>
      <c r="K50" s="6"/>
      <c r="L50" s="6"/>
      <c r="M50" s="6"/>
      <c r="N50" s="7" t="s">
        <v>66</v>
      </c>
      <c r="O50" s="8" t="s">
        <v>67</v>
      </c>
      <c r="U50" s="155" t="s">
        <v>81</v>
      </c>
      <c r="V50" s="156"/>
      <c r="W50" s="156"/>
      <c r="X50" s="156"/>
      <c r="Y50" s="156"/>
      <c r="Z50" s="156"/>
      <c r="AA50" s="157"/>
    </row>
    <row r="51" spans="1:33" x14ac:dyDescent="0.25">
      <c r="A51" s="220" t="s">
        <v>44</v>
      </c>
      <c r="B51" s="221"/>
      <c r="C51" s="221"/>
      <c r="D51" s="221"/>
      <c r="E51" s="202"/>
      <c r="F51" s="268"/>
      <c r="G51" s="269">
        <f>T21+N85</f>
        <v>1145685</v>
      </c>
      <c r="I51" s="224" t="s">
        <v>343</v>
      </c>
      <c r="J51" s="209"/>
      <c r="K51" s="209"/>
      <c r="L51" s="209"/>
      <c r="M51" s="210"/>
      <c r="N51" s="280">
        <f>T26</f>
        <v>191000</v>
      </c>
      <c r="O51" s="280">
        <f>IF(P93=0,MAX(MIN((T3+T4)*$AA$52,T26-(T3+T4)*10%,T6),0),P93)</f>
        <v>148132</v>
      </c>
      <c r="U51" s="198" t="s">
        <v>428</v>
      </c>
      <c r="V51" s="199"/>
      <c r="W51" s="199"/>
      <c r="X51" s="199"/>
      <c r="Y51" s="199"/>
      <c r="Z51" s="200"/>
      <c r="AA51" s="233" t="s">
        <v>33</v>
      </c>
      <c r="AD51" s="26" t="s">
        <v>141</v>
      </c>
      <c r="AE51" s="26">
        <f>IF(AA55&lt;=0,1000000,AA55)</f>
        <v>1000000</v>
      </c>
    </row>
    <row r="52" spans="1:33" x14ac:dyDescent="0.25">
      <c r="A52" s="220" t="s">
        <v>45</v>
      </c>
      <c r="B52" s="221"/>
      <c r="C52" s="221"/>
      <c r="D52" s="221"/>
      <c r="E52" s="202"/>
      <c r="F52" s="268"/>
      <c r="G52" s="269">
        <f>T22</f>
        <v>2500</v>
      </c>
      <c r="I52" s="224" t="s">
        <v>344</v>
      </c>
      <c r="J52" s="209"/>
      <c r="K52" s="209"/>
      <c r="L52" s="209"/>
      <c r="M52" s="210"/>
      <c r="N52" s="280"/>
      <c r="O52" s="280">
        <f>P90</f>
        <v>18932</v>
      </c>
      <c r="U52" s="201" t="s">
        <v>263</v>
      </c>
      <c r="V52" s="202"/>
      <c r="W52" s="202"/>
      <c r="X52" s="202"/>
      <c r="Y52" s="202"/>
      <c r="Z52" s="203"/>
      <c r="AA52" s="197">
        <f>IF(AA51="M",0.5,0.4)</f>
        <v>0.4</v>
      </c>
      <c r="AD52" s="26" t="s">
        <v>142</v>
      </c>
      <c r="AE52" s="144">
        <v>8.6999999999999994E-2</v>
      </c>
    </row>
    <row r="53" spans="1:33" x14ac:dyDescent="0.25">
      <c r="A53" s="220" t="s">
        <v>46</v>
      </c>
      <c r="B53" s="221"/>
      <c r="C53" s="221"/>
      <c r="D53" s="221"/>
      <c r="E53" s="202"/>
      <c r="F53" s="268"/>
      <c r="G53" s="269">
        <f>O58+T11</f>
        <v>167064</v>
      </c>
      <c r="I53" s="224" t="s">
        <v>345</v>
      </c>
      <c r="J53" s="209"/>
      <c r="K53" s="209"/>
      <c r="L53" s="209"/>
      <c r="M53" s="210"/>
      <c r="N53" s="253">
        <v>0</v>
      </c>
      <c r="O53" s="280">
        <f>N53</f>
        <v>0</v>
      </c>
      <c r="U53" s="204" t="s">
        <v>82</v>
      </c>
      <c r="V53" s="205"/>
      <c r="W53" s="205"/>
      <c r="X53" s="205"/>
      <c r="Y53" s="205"/>
      <c r="Z53" s="205"/>
      <c r="AA53" s="158"/>
    </row>
    <row r="54" spans="1:33" x14ac:dyDescent="0.25">
      <c r="A54" s="222" t="s">
        <v>47</v>
      </c>
      <c r="B54" s="223"/>
      <c r="C54" s="223"/>
      <c r="D54" s="223"/>
      <c r="E54" s="223"/>
      <c r="F54" s="270"/>
      <c r="G54" s="271">
        <f>MAX(G51-G52-G53,0)</f>
        <v>976121</v>
      </c>
      <c r="I54" s="224" t="s">
        <v>346</v>
      </c>
      <c r="J54" s="209"/>
      <c r="K54" s="209"/>
      <c r="L54" s="209"/>
      <c r="M54" s="210"/>
      <c r="N54" s="253">
        <v>0</v>
      </c>
      <c r="O54" s="280">
        <f>MIN(IF(N54="",0,N54),T8,15000)</f>
        <v>0</v>
      </c>
      <c r="U54" s="201" t="s">
        <v>83</v>
      </c>
      <c r="V54" s="202"/>
      <c r="W54" s="202"/>
      <c r="X54" s="202"/>
      <c r="Y54" s="202"/>
      <c r="Z54" s="203"/>
      <c r="AA54" s="234">
        <v>0.12</v>
      </c>
      <c r="AE54" s="21" t="s">
        <v>180</v>
      </c>
      <c r="AF54" s="22" t="str">
        <f>IF(AF62="Y",500000,IF(AF61="Y","300000","250000"))</f>
        <v>250000</v>
      </c>
      <c r="AG54" s="22">
        <f>AF54-AE54</f>
        <v>250000</v>
      </c>
    </row>
    <row r="55" spans="1:33" x14ac:dyDescent="0.25">
      <c r="A55" s="224" t="s">
        <v>261</v>
      </c>
      <c r="B55" s="202"/>
      <c r="C55" s="202"/>
      <c r="D55" s="202"/>
      <c r="E55" s="202"/>
      <c r="F55" s="268"/>
      <c r="G55" s="269">
        <f>MAX(IF($AA$69="Y",($T$21-$Q$21)*IF($AA$70="&gt;25lacs",15%,IF($AA$70="10-25lacs",10%,7.5%))-T26,0),0)+P98</f>
        <v>0</v>
      </c>
      <c r="I55" s="224" t="s">
        <v>68</v>
      </c>
      <c r="J55" s="221"/>
      <c r="K55" s="221"/>
      <c r="L55" s="221"/>
      <c r="M55" s="230"/>
      <c r="N55" s="253">
        <v>0</v>
      </c>
      <c r="O55" s="280">
        <f>MIN(IF(N55="",0,N55),T7,400*2*12)</f>
        <v>0</v>
      </c>
      <c r="U55" s="201" t="s">
        <v>398</v>
      </c>
      <c r="V55" s="202"/>
      <c r="W55" s="202"/>
      <c r="X55" s="202"/>
      <c r="Y55" s="202"/>
      <c r="Z55" s="203"/>
      <c r="AA55" s="235">
        <v>0</v>
      </c>
      <c r="AE55" s="23" t="str">
        <f>IF(AF62="Y",0,IF(AF61="Y","300001","250001"))</f>
        <v>250001</v>
      </c>
      <c r="AF55" s="24">
        <f>IF(AF62="Y",0,500000)</f>
        <v>500000</v>
      </c>
      <c r="AG55" s="22">
        <f>IF(AF62="Y",0,IF(AF55="",0,AF55)-IF(AE55="",1,AE55)+1)</f>
        <v>250000</v>
      </c>
    </row>
    <row r="56" spans="1:33" x14ac:dyDescent="0.25">
      <c r="A56" s="225" t="s">
        <v>48</v>
      </c>
      <c r="B56" s="226"/>
      <c r="C56" s="226"/>
      <c r="D56" s="226"/>
      <c r="E56" s="226"/>
      <c r="F56" s="272"/>
      <c r="G56" s="273">
        <f>SUM(G54:G55)</f>
        <v>976121</v>
      </c>
      <c r="I56" s="224" t="s">
        <v>347</v>
      </c>
      <c r="J56" s="209"/>
      <c r="K56" s="209"/>
      <c r="L56" s="209"/>
      <c r="M56" s="210"/>
      <c r="N56" s="253">
        <v>0</v>
      </c>
      <c r="O56" s="280">
        <f>MIN(IF(N56="",0,N56),T9)</f>
        <v>0</v>
      </c>
      <c r="U56" s="201" t="s">
        <v>84</v>
      </c>
      <c r="V56" s="202"/>
      <c r="W56" s="202"/>
      <c r="X56" s="202"/>
      <c r="Y56" s="202"/>
      <c r="Z56" s="203"/>
      <c r="AA56" s="234">
        <v>0</v>
      </c>
      <c r="AE56" s="21" t="s">
        <v>230</v>
      </c>
      <c r="AF56" s="162" t="s">
        <v>280</v>
      </c>
      <c r="AG56" s="22">
        <f>AF56-AE56+1</f>
        <v>500000</v>
      </c>
    </row>
    <row r="57" spans="1:33" x14ac:dyDescent="0.25">
      <c r="A57" s="224" t="s">
        <v>214</v>
      </c>
      <c r="B57" s="202"/>
      <c r="C57" s="202"/>
      <c r="D57" s="202"/>
      <c r="E57" s="202"/>
      <c r="F57" s="268"/>
      <c r="G57" s="269">
        <f>MAX(O60-O61,-200000)</f>
        <v>-123251</v>
      </c>
      <c r="I57" s="224" t="s">
        <v>348</v>
      </c>
      <c r="J57" s="209"/>
      <c r="K57" s="209"/>
      <c r="L57" s="209"/>
      <c r="M57" s="210"/>
      <c r="N57" s="253">
        <v>0</v>
      </c>
      <c r="O57" s="280">
        <f>MIN(IF(N57="",0,N57),T10)</f>
        <v>0</v>
      </c>
      <c r="U57" s="201" t="s">
        <v>85</v>
      </c>
      <c r="V57" s="202"/>
      <c r="W57" s="202"/>
      <c r="X57" s="202"/>
      <c r="Y57" s="202"/>
      <c r="Z57" s="203"/>
      <c r="AA57" s="234">
        <v>8.5000000000000006E-2</v>
      </c>
      <c r="AE57" s="163" t="s">
        <v>281</v>
      </c>
      <c r="AF57" s="162" t="s">
        <v>181</v>
      </c>
      <c r="AG57" s="25">
        <f>AF57-AE57+1</f>
        <v>9999000000</v>
      </c>
    </row>
    <row r="58" spans="1:33" x14ac:dyDescent="0.25">
      <c r="A58" s="224" t="s">
        <v>216</v>
      </c>
      <c r="B58" s="202"/>
      <c r="C58" s="202"/>
      <c r="D58" s="202"/>
      <c r="E58" s="202"/>
      <c r="F58" s="268"/>
      <c r="G58" s="253">
        <v>0</v>
      </c>
      <c r="I58" s="225" t="s">
        <v>69</v>
      </c>
      <c r="J58" s="226"/>
      <c r="K58" s="226"/>
      <c r="L58" s="226"/>
      <c r="M58" s="227"/>
      <c r="N58" s="273"/>
      <c r="O58" s="273">
        <f>SUM(O51:O57)</f>
        <v>167064</v>
      </c>
      <c r="U58" s="201" t="s">
        <v>429</v>
      </c>
      <c r="V58" s="202"/>
      <c r="W58" s="202"/>
      <c r="X58" s="202"/>
      <c r="Y58" s="202"/>
      <c r="Z58" s="203"/>
      <c r="AA58" s="231" t="s">
        <v>86</v>
      </c>
    </row>
    <row r="59" spans="1:33" x14ac:dyDescent="0.25">
      <c r="A59" s="224" t="s">
        <v>216</v>
      </c>
      <c r="B59" s="202"/>
      <c r="C59" s="202"/>
      <c r="D59" s="202"/>
      <c r="E59" s="202"/>
      <c r="F59" s="268"/>
      <c r="G59" s="269">
        <f>MAX('Cap Gains - Property&amp;Debt MF'!G14+'Cap Gains - Property&amp;Debt MF'!G65,0)</f>
        <v>0</v>
      </c>
      <c r="I59" s="5" t="s">
        <v>49</v>
      </c>
      <c r="J59" s="30"/>
      <c r="K59" s="30"/>
      <c r="L59" s="30"/>
      <c r="M59" s="31"/>
      <c r="N59" s="277" t="s">
        <v>66</v>
      </c>
      <c r="O59" s="278" t="s">
        <v>67</v>
      </c>
      <c r="U59" s="204" t="s">
        <v>87</v>
      </c>
      <c r="V59" s="205"/>
      <c r="W59" s="205"/>
      <c r="X59" s="205"/>
      <c r="Y59" s="205"/>
      <c r="Z59" s="205"/>
      <c r="AA59" s="158"/>
    </row>
    <row r="60" spans="1:33" x14ac:dyDescent="0.25">
      <c r="A60" s="224" t="s">
        <v>215</v>
      </c>
      <c r="B60" s="202"/>
      <c r="C60" s="202"/>
      <c r="D60" s="202"/>
      <c r="E60" s="202"/>
      <c r="F60" s="268"/>
      <c r="G60" s="269">
        <f>O64+O62</f>
        <v>0</v>
      </c>
      <c r="I60" s="224" t="s">
        <v>70</v>
      </c>
      <c r="J60" s="209"/>
      <c r="K60" s="209"/>
      <c r="L60" s="209"/>
      <c r="M60" s="210"/>
      <c r="N60" s="253">
        <v>0</v>
      </c>
      <c r="O60" s="280">
        <f>N60</f>
        <v>0</v>
      </c>
      <c r="U60" s="201" t="s">
        <v>88</v>
      </c>
      <c r="V60" s="202"/>
      <c r="W60" s="202"/>
      <c r="X60" s="202"/>
      <c r="Y60" s="202"/>
      <c r="Z60" s="203"/>
      <c r="AA60" s="231" t="s">
        <v>32</v>
      </c>
    </row>
    <row r="61" spans="1:33" x14ac:dyDescent="0.25">
      <c r="A61" s="225" t="s">
        <v>50</v>
      </c>
      <c r="B61" s="226"/>
      <c r="C61" s="226"/>
      <c r="D61" s="226"/>
      <c r="E61" s="226"/>
      <c r="F61" s="272"/>
      <c r="G61" s="273">
        <f>MAX(SUM(G56:G60),0)</f>
        <v>852870</v>
      </c>
      <c r="I61" s="224" t="s">
        <v>71</v>
      </c>
      <c r="J61" s="209"/>
      <c r="K61" s="209"/>
      <c r="L61" s="209"/>
      <c r="M61" s="210"/>
      <c r="N61" s="253">
        <v>123251</v>
      </c>
      <c r="O61" s="280">
        <f>IF(AA60="N",N61,IF(AA61="N",MIN(IF(N61="",0,N61),30000),MIN(IF(N61="",0,N61),200000+IF(AA62="Y",50000,0))))</f>
        <v>123251</v>
      </c>
      <c r="U61" s="201" t="s">
        <v>89</v>
      </c>
      <c r="V61" s="202"/>
      <c r="W61" s="202"/>
      <c r="X61" s="202"/>
      <c r="Y61" s="202"/>
      <c r="Z61" s="203"/>
      <c r="AA61" s="231" t="s">
        <v>32</v>
      </c>
      <c r="AE61" s="171" t="s">
        <v>353</v>
      </c>
      <c r="AF61" s="214" t="str">
        <f>IF(ISNUMBER(Instructions!B8),IF(Instructions!B8&lt;=Perquisites!P10,"Y","N"),"N")</f>
        <v>N</v>
      </c>
    </row>
    <row r="62" spans="1:33" x14ac:dyDescent="0.25">
      <c r="A62" s="224" t="s">
        <v>51</v>
      </c>
      <c r="B62" s="202"/>
      <c r="C62" s="202"/>
      <c r="D62" s="202"/>
      <c r="E62" s="202"/>
      <c r="F62" s="268"/>
      <c r="G62" s="269">
        <f>O76</f>
        <v>0</v>
      </c>
      <c r="I62" s="228" t="s">
        <v>335</v>
      </c>
      <c r="J62" s="229"/>
      <c r="K62" s="229"/>
      <c r="L62" s="229"/>
      <c r="M62" s="229"/>
      <c r="N62" s="253">
        <v>0</v>
      </c>
      <c r="O62" s="280">
        <f>N62</f>
        <v>0</v>
      </c>
      <c r="U62" s="201" t="s">
        <v>444</v>
      </c>
      <c r="V62" s="202"/>
      <c r="W62" s="202"/>
      <c r="X62" s="202"/>
      <c r="Y62" s="202"/>
      <c r="Z62" s="203"/>
      <c r="AA62" s="231" t="s">
        <v>33</v>
      </c>
      <c r="AE62" s="171" t="s">
        <v>354</v>
      </c>
      <c r="AF62" s="214" t="str">
        <f>IF(ISNUMBER(Instructions!B8),IF(Instructions!B8&lt;=Perquisites!P11,"Y","N"),"N")</f>
        <v>N</v>
      </c>
    </row>
    <row r="63" spans="1:33" x14ac:dyDescent="0.25">
      <c r="A63" s="224" t="s">
        <v>52</v>
      </c>
      <c r="B63" s="202"/>
      <c r="C63" s="202"/>
      <c r="D63" s="202"/>
      <c r="E63" s="202"/>
      <c r="F63" s="268"/>
      <c r="G63" s="269">
        <f>O86</f>
        <v>150000</v>
      </c>
      <c r="I63" s="224" t="s">
        <v>438</v>
      </c>
      <c r="J63" s="209"/>
      <c r="K63" s="209"/>
      <c r="L63" s="209"/>
      <c r="M63" s="210"/>
      <c r="N63" s="253">
        <v>0</v>
      </c>
      <c r="O63" s="280">
        <f>N63</f>
        <v>0</v>
      </c>
      <c r="U63" s="204" t="s">
        <v>90</v>
      </c>
      <c r="V63" s="205"/>
      <c r="W63" s="205"/>
      <c r="X63" s="205"/>
      <c r="Y63" s="205"/>
      <c r="Z63" s="205"/>
      <c r="AA63" s="158"/>
    </row>
    <row r="64" spans="1:33" x14ac:dyDescent="0.25">
      <c r="A64" s="9" t="s">
        <v>53</v>
      </c>
      <c r="B64" s="10"/>
      <c r="C64" s="10"/>
      <c r="D64" s="10"/>
      <c r="E64" s="10"/>
      <c r="F64" s="274"/>
      <c r="G64" s="275">
        <f>ROUND(MAX(G61-SUM(G62:G63),0),-1)</f>
        <v>702870</v>
      </c>
      <c r="I64" s="224" t="s">
        <v>338</v>
      </c>
      <c r="J64" s="209"/>
      <c r="K64" s="209"/>
      <c r="L64" s="209"/>
      <c r="M64" s="210"/>
      <c r="N64" s="253">
        <v>0</v>
      </c>
      <c r="O64" s="280">
        <f>N64</f>
        <v>0</v>
      </c>
      <c r="U64" s="206" t="s">
        <v>91</v>
      </c>
      <c r="V64" s="207"/>
      <c r="W64" s="207"/>
      <c r="X64" s="207"/>
      <c r="Y64" s="207"/>
      <c r="Z64" s="208"/>
      <c r="AA64" s="236" t="s">
        <v>33</v>
      </c>
    </row>
    <row r="65" spans="1:27" x14ac:dyDescent="0.25">
      <c r="A65" s="11"/>
      <c r="B65" s="11"/>
      <c r="C65" s="11"/>
      <c r="D65" s="11"/>
      <c r="E65" s="11"/>
      <c r="F65" s="276"/>
      <c r="G65" s="276"/>
      <c r="I65" s="5" t="s">
        <v>72</v>
      </c>
      <c r="J65" s="30"/>
      <c r="K65" s="30"/>
      <c r="L65" s="30"/>
      <c r="M65" s="31"/>
      <c r="N65" s="277" t="s">
        <v>66</v>
      </c>
      <c r="O65" s="278" t="s">
        <v>67</v>
      </c>
      <c r="U65" s="201" t="s">
        <v>92</v>
      </c>
      <c r="V65" s="209"/>
      <c r="W65" s="209"/>
      <c r="X65" s="209"/>
      <c r="Y65" s="209"/>
      <c r="Z65" s="210"/>
      <c r="AA65" s="236" t="s">
        <v>33</v>
      </c>
    </row>
    <row r="66" spans="1:27" x14ac:dyDescent="0.25">
      <c r="A66" s="182" t="s">
        <v>54</v>
      </c>
      <c r="B66" s="182"/>
      <c r="C66" s="183"/>
      <c r="D66" s="8" t="s">
        <v>55</v>
      </c>
      <c r="E66" s="8" t="s">
        <v>56</v>
      </c>
      <c r="F66" s="277" t="s">
        <v>57</v>
      </c>
      <c r="G66" s="278" t="s">
        <v>58</v>
      </c>
      <c r="I66" s="224" t="s">
        <v>283</v>
      </c>
      <c r="J66" s="209"/>
      <c r="K66" s="209"/>
      <c r="L66" s="209"/>
      <c r="M66" s="210"/>
      <c r="N66" s="253">
        <v>0</v>
      </c>
      <c r="O66" s="280">
        <f>MIN(IF(N66="",0,N66),25000)</f>
        <v>0</v>
      </c>
      <c r="U66" s="201" t="s">
        <v>256</v>
      </c>
      <c r="V66" s="209"/>
      <c r="W66" s="209"/>
      <c r="X66" s="209"/>
      <c r="Y66" s="209"/>
      <c r="Z66" s="210"/>
      <c r="AA66" s="236" t="s">
        <v>33</v>
      </c>
    </row>
    <row r="67" spans="1:27" x14ac:dyDescent="0.25">
      <c r="A67" s="219" t="str">
        <f>CONCATENATE(AE54," - ",AF54)</f>
        <v>00000 - 250000</v>
      </c>
      <c r="B67" s="217"/>
      <c r="C67" s="218"/>
      <c r="D67" s="196">
        <v>0</v>
      </c>
      <c r="E67" s="280">
        <f>MIN(G64,AG54)</f>
        <v>250000</v>
      </c>
      <c r="F67" s="279">
        <f>G64-E67</f>
        <v>452870</v>
      </c>
      <c r="G67" s="280">
        <f>D67*E67</f>
        <v>0</v>
      </c>
      <c r="I67" s="224" t="s">
        <v>232</v>
      </c>
      <c r="J67" s="209"/>
      <c r="K67" s="209"/>
      <c r="L67" s="209"/>
      <c r="M67" s="210"/>
      <c r="N67" s="253">
        <v>0</v>
      </c>
      <c r="O67" s="280">
        <f>MIN(IF(N67="",0,N67),IF(AA64="Y",30000,25000))</f>
        <v>0</v>
      </c>
      <c r="U67" s="201" t="s">
        <v>93</v>
      </c>
      <c r="V67" s="209"/>
      <c r="W67" s="209"/>
      <c r="X67" s="209"/>
      <c r="Y67" s="209"/>
      <c r="Z67" s="210"/>
      <c r="AA67" s="236" t="s">
        <v>33</v>
      </c>
    </row>
    <row r="68" spans="1:27" x14ac:dyDescent="0.25">
      <c r="A68" s="219" t="str">
        <f>CONCATENATE(AE55," - ",AF55)</f>
        <v>250001 - 500000</v>
      </c>
      <c r="B68" s="217"/>
      <c r="C68" s="218"/>
      <c r="D68" s="196">
        <v>0.05</v>
      </c>
      <c r="E68" s="280">
        <f>MIN(F67,AG55)</f>
        <v>250000</v>
      </c>
      <c r="F68" s="279">
        <f>F67-E68</f>
        <v>202870</v>
      </c>
      <c r="G68" s="280">
        <f>D68*E68</f>
        <v>12500</v>
      </c>
      <c r="I68" s="224" t="s">
        <v>340</v>
      </c>
      <c r="J68" s="209"/>
      <c r="K68" s="209"/>
      <c r="L68" s="209"/>
      <c r="M68" s="210"/>
      <c r="N68" s="253">
        <v>0</v>
      </c>
      <c r="O68" s="280">
        <f>MIN(IF(N68="",0,N68),IF(AA66="Y",125000,75000))</f>
        <v>0</v>
      </c>
      <c r="U68" s="201" t="s">
        <v>237</v>
      </c>
      <c r="V68" s="209"/>
      <c r="W68" s="209"/>
      <c r="X68" s="209"/>
      <c r="Y68" s="209"/>
      <c r="Z68" s="210"/>
      <c r="AA68" s="236" t="s">
        <v>33</v>
      </c>
    </row>
    <row r="69" spans="1:27" x14ac:dyDescent="0.25">
      <c r="A69" s="219" t="str">
        <f>CONCATENATE(AE56," - ",AF56)</f>
        <v>500001 - 1000000</v>
      </c>
      <c r="B69" s="217"/>
      <c r="C69" s="218"/>
      <c r="D69" s="196">
        <v>0.2</v>
      </c>
      <c r="E69" s="280">
        <f>MIN(F68,AG56)</f>
        <v>202870</v>
      </c>
      <c r="F69" s="279">
        <f>F68-E69</f>
        <v>0</v>
      </c>
      <c r="G69" s="280">
        <f>D69*E69</f>
        <v>40574</v>
      </c>
      <c r="I69" s="224" t="s">
        <v>341</v>
      </c>
      <c r="J69" s="209"/>
      <c r="K69" s="209"/>
      <c r="L69" s="209"/>
      <c r="M69" s="210"/>
      <c r="N69" s="253">
        <v>0</v>
      </c>
      <c r="O69" s="280">
        <f>MIN(IF(N69="",0,N69),IF(AA65="Y",80000,40000))</f>
        <v>0</v>
      </c>
      <c r="U69" s="201" t="s">
        <v>94</v>
      </c>
      <c r="V69" s="209"/>
      <c r="W69" s="209"/>
      <c r="X69" s="209"/>
      <c r="Y69" s="209"/>
      <c r="Z69" s="210"/>
      <c r="AA69" s="236" t="s">
        <v>33</v>
      </c>
    </row>
    <row r="70" spans="1:27" x14ac:dyDescent="0.25">
      <c r="A70" s="219" t="str">
        <f>CONCATENATE("&gt; ",AF56)</f>
        <v>&gt; 1000000</v>
      </c>
      <c r="B70" s="217"/>
      <c r="C70" s="218"/>
      <c r="D70" s="196">
        <v>0.3</v>
      </c>
      <c r="E70" s="280">
        <f>F69</f>
        <v>0</v>
      </c>
      <c r="F70" s="279"/>
      <c r="G70" s="280">
        <f>D70*E70</f>
        <v>0</v>
      </c>
      <c r="I70" s="224" t="s">
        <v>342</v>
      </c>
      <c r="J70" s="209"/>
      <c r="K70" s="209"/>
      <c r="L70" s="209"/>
      <c r="M70" s="210"/>
      <c r="N70" s="253">
        <v>0</v>
      </c>
      <c r="O70" s="280">
        <f>MAX(IF(N70="",0,N70),0)</f>
        <v>0</v>
      </c>
      <c r="U70" s="211" t="s">
        <v>445</v>
      </c>
      <c r="V70" s="212"/>
      <c r="W70" s="212"/>
      <c r="X70" s="212"/>
      <c r="Y70" s="212"/>
      <c r="Z70" s="213"/>
      <c r="AA70" s="236" t="s">
        <v>446</v>
      </c>
    </row>
    <row r="71" spans="1:27" x14ac:dyDescent="0.25">
      <c r="A71" s="224" t="s">
        <v>332</v>
      </c>
      <c r="B71" s="202"/>
      <c r="C71" s="202"/>
      <c r="D71" s="202"/>
      <c r="E71" s="202"/>
      <c r="F71" s="268"/>
      <c r="G71" s="269">
        <f>MIN(IF(G64&lt;=350000,2500,0),G68)</f>
        <v>0</v>
      </c>
      <c r="H71" s="139"/>
      <c r="I71" s="224" t="s">
        <v>73</v>
      </c>
      <c r="J71" s="209"/>
      <c r="K71" s="209"/>
      <c r="L71" s="209"/>
      <c r="M71" s="210"/>
      <c r="N71" s="253">
        <v>0</v>
      </c>
      <c r="O71" s="280">
        <f>MAX(MIN(IF(N71="",0,N71*50%),(G61-SUM(O66:O70)-SUM(O72:O75))*10%),0)</f>
        <v>0</v>
      </c>
      <c r="U71" s="211" t="s">
        <v>259</v>
      </c>
      <c r="V71" s="212"/>
      <c r="W71" s="212"/>
      <c r="X71" s="212"/>
      <c r="Y71" s="212"/>
      <c r="Z71" s="213"/>
      <c r="AA71" s="236" t="s">
        <v>33</v>
      </c>
    </row>
    <row r="72" spans="1:27" x14ac:dyDescent="0.25">
      <c r="A72" s="194" t="s">
        <v>59</v>
      </c>
      <c r="B72" s="195"/>
      <c r="C72" s="195"/>
      <c r="D72" s="195"/>
      <c r="E72" s="195"/>
      <c r="F72" s="281"/>
      <c r="G72" s="282">
        <f>SUM(G67:G70)-G71</f>
        <v>53074</v>
      </c>
      <c r="I72" s="224" t="s">
        <v>74</v>
      </c>
      <c r="J72" s="209"/>
      <c r="K72" s="209"/>
      <c r="L72" s="209"/>
      <c r="M72" s="210"/>
      <c r="N72" s="253">
        <v>0</v>
      </c>
      <c r="O72" s="280">
        <f>MAX(MIN(N72-0.1*G56,0.25*G56,60000),0)</f>
        <v>0</v>
      </c>
      <c r="U72" s="211" t="s">
        <v>265</v>
      </c>
      <c r="V72" s="212"/>
      <c r="W72" s="212"/>
      <c r="X72" s="212"/>
      <c r="Y72" s="212"/>
      <c r="Z72" s="213"/>
      <c r="AA72" s="236" t="s">
        <v>33</v>
      </c>
    </row>
    <row r="73" spans="1:27" x14ac:dyDescent="0.25">
      <c r="A73" s="224" t="s">
        <v>391</v>
      </c>
      <c r="B73" s="202"/>
      <c r="C73" s="202"/>
      <c r="D73" s="202"/>
      <c r="E73" s="202"/>
      <c r="F73" s="268"/>
      <c r="G73" s="269">
        <f ca="1">MAX('Capital Gains - Equity'!I132+'Cap Gains - Property&amp;Debt MF'!G68,0)</f>
        <v>49</v>
      </c>
      <c r="I73" s="228" t="s">
        <v>336</v>
      </c>
      <c r="J73" s="229"/>
      <c r="K73" s="229"/>
      <c r="L73" s="229"/>
      <c r="M73" s="229"/>
      <c r="N73" s="269"/>
      <c r="O73" s="280">
        <f>MIN(IF(N62="",0,N62),10000)</f>
        <v>0</v>
      </c>
    </row>
    <row r="74" spans="1:27" x14ac:dyDescent="0.25">
      <c r="A74" s="224" t="s">
        <v>372</v>
      </c>
      <c r="B74" s="202"/>
      <c r="C74" s="202"/>
      <c r="D74" s="202"/>
      <c r="E74" s="202"/>
      <c r="F74" s="268"/>
      <c r="G74" s="269">
        <f ca="1">MAX('Cap Gains - Property&amp;Debt MF'!G17,0)</f>
        <v>0</v>
      </c>
      <c r="I74" s="224" t="s">
        <v>337</v>
      </c>
      <c r="J74" s="209"/>
      <c r="K74" s="209"/>
      <c r="L74" s="209"/>
      <c r="M74" s="210"/>
      <c r="N74" s="269"/>
      <c r="O74" s="280">
        <f>IF(AA67="Y",IF(AA68="Y",125000,75000),0)</f>
        <v>0</v>
      </c>
    </row>
    <row r="75" spans="1:27" x14ac:dyDescent="0.25">
      <c r="A75" s="224" t="s">
        <v>425</v>
      </c>
      <c r="B75" s="202"/>
      <c r="C75" s="202"/>
      <c r="D75" s="202"/>
      <c r="E75" s="202"/>
      <c r="F75" s="268"/>
      <c r="G75" s="269">
        <f>MAX(O63-1000000,0)*10%</f>
        <v>0</v>
      </c>
      <c r="I75" s="224" t="s">
        <v>339</v>
      </c>
      <c r="J75" s="209"/>
      <c r="K75" s="209"/>
      <c r="L75" s="209"/>
      <c r="M75" s="210"/>
      <c r="N75" s="253">
        <v>0</v>
      </c>
      <c r="O75" s="280">
        <f>N75</f>
        <v>0</v>
      </c>
    </row>
    <row r="76" spans="1:27" x14ac:dyDescent="0.25">
      <c r="A76" s="224" t="s">
        <v>297</v>
      </c>
      <c r="B76" s="202"/>
      <c r="C76" s="202"/>
      <c r="D76" s="202"/>
      <c r="E76" s="202"/>
      <c r="F76" s="268"/>
      <c r="G76" s="269">
        <f>IF(G64&gt;10000000,MIN(SUM(G72:G75)*15%,IF(AF62="Y",3080000,IF(AF61="Y",3091000,3093750))+G64-10000000-SUM(G72:G75)),IF(G64&gt;5000000,MIN(SUM(G72:G75)*10%,IF(AF62="Y",1300000,IF(AF61="Y",1310000,1312500))+G64-5000000-SUM(G72:G75)),0))</f>
        <v>0</v>
      </c>
      <c r="I76" s="225" t="s">
        <v>75</v>
      </c>
      <c r="J76" s="226"/>
      <c r="K76" s="226"/>
      <c r="L76" s="226"/>
      <c r="M76" s="227"/>
      <c r="N76" s="287"/>
      <c r="O76" s="273">
        <f>SUM(O66:O75)</f>
        <v>0</v>
      </c>
    </row>
    <row r="77" spans="1:27" x14ac:dyDescent="0.25">
      <c r="A77" s="224" t="s">
        <v>60</v>
      </c>
      <c r="B77" s="202"/>
      <c r="C77" s="202"/>
      <c r="D77" s="202"/>
      <c r="E77" s="202"/>
      <c r="F77" s="268"/>
      <c r="G77" s="269">
        <f ca="1">SUM(G72:G76)*3%</f>
        <v>1594</v>
      </c>
      <c r="I77" s="5" t="s">
        <v>76</v>
      </c>
      <c r="J77" s="30"/>
      <c r="K77" s="30"/>
      <c r="L77" s="30"/>
      <c r="M77" s="31"/>
      <c r="N77" s="277" t="s">
        <v>66</v>
      </c>
      <c r="O77" s="278" t="s">
        <v>67</v>
      </c>
    </row>
    <row r="78" spans="1:27" x14ac:dyDescent="0.25">
      <c r="A78" s="215" t="s">
        <v>61</v>
      </c>
      <c r="B78" s="216"/>
      <c r="C78" s="216"/>
      <c r="D78" s="216"/>
      <c r="E78" s="216"/>
      <c r="F78" s="283"/>
      <c r="G78" s="284">
        <f ca="1">SUM(G72:G77)</f>
        <v>54717</v>
      </c>
      <c r="I78" s="224" t="s">
        <v>443</v>
      </c>
      <c r="J78" s="209"/>
      <c r="K78" s="209"/>
      <c r="L78" s="209"/>
      <c r="M78" s="210"/>
      <c r="N78" s="253">
        <v>0</v>
      </c>
      <c r="O78" s="280">
        <f>MIN(IF(N78="",0,MIN(N78,(T3+T4)*10%+50000)),200000)</f>
        <v>0</v>
      </c>
    </row>
    <row r="79" spans="1:27" x14ac:dyDescent="0.25">
      <c r="A79" s="224" t="s">
        <v>62</v>
      </c>
      <c r="B79" s="202"/>
      <c r="C79" s="202"/>
      <c r="D79" s="202"/>
      <c r="E79" s="202"/>
      <c r="F79" s="268"/>
      <c r="G79" s="269">
        <f>T25</f>
        <v>45314</v>
      </c>
      <c r="I79" s="224" t="s">
        <v>424</v>
      </c>
      <c r="J79" s="209"/>
      <c r="K79" s="209"/>
      <c r="L79" s="209"/>
      <c r="M79" s="210"/>
      <c r="N79" s="253">
        <v>20000</v>
      </c>
      <c r="O79" s="280">
        <f>MIN(IF(N79="",0,N79),150000)</f>
        <v>20000</v>
      </c>
    </row>
    <row r="80" spans="1:27" x14ac:dyDescent="0.25">
      <c r="A80" s="222" t="s">
        <v>63</v>
      </c>
      <c r="B80" s="223"/>
      <c r="C80" s="223"/>
      <c r="D80" s="223"/>
      <c r="E80" s="223"/>
      <c r="F80" s="270"/>
      <c r="G80" s="253">
        <v>0</v>
      </c>
      <c r="I80" s="224" t="s">
        <v>77</v>
      </c>
      <c r="J80" s="209"/>
      <c r="K80" s="209"/>
      <c r="L80" s="209"/>
      <c r="M80" s="210"/>
      <c r="N80" s="253">
        <v>0</v>
      </c>
      <c r="O80" s="280">
        <f>MIN(IF(N80="",0,N80)+'NSC Accrued Interest'!D71,150000)</f>
        <v>0</v>
      </c>
    </row>
    <row r="81" spans="1:16" ht="13.5" customHeight="1" x14ac:dyDescent="0.25">
      <c r="A81" s="194" t="s">
        <v>64</v>
      </c>
      <c r="B81" s="195"/>
      <c r="C81" s="195"/>
      <c r="D81" s="195"/>
      <c r="E81" s="195"/>
      <c r="F81" s="281"/>
      <c r="G81" s="282">
        <f ca="1">G78-SUM(G79:G80)</f>
        <v>9403</v>
      </c>
      <c r="I81" s="224" t="s">
        <v>78</v>
      </c>
      <c r="J81" s="209"/>
      <c r="K81" s="209"/>
      <c r="L81" s="209"/>
      <c r="M81" s="210"/>
      <c r="N81" s="269">
        <f>T23+T24</f>
        <v>49000</v>
      </c>
      <c r="O81" s="280">
        <f>MIN(N81,150000)</f>
        <v>49000</v>
      </c>
    </row>
    <row r="82" spans="1:16" ht="12.75" customHeight="1" x14ac:dyDescent="0.25">
      <c r="A82" s="224" t="s">
        <v>65</v>
      </c>
      <c r="B82" s="202"/>
      <c r="C82" s="202"/>
      <c r="D82" s="202"/>
      <c r="E82" s="202"/>
      <c r="F82" s="268"/>
      <c r="G82" s="285">
        <v>1</v>
      </c>
      <c r="I82" s="224" t="s">
        <v>255</v>
      </c>
      <c r="J82" s="209"/>
      <c r="K82" s="209"/>
      <c r="L82" s="209"/>
      <c r="M82" s="210"/>
      <c r="N82" s="253">
        <v>0</v>
      </c>
      <c r="O82" s="280">
        <f>MIN(IF(N82="",0,N82),150000)</f>
        <v>0</v>
      </c>
    </row>
    <row r="83" spans="1:16" ht="12.75" customHeight="1" x14ac:dyDescent="0.25">
      <c r="F83" s="286"/>
      <c r="G83" s="286"/>
      <c r="I83" s="224" t="s">
        <v>279</v>
      </c>
      <c r="J83" s="209"/>
      <c r="K83" s="209"/>
      <c r="L83" s="209"/>
      <c r="M83" s="210"/>
      <c r="N83" s="253">
        <v>189438</v>
      </c>
      <c r="O83" s="280">
        <f>MIN(IF(N83="",0,N83),150000)</f>
        <v>150000</v>
      </c>
    </row>
    <row r="84" spans="1:16" x14ac:dyDescent="0.25">
      <c r="A84" s="313" t="str">
        <f ca="1">IF(G81&lt;0,"Tax refund",IF(OR(G82=1,G82="",G81=0),"Balance Tax payable","Tax per Month"))</f>
        <v>Balance Tax payable</v>
      </c>
      <c r="B84" s="314"/>
      <c r="C84" s="314"/>
      <c r="D84" s="314"/>
      <c r="E84" s="315"/>
      <c r="F84" s="326">
        <f ca="1">IF(G81&gt;0,G81/IF(G82="",1,G82),G81)</f>
        <v>9403</v>
      </c>
      <c r="G84" s="327"/>
      <c r="I84" s="224" t="s">
        <v>403</v>
      </c>
      <c r="J84" s="209"/>
      <c r="K84" s="209"/>
      <c r="L84" s="209"/>
      <c r="M84" s="210"/>
      <c r="N84" s="253">
        <v>48000</v>
      </c>
      <c r="O84" s="280">
        <f>MIN(N84+T27,150000)</f>
        <v>48000</v>
      </c>
    </row>
    <row r="85" spans="1:16" x14ac:dyDescent="0.25">
      <c r="A85" s="316"/>
      <c r="B85" s="317"/>
      <c r="C85" s="317"/>
      <c r="D85" s="317"/>
      <c r="E85" s="318"/>
      <c r="F85" s="328"/>
      <c r="G85" s="329"/>
      <c r="I85" s="224" t="s">
        <v>442</v>
      </c>
      <c r="J85" s="209"/>
      <c r="K85" s="209"/>
      <c r="L85" s="209"/>
      <c r="M85" s="210"/>
      <c r="N85" s="253">
        <v>0</v>
      </c>
      <c r="O85" s="280">
        <f>MIN(N85,(T3+T4)*10%)</f>
        <v>0</v>
      </c>
    </row>
    <row r="86" spans="1:16" ht="12.75" customHeight="1" x14ac:dyDescent="0.25">
      <c r="A86" s="133" t="str">
        <f>Copyright</f>
        <v>© 1997-2018, Nithyanand Yeswanth (taxcalc@ynithya.com)</v>
      </c>
      <c r="B86" s="167"/>
      <c r="C86" s="167"/>
      <c r="D86" s="167"/>
      <c r="E86" s="167"/>
      <c r="F86" s="32"/>
      <c r="I86" s="225" t="s">
        <v>79</v>
      </c>
      <c r="J86" s="226"/>
      <c r="K86" s="226"/>
      <c r="L86" s="226"/>
      <c r="M86" s="227"/>
      <c r="N86" s="273"/>
      <c r="O86" s="273">
        <f>MIN(MIN(SUM(O79:O84),150000)+O78,200000)+O85</f>
        <v>150000</v>
      </c>
    </row>
    <row r="87" spans="1:16" ht="2.1" customHeight="1" x14ac:dyDescent="0.25"/>
    <row r="88" spans="1:16" hidden="1" x14ac:dyDescent="0.25"/>
    <row r="89" spans="1:16" hidden="1" x14ac:dyDescent="0.25"/>
    <row r="90" spans="1:16" hidden="1" x14ac:dyDescent="0.25">
      <c r="A90" s="13"/>
      <c r="B90" s="14" t="s">
        <v>135</v>
      </c>
      <c r="D90" s="2">
        <f>IF(D44="N",IF(D46="Y",MIN(IF(D5="",0,D5),IF($AA$67="Y",3200,1600)),0),0)</f>
        <v>1600</v>
      </c>
      <c r="E90" s="2">
        <f t="shared" ref="E90:O90" si="14">IF(E44="N",IF(E46="Y",MIN(IF(E5="",0,E5),IF($AA$67="Y",3200,1600)),0),0)</f>
        <v>1600</v>
      </c>
      <c r="F90" s="2">
        <f t="shared" si="14"/>
        <v>1600</v>
      </c>
      <c r="G90" s="2">
        <f t="shared" si="14"/>
        <v>1600</v>
      </c>
      <c r="H90" s="2">
        <f t="shared" si="14"/>
        <v>1600</v>
      </c>
      <c r="I90" s="2">
        <f t="shared" si="14"/>
        <v>1600</v>
      </c>
      <c r="J90" s="2">
        <f t="shared" si="14"/>
        <v>1600</v>
      </c>
      <c r="K90" s="2">
        <f t="shared" si="14"/>
        <v>1474</v>
      </c>
      <c r="L90" s="2">
        <f t="shared" si="14"/>
        <v>1600</v>
      </c>
      <c r="M90" s="2">
        <f t="shared" si="14"/>
        <v>1458</v>
      </c>
      <c r="N90" s="2">
        <f t="shared" si="14"/>
        <v>1600</v>
      </c>
      <c r="O90" s="2">
        <f t="shared" si="14"/>
        <v>1600</v>
      </c>
      <c r="P90" s="1">
        <f t="shared" ref="P90:P95" si="15">SUM(D90:O90)</f>
        <v>18932</v>
      </c>
    </row>
    <row r="91" spans="1:16" hidden="1" x14ac:dyDescent="0.25">
      <c r="A91" s="12"/>
      <c r="B91" s="15" t="s">
        <v>136</v>
      </c>
      <c r="D91" s="18">
        <f t="shared" ref="D91:O91" si="16">IF(D43=0,$AA$56,D43/100)</f>
        <v>0</v>
      </c>
      <c r="E91" s="18">
        <f t="shared" si="16"/>
        <v>0</v>
      </c>
      <c r="F91" s="18">
        <f t="shared" si="16"/>
        <v>0</v>
      </c>
      <c r="G91" s="18">
        <f t="shared" si="16"/>
        <v>0</v>
      </c>
      <c r="H91" s="18">
        <f t="shared" si="16"/>
        <v>0</v>
      </c>
      <c r="I91" s="18">
        <f t="shared" si="16"/>
        <v>0</v>
      </c>
      <c r="J91" s="18">
        <f t="shared" si="16"/>
        <v>0</v>
      </c>
      <c r="K91" s="18">
        <f t="shared" si="16"/>
        <v>0</v>
      </c>
      <c r="L91" s="18">
        <f t="shared" si="16"/>
        <v>0</v>
      </c>
      <c r="M91" s="18">
        <f t="shared" si="16"/>
        <v>0</v>
      </c>
      <c r="N91" s="18">
        <f t="shared" si="16"/>
        <v>0</v>
      </c>
      <c r="O91" s="18">
        <f t="shared" si="16"/>
        <v>0</v>
      </c>
      <c r="P91" s="20"/>
    </row>
    <row r="92" spans="1:16" hidden="1" x14ac:dyDescent="0.25">
      <c r="A92" s="12"/>
      <c r="B92" s="15" t="s">
        <v>137</v>
      </c>
      <c r="D92" s="2">
        <f t="shared" ref="D92:O92" si="17">IF($C3="Y",D3)+IF($C4="Y",D4)+IF($C5="Y",D5)+IF($C6="Y",D6)+IF($C7="Y",D7)+IF($C8="Y",D8)+IF($C9="Y",D9)+IF($C10="Y",D10)+IF($C11="Y",D11)+IF($C12="Y",D12)+IF($C13="Y",D13)+IF($C14="Y",D14)+IF($C15="Y",D15)+IF($C16="Y",D16)+IF($C17="Y",D17)+IF($C18="Y",D18)+IF($C19="Y",D19)+IF($C20="Y",D20)</f>
        <v>33800</v>
      </c>
      <c r="E92" s="2">
        <f t="shared" si="17"/>
        <v>33800</v>
      </c>
      <c r="F92" s="2">
        <f t="shared" si="17"/>
        <v>33800</v>
      </c>
      <c r="G92" s="2">
        <f t="shared" si="17"/>
        <v>33800</v>
      </c>
      <c r="H92" s="2">
        <f t="shared" si="17"/>
        <v>33800</v>
      </c>
      <c r="I92" s="2">
        <f t="shared" si="17"/>
        <v>33800</v>
      </c>
      <c r="J92" s="2">
        <f t="shared" si="17"/>
        <v>33800</v>
      </c>
      <c r="K92" s="2">
        <f t="shared" si="17"/>
        <v>31140</v>
      </c>
      <c r="L92" s="2">
        <f t="shared" si="17"/>
        <v>33800</v>
      </c>
      <c r="M92" s="2">
        <f t="shared" si="17"/>
        <v>30791</v>
      </c>
      <c r="N92" s="2">
        <f t="shared" si="17"/>
        <v>39400</v>
      </c>
      <c r="O92" s="2">
        <f t="shared" si="17"/>
        <v>36600</v>
      </c>
      <c r="P92" s="1">
        <f t="shared" si="15"/>
        <v>408331</v>
      </c>
    </row>
    <row r="93" spans="1:16" hidden="1" x14ac:dyDescent="0.25">
      <c r="A93" s="12"/>
      <c r="B93" s="15" t="s">
        <v>138</v>
      </c>
      <c r="D93" s="2">
        <f t="shared" ref="D93:O93" si="18">MAX(MIN((D3+D4)*D97,D26-(D3+D4)*10%,IF(D6="",0,D6)),0)</f>
        <v>12120</v>
      </c>
      <c r="E93" s="2">
        <f t="shared" si="18"/>
        <v>12120</v>
      </c>
      <c r="F93" s="2">
        <f t="shared" si="18"/>
        <v>12120</v>
      </c>
      <c r="G93" s="2">
        <f t="shared" si="18"/>
        <v>12120</v>
      </c>
      <c r="H93" s="2">
        <f t="shared" si="18"/>
        <v>12120</v>
      </c>
      <c r="I93" s="2">
        <f t="shared" si="18"/>
        <v>12120</v>
      </c>
      <c r="J93" s="2">
        <f t="shared" si="18"/>
        <v>12120</v>
      </c>
      <c r="K93" s="2">
        <f t="shared" si="18"/>
        <v>12456</v>
      </c>
      <c r="L93" s="2">
        <f t="shared" si="18"/>
        <v>13120</v>
      </c>
      <c r="M93" s="2">
        <f t="shared" si="18"/>
        <v>12316</v>
      </c>
      <c r="N93" s="2">
        <f t="shared" si="18"/>
        <v>12560</v>
      </c>
      <c r="O93" s="2">
        <f t="shared" si="18"/>
        <v>12840</v>
      </c>
      <c r="P93" s="1">
        <f t="shared" si="15"/>
        <v>148132</v>
      </c>
    </row>
    <row r="94" spans="1:16" ht="12.75" hidden="1" customHeight="1" x14ac:dyDescent="0.25">
      <c r="A94" s="309" t="s">
        <v>139</v>
      </c>
      <c r="B94" s="15" t="s">
        <v>36</v>
      </c>
      <c r="D94" s="16">
        <f>D40</f>
        <v>0</v>
      </c>
      <c r="E94" s="3">
        <f>D96</f>
        <v>7571</v>
      </c>
      <c r="F94" s="3">
        <f t="shared" ref="F94:O94" si="19">E96</f>
        <v>15142</v>
      </c>
      <c r="G94" s="3">
        <f t="shared" si="19"/>
        <v>22713</v>
      </c>
      <c r="H94" s="3">
        <f t="shared" si="19"/>
        <v>30284</v>
      </c>
      <c r="I94" s="3">
        <f t="shared" si="19"/>
        <v>37855</v>
      </c>
      <c r="J94" s="3">
        <f t="shared" si="19"/>
        <v>45426</v>
      </c>
      <c r="K94" s="3">
        <f t="shared" si="19"/>
        <v>52997</v>
      </c>
      <c r="L94" s="3">
        <f t="shared" si="19"/>
        <v>59930</v>
      </c>
      <c r="M94" s="3">
        <f t="shared" si="19"/>
        <v>67501</v>
      </c>
      <c r="N94" s="3">
        <f t="shared" si="19"/>
        <v>74350</v>
      </c>
      <c r="O94" s="3">
        <f t="shared" si="19"/>
        <v>83265</v>
      </c>
      <c r="P94" s="1">
        <f>D94</f>
        <v>0</v>
      </c>
    </row>
    <row r="95" spans="1:16" hidden="1" x14ac:dyDescent="0.25">
      <c r="A95" s="310"/>
      <c r="B95" s="15" t="s">
        <v>37</v>
      </c>
      <c r="D95" s="3">
        <f>ROUND(D94*($AE$52/12),0)</f>
        <v>0</v>
      </c>
      <c r="E95" s="3">
        <f t="shared" ref="E95:O95" si="20">ROUND(E94*($AE$52/12),0)</f>
        <v>55</v>
      </c>
      <c r="F95" s="3">
        <f t="shared" si="20"/>
        <v>110</v>
      </c>
      <c r="G95" s="3">
        <f t="shared" si="20"/>
        <v>165</v>
      </c>
      <c r="H95" s="3">
        <f t="shared" si="20"/>
        <v>220</v>
      </c>
      <c r="I95" s="3">
        <f t="shared" si="20"/>
        <v>274</v>
      </c>
      <c r="J95" s="3">
        <f t="shared" si="20"/>
        <v>329</v>
      </c>
      <c r="K95" s="3">
        <f t="shared" si="20"/>
        <v>384</v>
      </c>
      <c r="L95" s="3">
        <f t="shared" si="20"/>
        <v>434</v>
      </c>
      <c r="M95" s="3">
        <f t="shared" si="20"/>
        <v>489</v>
      </c>
      <c r="N95" s="3">
        <f t="shared" si="20"/>
        <v>539</v>
      </c>
      <c r="O95" s="3">
        <f t="shared" si="20"/>
        <v>604</v>
      </c>
      <c r="P95" s="1">
        <f t="shared" si="15"/>
        <v>3603</v>
      </c>
    </row>
    <row r="96" spans="1:16" hidden="1" x14ac:dyDescent="0.25">
      <c r="A96" s="311"/>
      <c r="B96" s="15" t="s">
        <v>38</v>
      </c>
      <c r="D96" s="16">
        <f t="shared" ref="D96:O96" si="21">D94+D23+D24-D39+MAX((D23-MIN(D92*8.33%,541)),0)</f>
        <v>7571</v>
      </c>
      <c r="E96" s="16">
        <f t="shared" si="21"/>
        <v>15142</v>
      </c>
      <c r="F96" s="16">
        <f t="shared" si="21"/>
        <v>22713</v>
      </c>
      <c r="G96" s="16">
        <f t="shared" si="21"/>
        <v>30284</v>
      </c>
      <c r="H96" s="16">
        <f t="shared" si="21"/>
        <v>37855</v>
      </c>
      <c r="I96" s="16">
        <f t="shared" si="21"/>
        <v>45426</v>
      </c>
      <c r="J96" s="16">
        <f t="shared" si="21"/>
        <v>52997</v>
      </c>
      <c r="K96" s="16">
        <f t="shared" si="21"/>
        <v>59930</v>
      </c>
      <c r="L96" s="16">
        <f t="shared" si="21"/>
        <v>67501</v>
      </c>
      <c r="M96" s="16">
        <f t="shared" si="21"/>
        <v>74350</v>
      </c>
      <c r="N96" s="16">
        <f t="shared" si="21"/>
        <v>83265</v>
      </c>
      <c r="O96" s="16">
        <f t="shared" si="21"/>
        <v>91508</v>
      </c>
      <c r="P96" s="1">
        <f>O96</f>
        <v>91508</v>
      </c>
    </row>
    <row r="97" spans="1:16" hidden="1" x14ac:dyDescent="0.25">
      <c r="A97" s="12"/>
      <c r="B97" s="15" t="s">
        <v>140</v>
      </c>
      <c r="D97" s="17">
        <f t="shared" ref="D97:O97" si="22">IF(D47="M",50%,40%)</f>
        <v>0.4</v>
      </c>
      <c r="E97" s="17">
        <f t="shared" si="22"/>
        <v>0.4</v>
      </c>
      <c r="F97" s="17">
        <f t="shared" si="22"/>
        <v>0.4</v>
      </c>
      <c r="G97" s="17">
        <f t="shared" si="22"/>
        <v>0.4</v>
      </c>
      <c r="H97" s="17">
        <f t="shared" si="22"/>
        <v>0.4</v>
      </c>
      <c r="I97" s="17">
        <f t="shared" si="22"/>
        <v>0.4</v>
      </c>
      <c r="J97" s="17">
        <f t="shared" si="22"/>
        <v>0.4</v>
      </c>
      <c r="K97" s="17">
        <f t="shared" si="22"/>
        <v>0.4</v>
      </c>
      <c r="L97" s="17">
        <f t="shared" si="22"/>
        <v>0.4</v>
      </c>
      <c r="M97" s="17">
        <f t="shared" si="22"/>
        <v>0.4</v>
      </c>
      <c r="N97" s="17">
        <f t="shared" si="22"/>
        <v>0.4</v>
      </c>
      <c r="O97" s="17">
        <f t="shared" si="22"/>
        <v>0.4</v>
      </c>
      <c r="P97" s="19"/>
    </row>
    <row r="98" spans="1:16" hidden="1" x14ac:dyDescent="0.25">
      <c r="A98" s="13"/>
      <c r="B98" s="14" t="s">
        <v>257</v>
      </c>
      <c r="D98" s="2">
        <f>IF(D44="Y",IF($AA$71="Y",IF($AA$72="Y",2400,1800),IF($AA$72="Y",900,600))+IF(D45="Y",900,0),D11-IF($AA$71="Y",IF($AA$72="Y",2400,1800)+IF(D45="Y",900,0),0))</f>
        <v>0</v>
      </c>
      <c r="E98" s="2">
        <f t="shared" ref="E98:O98" si="23">IF(E44="Y",IF($AA$71="Y",IF($AA$72="Y",2400,1800),IF($AA$72="Y",900,600))+IF(E45="Y",900,0),E11-IF($AA$71="Y",IF($AA$72="Y",2400,1800)+IF(E45="Y",900,0),0))</f>
        <v>0</v>
      </c>
      <c r="F98" s="2">
        <f t="shared" si="23"/>
        <v>0</v>
      </c>
      <c r="G98" s="2">
        <f t="shared" si="23"/>
        <v>0</v>
      </c>
      <c r="H98" s="2">
        <f t="shared" si="23"/>
        <v>0</v>
      </c>
      <c r="I98" s="2">
        <f t="shared" si="23"/>
        <v>0</v>
      </c>
      <c r="J98" s="2">
        <f t="shared" si="23"/>
        <v>0</v>
      </c>
      <c r="K98" s="2">
        <f t="shared" si="23"/>
        <v>0</v>
      </c>
      <c r="L98" s="2">
        <f t="shared" si="23"/>
        <v>0</v>
      </c>
      <c r="M98" s="2">
        <f t="shared" si="23"/>
        <v>0</v>
      </c>
      <c r="N98" s="2">
        <f t="shared" si="23"/>
        <v>0</v>
      </c>
      <c r="O98" s="2">
        <f t="shared" si="23"/>
        <v>0</v>
      </c>
      <c r="P98" s="1">
        <f t="shared" ref="P98" si="24">SUM(D98:O98)</f>
        <v>0</v>
      </c>
    </row>
    <row r="99" spans="1:16" hidden="1" x14ac:dyDescent="0.25"/>
    <row r="100" spans="1:16" hidden="1" x14ac:dyDescent="0.25"/>
    <row r="101" spans="1:16" hidden="1" x14ac:dyDescent="0.25"/>
    <row r="102" spans="1:16" hidden="1" x14ac:dyDescent="0.25"/>
    <row r="103" spans="1:16" hidden="1" x14ac:dyDescent="0.25">
      <c r="D103" s="291"/>
    </row>
    <row r="104" spans="1:16" hidden="1" x14ac:dyDescent="0.25"/>
    <row r="105" spans="1:16" hidden="1" x14ac:dyDescent="0.25">
      <c r="D105" s="291"/>
    </row>
  </sheetData>
  <sheetProtection algorithmName="SHA-512" hashValue="wjVwz7iQtTskBCccKhhRM4UxPARdiqHTLgqgWQUF5xZM2zaqQE4u9FoOPkQefxdT7q+S7zCuIkdqMwG0ZSgsIA==" saltValue="foHQMCYnXxGZUnFL5p1ADQ==" spinCount="100000" sheet="1" scenarios="1"/>
  <mergeCells count="39">
    <mergeCell ref="Q38:S38"/>
    <mergeCell ref="Q27:S27"/>
    <mergeCell ref="Q13:S13"/>
    <mergeCell ref="Q33:S33"/>
    <mergeCell ref="Q34:S34"/>
    <mergeCell ref="Q35:S35"/>
    <mergeCell ref="Q37:S37"/>
    <mergeCell ref="Q32:S32"/>
    <mergeCell ref="Q15:S15"/>
    <mergeCell ref="Q7:S7"/>
    <mergeCell ref="Q18:S18"/>
    <mergeCell ref="Q19:S19"/>
    <mergeCell ref="Q36:S36"/>
    <mergeCell ref="Q8:S8"/>
    <mergeCell ref="Q31:S31"/>
    <mergeCell ref="Q29:S29"/>
    <mergeCell ref="Q30:S30"/>
    <mergeCell ref="A1:T1"/>
    <mergeCell ref="Q16:S16"/>
    <mergeCell ref="Q3:S3"/>
    <mergeCell ref="Q4:S4"/>
    <mergeCell ref="F84:G85"/>
    <mergeCell ref="Q5:S5"/>
    <mergeCell ref="Q6:S6"/>
    <mergeCell ref="Q28:S28"/>
    <mergeCell ref="Q17:S17"/>
    <mergeCell ref="Q9:S9"/>
    <mergeCell ref="Q10:S10"/>
    <mergeCell ref="Q20:S20"/>
    <mergeCell ref="Q22:S22"/>
    <mergeCell ref="Q11:S11"/>
    <mergeCell ref="Q12:S12"/>
    <mergeCell ref="Q14:S14"/>
    <mergeCell ref="A94:A96"/>
    <mergeCell ref="A3:A21"/>
    <mergeCell ref="A22:A37"/>
    <mergeCell ref="A39:A42"/>
    <mergeCell ref="A84:E85"/>
    <mergeCell ref="A50:G50"/>
  </mergeCells>
  <phoneticPr fontId="0" type="noConversion"/>
  <conditionalFormatting sqref="B28:B36">
    <cfRule type="cellIs" dxfId="13" priority="1" stopIfTrue="1" operator="equal">
      <formula>"Oth Ded"</formula>
    </cfRule>
  </conditionalFormatting>
  <conditionalFormatting sqref="B10:B20">
    <cfRule type="cellIs" dxfId="12" priority="2" stopIfTrue="1" operator="equal">
      <formula>"Misc"</formula>
    </cfRule>
  </conditionalFormatting>
  <conditionalFormatting sqref="A1:T1">
    <cfRule type="cellIs" dxfId="11" priority="3" stopIfTrue="1" operator="equal">
      <formula>"PLEASE ENTER YOUR NAME HERE"</formula>
    </cfRule>
  </conditionalFormatting>
  <dataValidations count="29">
    <dataValidation type="list" showErrorMessage="1" errorTitle="Error!" error="The population is based on 2001 census" sqref="AA70">
      <formula1>"&gt;25lacs,10-25lacs,&lt;10lacs"</formula1>
    </dataValidation>
    <dataValidation type="list" showErrorMessage="1" errorTitle="Error!" error="Enter Y if your house is provided by your company; Enter N if not" sqref="AA69">
      <formula1>"Y,N"</formula1>
    </dataValidation>
    <dataValidation type="list" showErrorMessage="1" errorTitle="Error!" error="Enter Y if you have a permanent physical disability; Enter N if not" sqref="AA66:AA67">
      <formula1>"Y,N"</formula1>
    </dataValidation>
    <dataValidation type="list" showErrorMessage="1" errorTitle="Error!" error="Enter Y if your physical disability is severe (more than 80%); Enter N if not" sqref="AA68">
      <formula1>"Y,N"</formula1>
    </dataValidation>
    <dataValidation type="list" showErrorMessage="1" errorTitle="Error!" error="Enter Y if a Senior citizen is included in Medical treatment; Enter N if not" sqref="AA65">
      <formula1>"Y,N"</formula1>
    </dataValidation>
    <dataValidation type="list" showErrorMessage="1" errorTitle="Error!" error="Enter P if VPF is calculated as a percentage of salary; Enter F if it is a fixed amount" sqref="AA58">
      <formula1>"P,F"</formula1>
    </dataValidation>
    <dataValidation type="decimal" showErrorMessage="1" errorTitle="Error" error="Interest rate should be between 1% and 30%" sqref="AA57">
      <formula1>0.01</formula1>
      <formula2>0.3</formula2>
    </dataValidation>
    <dataValidation type="decimal" showErrorMessage="1" errorTitle="Error" error="VPF percentage should be between 0% and 99%" sqref="AA56">
      <formula1>0</formula1>
      <formula2>0.99</formula2>
    </dataValidation>
    <dataValidation type="whole" showErrorMessage="1" errorTitle="Error" error="The limit cannot be negative" sqref="AA55">
      <formula1>0</formula1>
      <formula2>99999999</formula2>
    </dataValidation>
    <dataValidation type="decimal" showErrorMessage="1" errorTitle="Error" error="PF percentage should be between 0% and 99%" sqref="AA54">
      <formula1>0</formula1>
      <formula2>0.99</formula2>
    </dataValidation>
    <dataValidation type="list" showErrorMessage="1" errorTitle="Error!" error="Enter Y if a senior citizen is included in Medical Insurance premium; Enter N if not" sqref="AA64">
      <formula1>"Y,N"</formula1>
    </dataValidation>
    <dataValidation type="list" showErrorMessage="1" errorTitle="Error!" error="Enter Y if the housing loan was taken after April 1, 1999; Enter N if taken before this date" sqref="AA61:AA62">
      <formula1>"Y,N"</formula1>
    </dataValidation>
    <dataValidation type="list" showErrorMessage="1" errorTitle="Error!" error="Enter Y if house is self-occupied; Enter N if house is rented out" sqref="AA60">
      <formula1>"Y,N"</formula1>
    </dataValidation>
    <dataValidation type="list" showErrorMessage="1" errorTitle="Error!" error="Enter M (for Metro) or N (for non-Metro) only" sqref="AA51 D47:O47">
      <formula1>"M,N"</formula1>
    </dataValidation>
    <dataValidation type="whole" allowBlank="1" showErrorMessage="1" errorTitle="Error" error="Enter whole Rupees only" sqref="G80 N60 N81 D40 N62:N63 N53:N57">
      <formula1>-9999999</formula1>
      <formula2>9999999</formula2>
    </dataValidation>
    <dataValidation type="whole" operator="greaterThanOrEqual" allowBlank="1" showInputMessage="1" showErrorMessage="1" errorTitle="Error!" error="Please enter positive whole number only!" sqref="N66:N72 N75">
      <formula1>0</formula1>
    </dataValidation>
    <dataValidation type="whole" allowBlank="1" showErrorMessage="1" errorTitle="Error" error="Month should be between 1 and 12" sqref="G82">
      <formula1>1</formula1>
      <formula2>12</formula2>
    </dataValidation>
    <dataValidation showErrorMessage="1" errorTitle="Error" error="VPF percentage should be between 0% and 99%" sqref="D97:O97 D43:O43 D48:O48"/>
    <dataValidation type="list" showErrorMessage="1" errorTitle="Error!" error="Enter Y if you were in India in this month. Enter N if you were abroad" sqref="D46:O46">
      <formula1>"Y,N"</formula1>
    </dataValidation>
    <dataValidation type="whole" showInputMessage="1" showErrorMessage="1" errorTitle="Error!" error="Enter only whole Rupees" sqref="T39:T42 Q25:S42 R4:S20 Q3:Q20 Q22:S22 D39:O39 D25:O36 D22:O22 D3:O20">
      <formula1>-9999999</formula1>
      <formula2>9999999</formula2>
    </dataValidation>
    <dataValidation type="whole" allowBlank="1" showErrorMessage="1" errorTitle="Error" error="Enter only whole Rupees" sqref="R23:R24 R21:S21">
      <formula1>-9999999</formula1>
      <formula2>9999999</formula2>
    </dataValidation>
    <dataValidation showErrorMessage="1" errorTitle="Error!" error="Enter Y if this column is included in computing PF; Enter N otherwise" sqref="C3"/>
    <dataValidation type="list" showErrorMessage="1" errorTitle="Error!" error="Enter Y if this column is included in computing PF; Enter N otherwise" sqref="C4:C20">
      <formula1>"Y,N"</formula1>
    </dataValidation>
    <dataValidation type="whole" allowBlank="1" showErrorMessage="1" errorTitle="Error" error="Please enter positive whole number only!" sqref="N64 N61 N78:N80 N82:N85">
      <formula1>0</formula1>
      <formula2>9999999</formula2>
    </dataValidation>
    <dataValidation type="list" showErrorMessage="1" errorTitle="Error!" error="Enter Y if you had a car and used it in this month. Enter N if you did not" sqref="D44:O44">
      <formula1>"Y,N"</formula1>
    </dataValidation>
    <dataValidation type="list" showErrorMessage="1" errorTitle="Error!" error="Enter Y if you had used a driver in this month. Enter N if you did not" sqref="D45:O45">
      <formula1>"Y,N"</formula1>
    </dataValidation>
    <dataValidation type="list" showErrorMessage="1" errorTitle="Error!" error="Enter Y if you are using a car provided by your company for personal and official use; Enter N if not" sqref="AA71">
      <formula1>"Y,N"</formula1>
    </dataValidation>
    <dataValidation type="list" showErrorMessage="1" errorTitle="Error!" error="Enter Y if your car (or the one provided by the company) has engine capacity more than 1600cc; Enter N if it is less than 1600cc" sqref="AA72">
      <formula1>"Y,N"</formula1>
    </dataValidation>
    <dataValidation type="list" showErrorMessage="1" errorTitle="Error!" error="Enter Y if you are a senior citizen (age above 65 years); Enter N if you are below 65 years of age" sqref="AF61:AF62">
      <formula1>"Y,N"</formula1>
    </dataValidation>
  </dataValidations>
  <printOptions horizontalCentered="1"/>
  <pageMargins left="0.35" right="0.35" top="0.8" bottom="0.8" header="0.5" footer="0.5"/>
  <pageSetup paperSize="9" scale="78" fitToHeight="2" orientation="landscape" r:id="rId1"/>
  <headerFooter alignWithMargins="0">
    <oddHeader>&amp;L&amp;"Franklin Gothic Book,Bold"&amp;9&amp;D&amp;C&amp;"Franklin Gothic Book,Bold"&amp;9Income Tax Projections for Financial Year 2017-18&amp;R&amp;"Franklin Gothic Book,Bold"&amp;9Page &amp;P of &amp;N</oddHeader>
    <oddFooter>&amp;LFree Download from http://taxcalc.ynithya.com/&amp;C(Version 20.0)&amp;R© 1997-2018, Nithyanand Yeswanth (taxcalc@ynithya.com)</oddFooter>
  </headerFooter>
  <rowBreaks count="1" manualBreakCount="1">
    <brk id="49" max="1638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57"/>
  </sheetPr>
  <dimension ref="A1:IH68"/>
  <sheetViews>
    <sheetView showGridLines="0" zoomScaleNormal="100" workbookViewId="0">
      <selection sqref="A1:L1"/>
    </sheetView>
  </sheetViews>
  <sheetFormatPr defaultColWidth="0" defaultRowHeight="12.75" zeroHeight="1" x14ac:dyDescent="0.25"/>
  <cols>
    <col min="1" max="1" width="26.5" style="40" customWidth="1"/>
    <col min="2" max="12" width="11.33203125" style="34" customWidth="1"/>
    <col min="13" max="13" width="0.33203125" style="65" customWidth="1"/>
    <col min="14" max="242" width="10.6640625" style="34" hidden="1" customWidth="1"/>
    <col min="243" max="16384" width="0.83203125" style="34" hidden="1"/>
  </cols>
  <sheetData>
    <row r="1" spans="1:27" ht="30" customHeight="1" x14ac:dyDescent="0.25">
      <c r="A1" s="333" t="str">
        <f>Instructions!B7</f>
        <v>Atul Tegar</v>
      </c>
      <c r="B1" s="333"/>
      <c r="C1" s="333"/>
      <c r="D1" s="333"/>
      <c r="E1" s="333"/>
      <c r="F1" s="333"/>
      <c r="G1" s="333"/>
      <c r="H1" s="333"/>
      <c r="I1" s="333"/>
      <c r="J1" s="333"/>
      <c r="K1" s="333"/>
      <c r="L1" s="333"/>
      <c r="M1" s="33"/>
    </row>
    <row r="2" spans="1:27" s="36" customFormat="1" ht="18" customHeight="1" x14ac:dyDescent="0.25">
      <c r="A2" s="336" t="s">
        <v>227</v>
      </c>
      <c r="B2" s="336"/>
      <c r="C2" s="336"/>
      <c r="D2" s="336"/>
      <c r="E2" s="336"/>
      <c r="F2" s="336"/>
      <c r="G2" s="336"/>
      <c r="H2" s="336"/>
      <c r="I2" s="336"/>
      <c r="J2" s="336"/>
      <c r="K2" s="336"/>
      <c r="L2" s="336"/>
      <c r="M2" s="35"/>
    </row>
    <row r="3" spans="1:27" x14ac:dyDescent="0.25">
      <c r="A3" s="337"/>
      <c r="B3" s="338"/>
      <c r="C3" s="338"/>
      <c r="D3" s="338"/>
      <c r="E3" s="338"/>
      <c r="F3" s="338"/>
      <c r="G3" s="338"/>
      <c r="H3" s="338"/>
      <c r="I3" s="338"/>
      <c r="J3" s="338"/>
      <c r="K3" s="338"/>
      <c r="L3" s="339"/>
      <c r="M3" s="37"/>
    </row>
    <row r="4" spans="1:27" s="40" customFormat="1" ht="25.5" x14ac:dyDescent="0.25">
      <c r="A4" s="240"/>
      <c r="B4" s="238" t="s">
        <v>143</v>
      </c>
      <c r="C4" s="238" t="s">
        <v>144</v>
      </c>
      <c r="D4" s="238" t="s">
        <v>145</v>
      </c>
      <c r="E4" s="238" t="s">
        <v>146</v>
      </c>
      <c r="F4" s="238" t="s">
        <v>147</v>
      </c>
      <c r="G4" s="238" t="s">
        <v>148</v>
      </c>
      <c r="H4" s="238" t="s">
        <v>149</v>
      </c>
      <c r="I4" s="238" t="s">
        <v>150</v>
      </c>
      <c r="J4" s="238" t="s">
        <v>151</v>
      </c>
      <c r="K4" s="238" t="s">
        <v>151</v>
      </c>
      <c r="L4" s="238" t="s">
        <v>151</v>
      </c>
      <c r="M4" s="39"/>
      <c r="Q4" s="141" t="s">
        <v>143</v>
      </c>
      <c r="R4" s="141" t="s">
        <v>144</v>
      </c>
      <c r="S4" s="141" t="s">
        <v>145</v>
      </c>
      <c r="T4" s="141" t="s">
        <v>146</v>
      </c>
      <c r="U4" s="141" t="s">
        <v>147</v>
      </c>
      <c r="V4" s="141" t="s">
        <v>148</v>
      </c>
      <c r="W4" s="141" t="s">
        <v>149</v>
      </c>
      <c r="X4" s="141" t="s">
        <v>150</v>
      </c>
      <c r="Y4" s="141" t="s">
        <v>151</v>
      </c>
      <c r="Z4" s="141" t="s">
        <v>152</v>
      </c>
      <c r="AA4" s="141" t="s">
        <v>151</v>
      </c>
    </row>
    <row r="5" spans="1:27" ht="12" customHeight="1" x14ac:dyDescent="0.25">
      <c r="A5" s="237" t="s">
        <v>153</v>
      </c>
      <c r="B5" s="41">
        <v>0</v>
      </c>
      <c r="C5" s="41">
        <v>0</v>
      </c>
      <c r="D5" s="41">
        <v>0</v>
      </c>
      <c r="E5" s="41">
        <v>0</v>
      </c>
      <c r="F5" s="41">
        <v>0</v>
      </c>
      <c r="G5" s="41">
        <v>0</v>
      </c>
      <c r="H5" s="41">
        <v>0</v>
      </c>
      <c r="I5" s="41">
        <v>0</v>
      </c>
      <c r="J5" s="41">
        <v>0</v>
      </c>
      <c r="K5" s="41">
        <v>0</v>
      </c>
      <c r="L5" s="41">
        <v>0</v>
      </c>
      <c r="M5" s="42"/>
      <c r="O5" s="43" t="s">
        <v>154</v>
      </c>
      <c r="P5" s="44">
        <v>42826</v>
      </c>
    </row>
    <row r="6" spans="1:27" ht="12" customHeight="1" x14ac:dyDescent="0.25">
      <c r="A6" s="237" t="s">
        <v>155</v>
      </c>
      <c r="B6" s="45"/>
      <c r="C6" s="45"/>
      <c r="D6" s="45"/>
      <c r="E6" s="45"/>
      <c r="F6" s="45"/>
      <c r="G6" s="45"/>
      <c r="H6" s="45"/>
      <c r="I6" s="45"/>
      <c r="J6" s="45"/>
      <c r="K6" s="45"/>
      <c r="L6" s="45"/>
      <c r="M6" s="42"/>
      <c r="O6" s="43" t="s">
        <v>156</v>
      </c>
      <c r="P6" s="46">
        <f>DATE(YEAR(P5)+1,3,31)</f>
        <v>43190</v>
      </c>
    </row>
    <row r="7" spans="1:27" x14ac:dyDescent="0.25">
      <c r="A7" s="237" t="s">
        <v>157</v>
      </c>
      <c r="B7" s="45"/>
      <c r="C7" s="45"/>
      <c r="D7" s="45"/>
      <c r="E7" s="45"/>
      <c r="F7" s="45"/>
      <c r="G7" s="45"/>
      <c r="H7" s="45"/>
      <c r="I7" s="45"/>
      <c r="J7" s="45"/>
      <c r="K7" s="45"/>
      <c r="L7" s="45"/>
      <c r="M7" s="42"/>
    </row>
    <row r="8" spans="1:27" hidden="1" x14ac:dyDescent="0.25">
      <c r="A8" s="237"/>
      <c r="B8" s="47">
        <f>DATE(YEAR(B$6),MONTH(B$6),1)</f>
        <v>1</v>
      </c>
      <c r="C8" s="47">
        <f t="shared" ref="C8:M8" si="0">DATE(YEAR(C$6),MONTH(C$6),1)</f>
        <v>1</v>
      </c>
      <c r="D8" s="47">
        <f t="shared" si="0"/>
        <v>1</v>
      </c>
      <c r="E8" s="47">
        <f t="shared" si="0"/>
        <v>1</v>
      </c>
      <c r="F8" s="47">
        <f t="shared" si="0"/>
        <v>1</v>
      </c>
      <c r="G8" s="47">
        <f t="shared" si="0"/>
        <v>1</v>
      </c>
      <c r="H8" s="47">
        <f t="shared" si="0"/>
        <v>1</v>
      </c>
      <c r="I8" s="47">
        <f t="shared" si="0"/>
        <v>1</v>
      </c>
      <c r="J8" s="47">
        <f t="shared" si="0"/>
        <v>1</v>
      </c>
      <c r="K8" s="47">
        <f t="shared" si="0"/>
        <v>1</v>
      </c>
      <c r="L8" s="47">
        <f t="shared" si="0"/>
        <v>1</v>
      </c>
      <c r="M8" s="142">
        <f t="shared" si="0"/>
        <v>1</v>
      </c>
    </row>
    <row r="9" spans="1:27" hidden="1" x14ac:dyDescent="0.25">
      <c r="A9" s="237"/>
      <c r="B9" s="47">
        <f>IF(B7="",DATE(2020,12,31),B7)</f>
        <v>44196</v>
      </c>
      <c r="C9" s="47">
        <f t="shared" ref="C9:L9" si="1">IF(C7="",DATE(2020,12,31),C7)</f>
        <v>44196</v>
      </c>
      <c r="D9" s="47">
        <f t="shared" si="1"/>
        <v>44196</v>
      </c>
      <c r="E9" s="47">
        <f t="shared" si="1"/>
        <v>44196</v>
      </c>
      <c r="F9" s="47">
        <f t="shared" si="1"/>
        <v>44196</v>
      </c>
      <c r="G9" s="47">
        <f t="shared" si="1"/>
        <v>44196</v>
      </c>
      <c r="H9" s="47">
        <f t="shared" si="1"/>
        <v>44196</v>
      </c>
      <c r="I9" s="47">
        <f t="shared" si="1"/>
        <v>44196</v>
      </c>
      <c r="J9" s="47">
        <f t="shared" si="1"/>
        <v>44196</v>
      </c>
      <c r="K9" s="47">
        <f t="shared" si="1"/>
        <v>44196</v>
      </c>
      <c r="L9" s="47">
        <f t="shared" si="1"/>
        <v>44196</v>
      </c>
      <c r="M9" s="42"/>
    </row>
    <row r="10" spans="1:27" x14ac:dyDescent="0.25">
      <c r="A10" s="237" t="s">
        <v>158</v>
      </c>
      <c r="B10" s="48">
        <v>100</v>
      </c>
      <c r="C10" s="48">
        <v>50</v>
      </c>
      <c r="D10" s="48">
        <v>36</v>
      </c>
      <c r="E10" s="48">
        <v>36</v>
      </c>
      <c r="F10" s="48">
        <v>10</v>
      </c>
      <c r="G10" s="48">
        <v>36</v>
      </c>
      <c r="H10" s="48">
        <v>15</v>
      </c>
      <c r="I10" s="48">
        <v>36</v>
      </c>
      <c r="J10" s="48">
        <v>50</v>
      </c>
      <c r="K10" s="48">
        <v>36</v>
      </c>
      <c r="L10" s="48">
        <v>50</v>
      </c>
      <c r="M10" s="42"/>
      <c r="O10" s="170" t="s">
        <v>351</v>
      </c>
      <c r="P10" s="46">
        <f>DATE(YEAR(P6)-Q10,MONTH(P6),DAY(P6))</f>
        <v>21275</v>
      </c>
      <c r="Q10" s="34">
        <v>60</v>
      </c>
    </row>
    <row r="11" spans="1:27" ht="12" customHeight="1" x14ac:dyDescent="0.25">
      <c r="A11" s="237" t="s">
        <v>159</v>
      </c>
      <c r="B11" s="49">
        <v>0</v>
      </c>
      <c r="C11" s="49">
        <v>0.04</v>
      </c>
      <c r="D11" s="49">
        <v>0</v>
      </c>
      <c r="E11" s="49">
        <v>0.04</v>
      </c>
      <c r="F11" s="49">
        <v>0</v>
      </c>
      <c r="G11" s="49">
        <v>0</v>
      </c>
      <c r="H11" s="49">
        <v>0</v>
      </c>
      <c r="I11" s="49">
        <v>0</v>
      </c>
      <c r="J11" s="49">
        <v>0</v>
      </c>
      <c r="K11" s="49">
        <v>0.04</v>
      </c>
      <c r="L11" s="49">
        <v>0</v>
      </c>
      <c r="M11" s="42"/>
      <c r="O11" s="170" t="s">
        <v>352</v>
      </c>
      <c r="P11" s="46">
        <f>DATE(YEAR(P6)-Q11,MONTH(P6),DAY(P6))</f>
        <v>13970</v>
      </c>
      <c r="Q11" s="34">
        <v>80</v>
      </c>
    </row>
    <row r="12" spans="1:27" ht="12" customHeight="1" x14ac:dyDescent="0.25">
      <c r="A12" s="237" t="s">
        <v>160</v>
      </c>
      <c r="B12" s="239">
        <f t="shared" ref="B12:L12" si="2">PMT(B11/12,B10,-B5)</f>
        <v>0</v>
      </c>
      <c r="C12" s="239">
        <f t="shared" si="2"/>
        <v>0</v>
      </c>
      <c r="D12" s="239">
        <f t="shared" si="2"/>
        <v>0</v>
      </c>
      <c r="E12" s="239">
        <f t="shared" si="2"/>
        <v>0</v>
      </c>
      <c r="F12" s="239">
        <f t="shared" si="2"/>
        <v>0</v>
      </c>
      <c r="G12" s="239">
        <f t="shared" si="2"/>
        <v>0</v>
      </c>
      <c r="H12" s="239">
        <f t="shared" si="2"/>
        <v>0</v>
      </c>
      <c r="I12" s="239">
        <f t="shared" si="2"/>
        <v>0</v>
      </c>
      <c r="J12" s="239">
        <f t="shared" si="2"/>
        <v>0</v>
      </c>
      <c r="K12" s="239">
        <f t="shared" si="2"/>
        <v>0</v>
      </c>
      <c r="L12" s="239">
        <f t="shared" si="2"/>
        <v>0</v>
      </c>
      <c r="M12" s="50"/>
    </row>
    <row r="13" spans="1:27" s="54" customFormat="1" ht="15" customHeight="1" x14ac:dyDescent="0.25">
      <c r="A13" s="51" t="s">
        <v>161</v>
      </c>
      <c r="B13" s="52"/>
      <c r="C13" s="52"/>
      <c r="D13" s="52"/>
      <c r="E13" s="52"/>
      <c r="F13" s="52"/>
      <c r="G13" s="52"/>
      <c r="H13" s="52"/>
      <c r="I13" s="52"/>
      <c r="J13" s="52"/>
      <c r="K13" s="52"/>
      <c r="L13" s="53"/>
      <c r="M13" s="42"/>
      <c r="O13" s="289" t="s">
        <v>440</v>
      </c>
      <c r="P13" s="288" t="str">
        <f>"© 1997-"&amp;YEAR(P6)&amp;", Nithyanand Yeswanth (taxcalc@ynithya.com)"</f>
        <v>© 1997-2018, Nithyanand Yeswanth (taxcalc@ynithya.com)</v>
      </c>
    </row>
    <row r="14" spans="1:27" ht="12" customHeight="1" x14ac:dyDescent="0.25">
      <c r="A14" s="237" t="s">
        <v>153</v>
      </c>
      <c r="B14" s="41">
        <v>0</v>
      </c>
      <c r="C14" s="41">
        <v>0</v>
      </c>
      <c r="D14" s="41">
        <v>0</v>
      </c>
      <c r="E14" s="41">
        <v>0</v>
      </c>
      <c r="F14" s="41">
        <v>0</v>
      </c>
      <c r="G14" s="41">
        <v>0</v>
      </c>
      <c r="H14" s="41">
        <v>0</v>
      </c>
      <c r="I14" s="41">
        <v>0</v>
      </c>
      <c r="J14" s="41">
        <v>0</v>
      </c>
      <c r="K14" s="41">
        <v>0</v>
      </c>
      <c r="L14" s="41">
        <v>0</v>
      </c>
      <c r="M14" s="42"/>
      <c r="P14" s="290"/>
    </row>
    <row r="15" spans="1:27" ht="12" customHeight="1" x14ac:dyDescent="0.25">
      <c r="A15" s="237" t="s">
        <v>155</v>
      </c>
      <c r="B15" s="45"/>
      <c r="C15" s="45"/>
      <c r="D15" s="45"/>
      <c r="E15" s="45"/>
      <c r="F15" s="45"/>
      <c r="G15" s="45"/>
      <c r="H15" s="45"/>
      <c r="I15" s="45"/>
      <c r="J15" s="45"/>
      <c r="K15" s="45"/>
      <c r="L15" s="45"/>
      <c r="M15" s="42"/>
    </row>
    <row r="16" spans="1:27" ht="12" customHeight="1" x14ac:dyDescent="0.25">
      <c r="A16" s="237" t="s">
        <v>157</v>
      </c>
      <c r="B16" s="45"/>
      <c r="C16" s="45"/>
      <c r="D16" s="45"/>
      <c r="E16" s="45"/>
      <c r="F16" s="45"/>
      <c r="G16" s="45"/>
      <c r="H16" s="45"/>
      <c r="I16" s="45"/>
      <c r="J16" s="45"/>
      <c r="K16" s="45"/>
      <c r="L16" s="45"/>
      <c r="M16" s="42"/>
    </row>
    <row r="17" spans="1:27" ht="12" hidden="1" customHeight="1" x14ac:dyDescent="0.25">
      <c r="A17" s="237"/>
      <c r="B17" s="47">
        <f>DATE(YEAR(B$15),MONTH(B$15),1)</f>
        <v>1</v>
      </c>
      <c r="C17" s="47">
        <f t="shared" ref="C17:L17" si="3">DATE(YEAR(C$15),MONTH(C$15),1)</f>
        <v>1</v>
      </c>
      <c r="D17" s="47">
        <f t="shared" si="3"/>
        <v>1</v>
      </c>
      <c r="E17" s="47">
        <f t="shared" si="3"/>
        <v>1</v>
      </c>
      <c r="F17" s="47">
        <f t="shared" si="3"/>
        <v>1</v>
      </c>
      <c r="G17" s="47">
        <f t="shared" si="3"/>
        <v>1</v>
      </c>
      <c r="H17" s="47">
        <f t="shared" si="3"/>
        <v>1</v>
      </c>
      <c r="I17" s="47">
        <f t="shared" si="3"/>
        <v>1</v>
      </c>
      <c r="J17" s="47">
        <f t="shared" si="3"/>
        <v>1</v>
      </c>
      <c r="K17" s="47">
        <f t="shared" si="3"/>
        <v>1</v>
      </c>
      <c r="L17" s="47">
        <f t="shared" si="3"/>
        <v>1</v>
      </c>
      <c r="M17" s="42"/>
    </row>
    <row r="18" spans="1:27" ht="12" hidden="1" customHeight="1" x14ac:dyDescent="0.25">
      <c r="A18" s="237"/>
      <c r="B18" s="47">
        <f>IF(B16="",DATE(2020,12,31),B16)</f>
        <v>44196</v>
      </c>
      <c r="C18" s="47">
        <f t="shared" ref="C18:L18" si="4">IF(C16="",DATE(2020,12,31),C16)</f>
        <v>44196</v>
      </c>
      <c r="D18" s="47">
        <f t="shared" si="4"/>
        <v>44196</v>
      </c>
      <c r="E18" s="47">
        <f t="shared" si="4"/>
        <v>44196</v>
      </c>
      <c r="F18" s="47">
        <f t="shared" si="4"/>
        <v>44196</v>
      </c>
      <c r="G18" s="47">
        <f t="shared" si="4"/>
        <v>44196</v>
      </c>
      <c r="H18" s="47">
        <f t="shared" si="4"/>
        <v>44196</v>
      </c>
      <c r="I18" s="47">
        <f t="shared" si="4"/>
        <v>44196</v>
      </c>
      <c r="J18" s="47">
        <f t="shared" si="4"/>
        <v>44196</v>
      </c>
      <c r="K18" s="47">
        <f t="shared" si="4"/>
        <v>44196</v>
      </c>
      <c r="L18" s="47">
        <f t="shared" si="4"/>
        <v>44196</v>
      </c>
      <c r="M18" s="42"/>
    </row>
    <row r="19" spans="1:27" ht="12" customHeight="1" x14ac:dyDescent="0.25">
      <c r="A19" s="237" t="s">
        <v>158</v>
      </c>
      <c r="B19" s="48">
        <v>100</v>
      </c>
      <c r="C19" s="48">
        <v>50</v>
      </c>
      <c r="D19" s="48">
        <v>36</v>
      </c>
      <c r="E19" s="48">
        <v>36</v>
      </c>
      <c r="F19" s="48">
        <v>10</v>
      </c>
      <c r="G19" s="48">
        <v>36</v>
      </c>
      <c r="H19" s="48">
        <v>15</v>
      </c>
      <c r="I19" s="48">
        <v>36</v>
      </c>
      <c r="J19" s="48">
        <v>50</v>
      </c>
      <c r="K19" s="48">
        <v>36</v>
      </c>
      <c r="L19" s="48">
        <v>50</v>
      </c>
      <c r="M19" s="42"/>
    </row>
    <row r="20" spans="1:27" ht="12" customHeight="1" x14ac:dyDescent="0.25">
      <c r="A20" s="237" t="s">
        <v>159</v>
      </c>
      <c r="B20" s="49">
        <v>0</v>
      </c>
      <c r="C20" s="49">
        <v>0.04</v>
      </c>
      <c r="D20" s="49">
        <v>0</v>
      </c>
      <c r="E20" s="49">
        <v>0.04</v>
      </c>
      <c r="F20" s="49">
        <v>0</v>
      </c>
      <c r="G20" s="49">
        <v>0</v>
      </c>
      <c r="H20" s="49">
        <v>0</v>
      </c>
      <c r="I20" s="49">
        <v>0</v>
      </c>
      <c r="J20" s="49">
        <v>0</v>
      </c>
      <c r="K20" s="49">
        <v>0.04</v>
      </c>
      <c r="L20" s="49">
        <v>0</v>
      </c>
      <c r="M20" s="42"/>
    </row>
    <row r="21" spans="1:27" ht="12" customHeight="1" x14ac:dyDescent="0.25">
      <c r="A21" s="237" t="s">
        <v>160</v>
      </c>
      <c r="B21" s="239">
        <f t="shared" ref="B21:L21" si="5">PMT(B20/12,B19,-B14)</f>
        <v>0</v>
      </c>
      <c r="C21" s="239">
        <f t="shared" si="5"/>
        <v>0</v>
      </c>
      <c r="D21" s="239">
        <f t="shared" si="5"/>
        <v>0</v>
      </c>
      <c r="E21" s="239">
        <f t="shared" si="5"/>
        <v>0</v>
      </c>
      <c r="F21" s="239">
        <f t="shared" si="5"/>
        <v>0</v>
      </c>
      <c r="G21" s="239">
        <f t="shared" si="5"/>
        <v>0</v>
      </c>
      <c r="H21" s="239">
        <f t="shared" si="5"/>
        <v>0</v>
      </c>
      <c r="I21" s="239">
        <f t="shared" si="5"/>
        <v>0</v>
      </c>
      <c r="J21" s="239">
        <f t="shared" si="5"/>
        <v>0</v>
      </c>
      <c r="K21" s="239">
        <f t="shared" si="5"/>
        <v>0</v>
      </c>
      <c r="L21" s="239">
        <f t="shared" si="5"/>
        <v>0</v>
      </c>
      <c r="M21" s="50"/>
    </row>
    <row r="22" spans="1:27" ht="8.1" customHeight="1" x14ac:dyDescent="0.25">
      <c r="A22" s="55"/>
      <c r="B22" s="56"/>
      <c r="C22" s="56"/>
      <c r="D22" s="56"/>
      <c r="E22" s="56"/>
      <c r="F22" s="56"/>
      <c r="G22" s="56"/>
      <c r="H22" s="56"/>
      <c r="I22" s="56"/>
      <c r="J22" s="56"/>
      <c r="K22" s="56"/>
      <c r="L22" s="57"/>
      <c r="M22" s="50"/>
      <c r="O22" s="140"/>
    </row>
    <row r="23" spans="1:27" x14ac:dyDescent="0.25">
      <c r="A23" s="237" t="s">
        <v>162</v>
      </c>
      <c r="B23" s="241">
        <v>0.1</v>
      </c>
      <c r="C23" s="241">
        <v>0.1</v>
      </c>
      <c r="D23" s="241">
        <v>0.12</v>
      </c>
      <c r="E23" s="241">
        <v>0.12</v>
      </c>
      <c r="F23" s="241">
        <v>0.12</v>
      </c>
      <c r="G23" s="241">
        <v>0.12</v>
      </c>
      <c r="H23" s="241">
        <v>0.12</v>
      </c>
      <c r="I23" s="241">
        <v>0.12</v>
      </c>
      <c r="J23" s="241">
        <v>0.12</v>
      </c>
      <c r="K23" s="241">
        <v>0.12</v>
      </c>
      <c r="L23" s="241">
        <v>0.12</v>
      </c>
      <c r="M23" s="58"/>
      <c r="O23" s="140"/>
    </row>
    <row r="24" spans="1:27" hidden="1" x14ac:dyDescent="0.25">
      <c r="A24" s="38" t="s">
        <v>163</v>
      </c>
      <c r="B24" s="59">
        <f t="shared" ref="B24:L24" si="6">B23-B11</f>
        <v>0.1</v>
      </c>
      <c r="C24" s="59">
        <f t="shared" si="6"/>
        <v>0.06</v>
      </c>
      <c r="D24" s="59">
        <f t="shared" si="6"/>
        <v>0.12</v>
      </c>
      <c r="E24" s="59">
        <f t="shared" si="6"/>
        <v>0.08</v>
      </c>
      <c r="F24" s="59">
        <f t="shared" si="6"/>
        <v>0.12</v>
      </c>
      <c r="G24" s="59">
        <f t="shared" si="6"/>
        <v>0.12</v>
      </c>
      <c r="H24" s="59">
        <f t="shared" si="6"/>
        <v>0.12</v>
      </c>
      <c r="I24" s="59">
        <f t="shared" si="6"/>
        <v>0.12</v>
      </c>
      <c r="J24" s="59">
        <f t="shared" si="6"/>
        <v>0.12</v>
      </c>
      <c r="K24" s="59">
        <f t="shared" si="6"/>
        <v>0.08</v>
      </c>
      <c r="L24" s="59">
        <f t="shared" si="6"/>
        <v>0.12</v>
      </c>
      <c r="M24" s="58"/>
      <c r="O24" s="140"/>
    </row>
    <row r="25" spans="1:27" hidden="1" x14ac:dyDescent="0.25">
      <c r="A25" s="38" t="s">
        <v>164</v>
      </c>
      <c r="B25" s="59">
        <f t="shared" ref="B25:L25" si="7">B23-B20</f>
        <v>0.1</v>
      </c>
      <c r="C25" s="59">
        <f t="shared" si="7"/>
        <v>0.06</v>
      </c>
      <c r="D25" s="59">
        <f t="shared" si="7"/>
        <v>0.12</v>
      </c>
      <c r="E25" s="59">
        <f t="shared" si="7"/>
        <v>0.08</v>
      </c>
      <c r="F25" s="59">
        <f t="shared" si="7"/>
        <v>0.12</v>
      </c>
      <c r="G25" s="59">
        <f t="shared" si="7"/>
        <v>0.12</v>
      </c>
      <c r="H25" s="59">
        <f t="shared" si="7"/>
        <v>0.12</v>
      </c>
      <c r="I25" s="59">
        <f t="shared" si="7"/>
        <v>0.12</v>
      </c>
      <c r="J25" s="59">
        <f t="shared" si="7"/>
        <v>0.12</v>
      </c>
      <c r="K25" s="59">
        <f t="shared" si="7"/>
        <v>0.08</v>
      </c>
      <c r="L25" s="59">
        <f t="shared" si="7"/>
        <v>0.12</v>
      </c>
      <c r="M25" s="58"/>
    </row>
    <row r="26" spans="1:27" s="54" customFormat="1" hidden="1" x14ac:dyDescent="0.25">
      <c r="A26" s="60" t="s">
        <v>165</v>
      </c>
      <c r="B26" s="143"/>
      <c r="C26" s="143"/>
      <c r="D26" s="143"/>
      <c r="E26" s="143"/>
      <c r="F26" s="143"/>
      <c r="G26" s="143"/>
      <c r="H26" s="143"/>
      <c r="I26" s="143"/>
      <c r="J26" s="143"/>
      <c r="K26" s="143"/>
      <c r="L26" s="61"/>
      <c r="M26" s="42"/>
    </row>
    <row r="27" spans="1:27" hidden="1" x14ac:dyDescent="0.25">
      <c r="A27" s="62" t="s">
        <v>166</v>
      </c>
      <c r="B27" s="63">
        <f>MAX(IF(AND(B$8&lt;=$N27,B$9&gt;$N27,Q27&lt;B$10),IF(B$11&gt;0,IPMT(B$11/12,Q27+1,B$10,-B$5)*B$24/B$11,(B$5-(Q27*B$12))*B$23/12),0),0)</f>
        <v>0</v>
      </c>
      <c r="C27" s="63">
        <f t="shared" ref="C27:L38" si="8">MAX(IF(AND(C$8&lt;=$N27,C$9&gt;$N27,R27&lt;C$10),IF(C$11&gt;0,IPMT(C$11/12,R27+1,C$10,-C$5)*C$24/C$11,(C$5-(R27*C$12))*C$23/12),0),0)</f>
        <v>0</v>
      </c>
      <c r="D27" s="63">
        <f t="shared" si="8"/>
        <v>0</v>
      </c>
      <c r="E27" s="63">
        <f t="shared" si="8"/>
        <v>0</v>
      </c>
      <c r="F27" s="63">
        <f t="shared" si="8"/>
        <v>0</v>
      </c>
      <c r="G27" s="63">
        <f t="shared" si="8"/>
        <v>0</v>
      </c>
      <c r="H27" s="63">
        <f t="shared" si="8"/>
        <v>0</v>
      </c>
      <c r="I27" s="63">
        <f t="shared" si="8"/>
        <v>0</v>
      </c>
      <c r="J27" s="63">
        <f t="shared" si="8"/>
        <v>0</v>
      </c>
      <c r="K27" s="63">
        <f t="shared" si="8"/>
        <v>0</v>
      </c>
      <c r="L27" s="63">
        <f t="shared" si="8"/>
        <v>0</v>
      </c>
      <c r="M27" s="42"/>
      <c r="N27" s="64">
        <f>P5</f>
        <v>42826</v>
      </c>
      <c r="O27" s="140"/>
      <c r="Q27" s="34">
        <f>ROUND(DAYS360(DATE(YEAR(B$6),MONTH(B$6),1),$N27)/30,0)</f>
        <v>1407</v>
      </c>
      <c r="R27" s="34">
        <f t="shared" ref="R27:AA38" si="9">ROUND(DAYS360(DATE(YEAR(C$6),MONTH(C$6),1),$N27)/30,0)</f>
        <v>1407</v>
      </c>
      <c r="S27" s="34">
        <f t="shared" si="9"/>
        <v>1407</v>
      </c>
      <c r="T27" s="34">
        <f t="shared" si="9"/>
        <v>1407</v>
      </c>
      <c r="U27" s="34">
        <f t="shared" si="9"/>
        <v>1407</v>
      </c>
      <c r="V27" s="34">
        <f t="shared" si="9"/>
        <v>1407</v>
      </c>
      <c r="W27" s="34">
        <f t="shared" si="9"/>
        <v>1407</v>
      </c>
      <c r="X27" s="34">
        <f t="shared" si="9"/>
        <v>1407</v>
      </c>
      <c r="Y27" s="34">
        <f t="shared" si="9"/>
        <v>1407</v>
      </c>
      <c r="Z27" s="34">
        <f t="shared" si="9"/>
        <v>1407</v>
      </c>
      <c r="AA27" s="34">
        <f t="shared" si="9"/>
        <v>1407</v>
      </c>
    </row>
    <row r="28" spans="1:27" hidden="1" x14ac:dyDescent="0.25">
      <c r="A28" s="62" t="s">
        <v>17</v>
      </c>
      <c r="B28" s="63">
        <f t="shared" ref="B28:B38" si="10">MAX(IF(AND(B$8&lt;=$N28,B$9&gt;$N28,Q28&lt;B$10),IF(B$11&gt;0,IPMT(B$11/12,Q28+1,B$10,-B$5)*B$24/B$11,(B$5-(Q28*B$12))*B$23/12),0),0)</f>
        <v>0</v>
      </c>
      <c r="C28" s="63">
        <f t="shared" si="8"/>
        <v>0</v>
      </c>
      <c r="D28" s="63">
        <f t="shared" si="8"/>
        <v>0</v>
      </c>
      <c r="E28" s="63">
        <f t="shared" si="8"/>
        <v>0</v>
      </c>
      <c r="F28" s="63">
        <f t="shared" si="8"/>
        <v>0</v>
      </c>
      <c r="G28" s="63">
        <f t="shared" si="8"/>
        <v>0</v>
      </c>
      <c r="H28" s="63">
        <f t="shared" si="8"/>
        <v>0</v>
      </c>
      <c r="I28" s="63">
        <f t="shared" si="8"/>
        <v>0</v>
      </c>
      <c r="J28" s="63">
        <f t="shared" si="8"/>
        <v>0</v>
      </c>
      <c r="K28" s="63">
        <f t="shared" si="8"/>
        <v>0</v>
      </c>
      <c r="L28" s="63">
        <f t="shared" si="8"/>
        <v>0</v>
      </c>
      <c r="M28" s="42"/>
      <c r="N28" s="64">
        <f t="shared" ref="N28:N38" si="11">DATE(YEAR(N27),MONTH(N27)+1,DAY(N27))</f>
        <v>42856</v>
      </c>
      <c r="Q28" s="34">
        <f t="shared" ref="Q28:Q38" si="12">ROUND(DAYS360(DATE(YEAR(B$6),MONTH(B$6),1),$N28)/30,0)</f>
        <v>1408</v>
      </c>
      <c r="R28" s="34">
        <f t="shared" si="9"/>
        <v>1408</v>
      </c>
      <c r="S28" s="34">
        <f t="shared" si="9"/>
        <v>1408</v>
      </c>
      <c r="T28" s="34">
        <f t="shared" si="9"/>
        <v>1408</v>
      </c>
      <c r="U28" s="34">
        <f t="shared" si="9"/>
        <v>1408</v>
      </c>
      <c r="V28" s="34">
        <f t="shared" si="9"/>
        <v>1408</v>
      </c>
      <c r="W28" s="34">
        <f t="shared" si="9"/>
        <v>1408</v>
      </c>
      <c r="X28" s="34">
        <f t="shared" si="9"/>
        <v>1408</v>
      </c>
      <c r="Y28" s="34">
        <f t="shared" si="9"/>
        <v>1408</v>
      </c>
      <c r="Z28" s="34">
        <f t="shared" si="9"/>
        <v>1408</v>
      </c>
      <c r="AA28" s="34">
        <f t="shared" si="9"/>
        <v>1408</v>
      </c>
    </row>
    <row r="29" spans="1:27" hidden="1" x14ac:dyDescent="0.25">
      <c r="A29" s="62" t="s">
        <v>167</v>
      </c>
      <c r="B29" s="63">
        <f t="shared" si="10"/>
        <v>0</v>
      </c>
      <c r="C29" s="63">
        <f t="shared" si="8"/>
        <v>0</v>
      </c>
      <c r="D29" s="63">
        <f t="shared" si="8"/>
        <v>0</v>
      </c>
      <c r="E29" s="63">
        <f t="shared" si="8"/>
        <v>0</v>
      </c>
      <c r="F29" s="63">
        <f t="shared" si="8"/>
        <v>0</v>
      </c>
      <c r="G29" s="63">
        <f t="shared" si="8"/>
        <v>0</v>
      </c>
      <c r="H29" s="63">
        <f t="shared" si="8"/>
        <v>0</v>
      </c>
      <c r="I29" s="63">
        <f t="shared" si="8"/>
        <v>0</v>
      </c>
      <c r="J29" s="63">
        <f t="shared" si="8"/>
        <v>0</v>
      </c>
      <c r="K29" s="63">
        <f t="shared" si="8"/>
        <v>0</v>
      </c>
      <c r="L29" s="63">
        <f t="shared" si="8"/>
        <v>0</v>
      </c>
      <c r="M29" s="42"/>
      <c r="N29" s="64">
        <f t="shared" si="11"/>
        <v>42887</v>
      </c>
      <c r="Q29" s="34">
        <f t="shared" si="12"/>
        <v>1409</v>
      </c>
      <c r="R29" s="34">
        <f t="shared" si="9"/>
        <v>1409</v>
      </c>
      <c r="S29" s="34">
        <f t="shared" si="9"/>
        <v>1409</v>
      </c>
      <c r="T29" s="34">
        <f t="shared" si="9"/>
        <v>1409</v>
      </c>
      <c r="U29" s="34">
        <f t="shared" si="9"/>
        <v>1409</v>
      </c>
      <c r="V29" s="34">
        <f t="shared" si="9"/>
        <v>1409</v>
      </c>
      <c r="W29" s="34">
        <f t="shared" si="9"/>
        <v>1409</v>
      </c>
      <c r="X29" s="34">
        <f t="shared" si="9"/>
        <v>1409</v>
      </c>
      <c r="Y29" s="34">
        <f t="shared" si="9"/>
        <v>1409</v>
      </c>
      <c r="Z29" s="34">
        <f t="shared" si="9"/>
        <v>1409</v>
      </c>
      <c r="AA29" s="34">
        <f t="shared" si="9"/>
        <v>1409</v>
      </c>
    </row>
    <row r="30" spans="1:27" hidden="1" x14ac:dyDescent="0.25">
      <c r="A30" s="62" t="s">
        <v>168</v>
      </c>
      <c r="B30" s="63">
        <f t="shared" si="10"/>
        <v>0</v>
      </c>
      <c r="C30" s="63">
        <f t="shared" si="8"/>
        <v>0</v>
      </c>
      <c r="D30" s="63">
        <f t="shared" si="8"/>
        <v>0</v>
      </c>
      <c r="E30" s="63">
        <f t="shared" si="8"/>
        <v>0</v>
      </c>
      <c r="F30" s="63">
        <f t="shared" si="8"/>
        <v>0</v>
      </c>
      <c r="G30" s="63">
        <f t="shared" si="8"/>
        <v>0</v>
      </c>
      <c r="H30" s="63">
        <f t="shared" si="8"/>
        <v>0</v>
      </c>
      <c r="I30" s="63">
        <f t="shared" si="8"/>
        <v>0</v>
      </c>
      <c r="J30" s="63">
        <f t="shared" si="8"/>
        <v>0</v>
      </c>
      <c r="K30" s="63">
        <f t="shared" si="8"/>
        <v>0</v>
      </c>
      <c r="L30" s="63">
        <f t="shared" si="8"/>
        <v>0</v>
      </c>
      <c r="M30" s="42"/>
      <c r="N30" s="64">
        <f t="shared" si="11"/>
        <v>42917</v>
      </c>
      <c r="Q30" s="34">
        <f t="shared" si="12"/>
        <v>1410</v>
      </c>
      <c r="R30" s="34">
        <f t="shared" si="9"/>
        <v>1410</v>
      </c>
      <c r="S30" s="34">
        <f t="shared" si="9"/>
        <v>1410</v>
      </c>
      <c r="T30" s="34">
        <f t="shared" si="9"/>
        <v>1410</v>
      </c>
      <c r="U30" s="34">
        <f t="shared" si="9"/>
        <v>1410</v>
      </c>
      <c r="V30" s="34">
        <f t="shared" si="9"/>
        <v>1410</v>
      </c>
      <c r="W30" s="34">
        <f t="shared" si="9"/>
        <v>1410</v>
      </c>
      <c r="X30" s="34">
        <f t="shared" si="9"/>
        <v>1410</v>
      </c>
      <c r="Y30" s="34">
        <f t="shared" si="9"/>
        <v>1410</v>
      </c>
      <c r="Z30" s="34">
        <f t="shared" si="9"/>
        <v>1410</v>
      </c>
      <c r="AA30" s="34">
        <f t="shared" si="9"/>
        <v>1410</v>
      </c>
    </row>
    <row r="31" spans="1:27" hidden="1" x14ac:dyDescent="0.25">
      <c r="A31" s="62" t="s">
        <v>169</v>
      </c>
      <c r="B31" s="63">
        <f t="shared" si="10"/>
        <v>0</v>
      </c>
      <c r="C31" s="63">
        <f t="shared" si="8"/>
        <v>0</v>
      </c>
      <c r="D31" s="63">
        <f t="shared" si="8"/>
        <v>0</v>
      </c>
      <c r="E31" s="63">
        <f t="shared" si="8"/>
        <v>0</v>
      </c>
      <c r="F31" s="63">
        <f t="shared" si="8"/>
        <v>0</v>
      </c>
      <c r="G31" s="63">
        <f t="shared" si="8"/>
        <v>0</v>
      </c>
      <c r="H31" s="63">
        <f t="shared" si="8"/>
        <v>0</v>
      </c>
      <c r="I31" s="63">
        <f t="shared" si="8"/>
        <v>0</v>
      </c>
      <c r="J31" s="63">
        <f t="shared" si="8"/>
        <v>0</v>
      </c>
      <c r="K31" s="63">
        <f t="shared" si="8"/>
        <v>0</v>
      </c>
      <c r="L31" s="63">
        <f t="shared" si="8"/>
        <v>0</v>
      </c>
      <c r="M31" s="42"/>
      <c r="N31" s="64">
        <f t="shared" si="11"/>
        <v>42948</v>
      </c>
      <c r="Q31" s="34">
        <f t="shared" si="12"/>
        <v>1411</v>
      </c>
      <c r="R31" s="34">
        <f t="shared" si="9"/>
        <v>1411</v>
      </c>
      <c r="S31" s="34">
        <f t="shared" si="9"/>
        <v>1411</v>
      </c>
      <c r="T31" s="34">
        <f t="shared" si="9"/>
        <v>1411</v>
      </c>
      <c r="U31" s="34">
        <f t="shared" si="9"/>
        <v>1411</v>
      </c>
      <c r="V31" s="34">
        <f t="shared" si="9"/>
        <v>1411</v>
      </c>
      <c r="W31" s="34">
        <f t="shared" si="9"/>
        <v>1411</v>
      </c>
      <c r="X31" s="34">
        <f t="shared" si="9"/>
        <v>1411</v>
      </c>
      <c r="Y31" s="34">
        <f t="shared" si="9"/>
        <v>1411</v>
      </c>
      <c r="Z31" s="34">
        <f t="shared" si="9"/>
        <v>1411</v>
      </c>
      <c r="AA31" s="34">
        <f t="shared" si="9"/>
        <v>1411</v>
      </c>
    </row>
    <row r="32" spans="1:27" hidden="1" x14ac:dyDescent="0.25">
      <c r="A32" s="62" t="s">
        <v>170</v>
      </c>
      <c r="B32" s="63">
        <f t="shared" si="10"/>
        <v>0</v>
      </c>
      <c r="C32" s="63">
        <f t="shared" si="8"/>
        <v>0</v>
      </c>
      <c r="D32" s="63">
        <f t="shared" si="8"/>
        <v>0</v>
      </c>
      <c r="E32" s="63">
        <f t="shared" si="8"/>
        <v>0</v>
      </c>
      <c r="F32" s="63">
        <f t="shared" si="8"/>
        <v>0</v>
      </c>
      <c r="G32" s="63">
        <f t="shared" si="8"/>
        <v>0</v>
      </c>
      <c r="H32" s="63">
        <f t="shared" si="8"/>
        <v>0</v>
      </c>
      <c r="I32" s="63">
        <f t="shared" si="8"/>
        <v>0</v>
      </c>
      <c r="J32" s="63">
        <f t="shared" si="8"/>
        <v>0</v>
      </c>
      <c r="K32" s="63">
        <f t="shared" si="8"/>
        <v>0</v>
      </c>
      <c r="L32" s="63">
        <f t="shared" si="8"/>
        <v>0</v>
      </c>
      <c r="M32" s="42"/>
      <c r="N32" s="64">
        <f t="shared" si="11"/>
        <v>42979</v>
      </c>
      <c r="Q32" s="34">
        <f t="shared" si="12"/>
        <v>1412</v>
      </c>
      <c r="R32" s="34">
        <f t="shared" si="9"/>
        <v>1412</v>
      </c>
      <c r="S32" s="34">
        <f t="shared" si="9"/>
        <v>1412</v>
      </c>
      <c r="T32" s="34">
        <f t="shared" si="9"/>
        <v>1412</v>
      </c>
      <c r="U32" s="34">
        <f t="shared" si="9"/>
        <v>1412</v>
      </c>
      <c r="V32" s="34">
        <f t="shared" si="9"/>
        <v>1412</v>
      </c>
      <c r="W32" s="34">
        <f t="shared" si="9"/>
        <v>1412</v>
      </c>
      <c r="X32" s="34">
        <f t="shared" si="9"/>
        <v>1412</v>
      </c>
      <c r="Y32" s="34">
        <f t="shared" si="9"/>
        <v>1412</v>
      </c>
      <c r="Z32" s="34">
        <f t="shared" si="9"/>
        <v>1412</v>
      </c>
      <c r="AA32" s="34">
        <f t="shared" si="9"/>
        <v>1412</v>
      </c>
    </row>
    <row r="33" spans="1:27" hidden="1" x14ac:dyDescent="0.25">
      <c r="A33" s="62" t="s">
        <v>171</v>
      </c>
      <c r="B33" s="63">
        <f t="shared" si="10"/>
        <v>0</v>
      </c>
      <c r="C33" s="63">
        <f t="shared" si="8"/>
        <v>0</v>
      </c>
      <c r="D33" s="63">
        <f t="shared" si="8"/>
        <v>0</v>
      </c>
      <c r="E33" s="63">
        <f t="shared" si="8"/>
        <v>0</v>
      </c>
      <c r="F33" s="63">
        <f t="shared" si="8"/>
        <v>0</v>
      </c>
      <c r="G33" s="63">
        <f t="shared" si="8"/>
        <v>0</v>
      </c>
      <c r="H33" s="63">
        <f t="shared" si="8"/>
        <v>0</v>
      </c>
      <c r="I33" s="63">
        <f t="shared" si="8"/>
        <v>0</v>
      </c>
      <c r="J33" s="63">
        <f t="shared" si="8"/>
        <v>0</v>
      </c>
      <c r="K33" s="63">
        <f t="shared" si="8"/>
        <v>0</v>
      </c>
      <c r="L33" s="63">
        <f t="shared" si="8"/>
        <v>0</v>
      </c>
      <c r="M33" s="42"/>
      <c r="N33" s="64">
        <f t="shared" si="11"/>
        <v>43009</v>
      </c>
      <c r="Q33" s="34">
        <f t="shared" si="12"/>
        <v>1413</v>
      </c>
      <c r="R33" s="34">
        <f t="shared" si="9"/>
        <v>1413</v>
      </c>
      <c r="S33" s="34">
        <f t="shared" si="9"/>
        <v>1413</v>
      </c>
      <c r="T33" s="34">
        <f t="shared" si="9"/>
        <v>1413</v>
      </c>
      <c r="U33" s="34">
        <f t="shared" si="9"/>
        <v>1413</v>
      </c>
      <c r="V33" s="34">
        <f t="shared" si="9"/>
        <v>1413</v>
      </c>
      <c r="W33" s="34">
        <f t="shared" si="9"/>
        <v>1413</v>
      </c>
      <c r="X33" s="34">
        <f t="shared" si="9"/>
        <v>1413</v>
      </c>
      <c r="Y33" s="34">
        <f t="shared" si="9"/>
        <v>1413</v>
      </c>
      <c r="Z33" s="34">
        <f t="shared" si="9"/>
        <v>1413</v>
      </c>
      <c r="AA33" s="34">
        <f t="shared" si="9"/>
        <v>1413</v>
      </c>
    </row>
    <row r="34" spans="1:27" hidden="1" x14ac:dyDescent="0.25">
      <c r="A34" s="62" t="s">
        <v>172</v>
      </c>
      <c r="B34" s="63">
        <f t="shared" si="10"/>
        <v>0</v>
      </c>
      <c r="C34" s="63">
        <f t="shared" si="8"/>
        <v>0</v>
      </c>
      <c r="D34" s="63">
        <f t="shared" si="8"/>
        <v>0</v>
      </c>
      <c r="E34" s="63">
        <f t="shared" si="8"/>
        <v>0</v>
      </c>
      <c r="F34" s="63">
        <f t="shared" si="8"/>
        <v>0</v>
      </c>
      <c r="G34" s="63">
        <f t="shared" si="8"/>
        <v>0</v>
      </c>
      <c r="H34" s="63">
        <f t="shared" si="8"/>
        <v>0</v>
      </c>
      <c r="I34" s="63">
        <f t="shared" si="8"/>
        <v>0</v>
      </c>
      <c r="J34" s="63">
        <f t="shared" si="8"/>
        <v>0</v>
      </c>
      <c r="K34" s="63">
        <f t="shared" si="8"/>
        <v>0</v>
      </c>
      <c r="L34" s="63">
        <f t="shared" si="8"/>
        <v>0</v>
      </c>
      <c r="M34" s="42"/>
      <c r="N34" s="64">
        <f t="shared" si="11"/>
        <v>43040</v>
      </c>
      <c r="Q34" s="34">
        <f t="shared" si="12"/>
        <v>1414</v>
      </c>
      <c r="R34" s="34">
        <f t="shared" si="9"/>
        <v>1414</v>
      </c>
      <c r="S34" s="34">
        <f t="shared" si="9"/>
        <v>1414</v>
      </c>
      <c r="T34" s="34">
        <f t="shared" si="9"/>
        <v>1414</v>
      </c>
      <c r="U34" s="34">
        <f t="shared" si="9"/>
        <v>1414</v>
      </c>
      <c r="V34" s="34">
        <f t="shared" si="9"/>
        <v>1414</v>
      </c>
      <c r="W34" s="34">
        <f t="shared" si="9"/>
        <v>1414</v>
      </c>
      <c r="X34" s="34">
        <f t="shared" si="9"/>
        <v>1414</v>
      </c>
      <c r="Y34" s="34">
        <f t="shared" si="9"/>
        <v>1414</v>
      </c>
      <c r="Z34" s="34">
        <f t="shared" si="9"/>
        <v>1414</v>
      </c>
      <c r="AA34" s="34">
        <f t="shared" si="9"/>
        <v>1414</v>
      </c>
    </row>
    <row r="35" spans="1:27" hidden="1" x14ac:dyDescent="0.25">
      <c r="A35" s="62" t="s">
        <v>173</v>
      </c>
      <c r="B35" s="63">
        <f t="shared" si="10"/>
        <v>0</v>
      </c>
      <c r="C35" s="63">
        <f t="shared" si="8"/>
        <v>0</v>
      </c>
      <c r="D35" s="63">
        <f t="shared" si="8"/>
        <v>0</v>
      </c>
      <c r="E35" s="63">
        <f t="shared" si="8"/>
        <v>0</v>
      </c>
      <c r="F35" s="63">
        <f t="shared" si="8"/>
        <v>0</v>
      </c>
      <c r="G35" s="63">
        <f t="shared" si="8"/>
        <v>0</v>
      </c>
      <c r="H35" s="63">
        <f t="shared" si="8"/>
        <v>0</v>
      </c>
      <c r="I35" s="63">
        <f t="shared" si="8"/>
        <v>0</v>
      </c>
      <c r="J35" s="63">
        <f t="shared" si="8"/>
        <v>0</v>
      </c>
      <c r="K35" s="63">
        <f t="shared" si="8"/>
        <v>0</v>
      </c>
      <c r="L35" s="63">
        <f t="shared" si="8"/>
        <v>0</v>
      </c>
      <c r="M35" s="42"/>
      <c r="N35" s="64">
        <f t="shared" si="11"/>
        <v>43070</v>
      </c>
      <c r="Q35" s="34">
        <f t="shared" si="12"/>
        <v>1415</v>
      </c>
      <c r="R35" s="34">
        <f t="shared" si="9"/>
        <v>1415</v>
      </c>
      <c r="S35" s="34">
        <f t="shared" si="9"/>
        <v>1415</v>
      </c>
      <c r="T35" s="34">
        <f t="shared" si="9"/>
        <v>1415</v>
      </c>
      <c r="U35" s="34">
        <f t="shared" si="9"/>
        <v>1415</v>
      </c>
      <c r="V35" s="34">
        <f t="shared" si="9"/>
        <v>1415</v>
      </c>
      <c r="W35" s="34">
        <f t="shared" si="9"/>
        <v>1415</v>
      </c>
      <c r="X35" s="34">
        <f t="shared" si="9"/>
        <v>1415</v>
      </c>
      <c r="Y35" s="34">
        <f t="shared" si="9"/>
        <v>1415</v>
      </c>
      <c r="Z35" s="34">
        <f t="shared" si="9"/>
        <v>1415</v>
      </c>
      <c r="AA35" s="34">
        <f t="shared" si="9"/>
        <v>1415</v>
      </c>
    </row>
    <row r="36" spans="1:27" hidden="1" x14ac:dyDescent="0.25">
      <c r="A36" s="62" t="s">
        <v>174</v>
      </c>
      <c r="B36" s="63">
        <f t="shared" si="10"/>
        <v>0</v>
      </c>
      <c r="C36" s="63">
        <f t="shared" si="8"/>
        <v>0</v>
      </c>
      <c r="D36" s="63">
        <f t="shared" si="8"/>
        <v>0</v>
      </c>
      <c r="E36" s="63">
        <f t="shared" si="8"/>
        <v>0</v>
      </c>
      <c r="F36" s="63">
        <f t="shared" si="8"/>
        <v>0</v>
      </c>
      <c r="G36" s="63">
        <f t="shared" si="8"/>
        <v>0</v>
      </c>
      <c r="H36" s="63">
        <f t="shared" si="8"/>
        <v>0</v>
      </c>
      <c r="I36" s="63">
        <f t="shared" si="8"/>
        <v>0</v>
      </c>
      <c r="J36" s="63">
        <f t="shared" si="8"/>
        <v>0</v>
      </c>
      <c r="K36" s="63">
        <f t="shared" si="8"/>
        <v>0</v>
      </c>
      <c r="L36" s="63">
        <f t="shared" si="8"/>
        <v>0</v>
      </c>
      <c r="M36" s="42"/>
      <c r="N36" s="64">
        <f t="shared" si="11"/>
        <v>43101</v>
      </c>
      <c r="Q36" s="34">
        <f t="shared" si="12"/>
        <v>1416</v>
      </c>
      <c r="R36" s="34">
        <f t="shared" si="9"/>
        <v>1416</v>
      </c>
      <c r="S36" s="34">
        <f t="shared" si="9"/>
        <v>1416</v>
      </c>
      <c r="T36" s="34">
        <f t="shared" si="9"/>
        <v>1416</v>
      </c>
      <c r="U36" s="34">
        <f t="shared" si="9"/>
        <v>1416</v>
      </c>
      <c r="V36" s="34">
        <f t="shared" si="9"/>
        <v>1416</v>
      </c>
      <c r="W36" s="34">
        <f t="shared" si="9"/>
        <v>1416</v>
      </c>
      <c r="X36" s="34">
        <f t="shared" si="9"/>
        <v>1416</v>
      </c>
      <c r="Y36" s="34">
        <f t="shared" si="9"/>
        <v>1416</v>
      </c>
      <c r="Z36" s="34">
        <f t="shared" si="9"/>
        <v>1416</v>
      </c>
      <c r="AA36" s="34">
        <f t="shared" si="9"/>
        <v>1416</v>
      </c>
    </row>
    <row r="37" spans="1:27" hidden="1" x14ac:dyDescent="0.25">
      <c r="A37" s="62" t="s">
        <v>175</v>
      </c>
      <c r="B37" s="63">
        <f t="shared" si="10"/>
        <v>0</v>
      </c>
      <c r="C37" s="63">
        <f t="shared" si="8"/>
        <v>0</v>
      </c>
      <c r="D37" s="63">
        <f t="shared" si="8"/>
        <v>0</v>
      </c>
      <c r="E37" s="63">
        <f t="shared" si="8"/>
        <v>0</v>
      </c>
      <c r="F37" s="63">
        <f t="shared" si="8"/>
        <v>0</v>
      </c>
      <c r="G37" s="63">
        <f t="shared" si="8"/>
        <v>0</v>
      </c>
      <c r="H37" s="63">
        <f t="shared" si="8"/>
        <v>0</v>
      </c>
      <c r="I37" s="63">
        <f t="shared" si="8"/>
        <v>0</v>
      </c>
      <c r="J37" s="63">
        <f t="shared" si="8"/>
        <v>0</v>
      </c>
      <c r="K37" s="63">
        <f t="shared" si="8"/>
        <v>0</v>
      </c>
      <c r="L37" s="63">
        <f t="shared" si="8"/>
        <v>0</v>
      </c>
      <c r="M37" s="42"/>
      <c r="N37" s="64">
        <f t="shared" si="11"/>
        <v>43132</v>
      </c>
      <c r="Q37" s="34">
        <f t="shared" si="12"/>
        <v>1417</v>
      </c>
      <c r="R37" s="34">
        <f t="shared" si="9"/>
        <v>1417</v>
      </c>
      <c r="S37" s="34">
        <f t="shared" si="9"/>
        <v>1417</v>
      </c>
      <c r="T37" s="34">
        <f t="shared" si="9"/>
        <v>1417</v>
      </c>
      <c r="U37" s="34">
        <f t="shared" si="9"/>
        <v>1417</v>
      </c>
      <c r="V37" s="34">
        <f t="shared" si="9"/>
        <v>1417</v>
      </c>
      <c r="W37" s="34">
        <f t="shared" si="9"/>
        <v>1417</v>
      </c>
      <c r="X37" s="34">
        <f t="shared" si="9"/>
        <v>1417</v>
      </c>
      <c r="Y37" s="34">
        <f t="shared" si="9"/>
        <v>1417</v>
      </c>
      <c r="Z37" s="34">
        <f t="shared" si="9"/>
        <v>1417</v>
      </c>
      <c r="AA37" s="34">
        <f t="shared" si="9"/>
        <v>1417</v>
      </c>
    </row>
    <row r="38" spans="1:27" hidden="1" x14ac:dyDescent="0.25">
      <c r="A38" s="62" t="s">
        <v>176</v>
      </c>
      <c r="B38" s="63">
        <f t="shared" si="10"/>
        <v>0</v>
      </c>
      <c r="C38" s="63">
        <f t="shared" si="8"/>
        <v>0</v>
      </c>
      <c r="D38" s="63">
        <f t="shared" si="8"/>
        <v>0</v>
      </c>
      <c r="E38" s="63">
        <f t="shared" si="8"/>
        <v>0</v>
      </c>
      <c r="F38" s="63">
        <f t="shared" si="8"/>
        <v>0</v>
      </c>
      <c r="G38" s="63">
        <f t="shared" si="8"/>
        <v>0</v>
      </c>
      <c r="H38" s="63">
        <f t="shared" si="8"/>
        <v>0</v>
      </c>
      <c r="I38" s="63">
        <f t="shared" si="8"/>
        <v>0</v>
      </c>
      <c r="J38" s="63">
        <f t="shared" si="8"/>
        <v>0</v>
      </c>
      <c r="K38" s="63">
        <f t="shared" si="8"/>
        <v>0</v>
      </c>
      <c r="L38" s="63">
        <f t="shared" si="8"/>
        <v>0</v>
      </c>
      <c r="M38" s="42"/>
      <c r="N38" s="64">
        <f t="shared" si="11"/>
        <v>43160</v>
      </c>
      <c r="Q38" s="34">
        <f t="shared" si="12"/>
        <v>1418</v>
      </c>
      <c r="R38" s="34">
        <f t="shared" si="9"/>
        <v>1418</v>
      </c>
      <c r="S38" s="34">
        <f t="shared" si="9"/>
        <v>1418</v>
      </c>
      <c r="T38" s="34">
        <f t="shared" si="9"/>
        <v>1418</v>
      </c>
      <c r="U38" s="34">
        <f t="shared" si="9"/>
        <v>1418</v>
      </c>
      <c r="V38" s="34">
        <f t="shared" si="9"/>
        <v>1418</v>
      </c>
      <c r="W38" s="34">
        <f t="shared" si="9"/>
        <v>1418</v>
      </c>
      <c r="X38" s="34">
        <f t="shared" si="9"/>
        <v>1418</v>
      </c>
      <c r="Y38" s="34">
        <f t="shared" si="9"/>
        <v>1418</v>
      </c>
      <c r="Z38" s="34">
        <f t="shared" si="9"/>
        <v>1418</v>
      </c>
      <c r="AA38" s="34">
        <f t="shared" si="9"/>
        <v>1418</v>
      </c>
    </row>
    <row r="39" spans="1:27" hidden="1" x14ac:dyDescent="0.25">
      <c r="A39" s="40" t="s">
        <v>177</v>
      </c>
    </row>
    <row r="40" spans="1:27" hidden="1" x14ac:dyDescent="0.25">
      <c r="A40" s="62" t="s">
        <v>166</v>
      </c>
      <c r="B40" s="63">
        <f>MAX(IF(AND(B$17&lt;=$N27,B$18&gt;$N27,Q40&lt;B$19),IF(B$20&gt;0,IPMT(B$20/12,Q40+1,B$19,-B$14)*B$25/B$20,(B$14-(Q40*B$21))*B$23/12),0),0)</f>
        <v>0</v>
      </c>
      <c r="C40" s="63">
        <f t="shared" ref="C40:L40" si="13">MAX(IF(AND(C$17&lt;=$N27,C$18&gt;$N27,R40&lt;C$19),IF(C$20&gt;0,IPMT(C$20/12,R40+1,C$19,-C$14)*C$25/C$20,(C$14-(R40*C$21))*C$23/12),0),0)</f>
        <v>0</v>
      </c>
      <c r="D40" s="63">
        <f t="shared" si="13"/>
        <v>0</v>
      </c>
      <c r="E40" s="63">
        <f t="shared" si="13"/>
        <v>0</v>
      </c>
      <c r="F40" s="63">
        <f t="shared" si="13"/>
        <v>0</v>
      </c>
      <c r="G40" s="63">
        <f t="shared" si="13"/>
        <v>0</v>
      </c>
      <c r="H40" s="63">
        <f t="shared" si="13"/>
        <v>0</v>
      </c>
      <c r="I40" s="63">
        <f t="shared" si="13"/>
        <v>0</v>
      </c>
      <c r="J40" s="63">
        <f t="shared" si="13"/>
        <v>0</v>
      </c>
      <c r="K40" s="63">
        <f t="shared" si="13"/>
        <v>0</v>
      </c>
      <c r="L40" s="63">
        <f t="shared" si="13"/>
        <v>0</v>
      </c>
      <c r="Q40" s="34">
        <f>ROUND(DAYS360(DATE(YEAR(B$15),MONTH(B$15),1),$N27)/30,0)</f>
        <v>1407</v>
      </c>
      <c r="R40" s="34">
        <f t="shared" ref="R40:AA51" si="14">ROUND(DAYS360(DATE(YEAR(C$15),MONTH(C$15),1),$N27)/30,0)</f>
        <v>1407</v>
      </c>
      <c r="S40" s="34">
        <f t="shared" si="14"/>
        <v>1407</v>
      </c>
      <c r="T40" s="34">
        <f t="shared" si="14"/>
        <v>1407</v>
      </c>
      <c r="U40" s="34">
        <f t="shared" si="14"/>
        <v>1407</v>
      </c>
      <c r="V40" s="34">
        <f t="shared" si="14"/>
        <v>1407</v>
      </c>
      <c r="W40" s="34">
        <f t="shared" si="14"/>
        <v>1407</v>
      </c>
      <c r="X40" s="34">
        <f t="shared" si="14"/>
        <v>1407</v>
      </c>
      <c r="Y40" s="34">
        <f t="shared" si="14"/>
        <v>1407</v>
      </c>
      <c r="Z40" s="34">
        <f t="shared" si="14"/>
        <v>1407</v>
      </c>
      <c r="AA40" s="34">
        <f t="shared" si="14"/>
        <v>1407</v>
      </c>
    </row>
    <row r="41" spans="1:27" hidden="1" x14ac:dyDescent="0.25">
      <c r="A41" s="62" t="s">
        <v>17</v>
      </c>
      <c r="B41" s="63">
        <f t="shared" ref="B41:B51" si="15">MAX(IF(AND(B$17&lt;=$N28,B$18&gt;$N28,Q41&lt;B$19),IF(B$20&gt;0,IPMT(B$20/12,Q41+1,B$19,-B$14)*B$25/B$20,(B$14-(Q41*B$21))*B$23/12),0),0)</f>
        <v>0</v>
      </c>
      <c r="C41" s="63">
        <f t="shared" ref="C41:C51" si="16">MAX(IF(AND(C$17&lt;=$N28,C$18&gt;$N28,R41&lt;C$19),IF(C$20&gt;0,IPMT(C$20/12,R41+1,C$19,-C$14)*C$25/C$20,(C$14-(R41*C$21))*C$23/12),0),0)</f>
        <v>0</v>
      </c>
      <c r="D41" s="63">
        <f t="shared" ref="D41:D51" si="17">MAX(IF(AND(D$17&lt;=$N28,D$18&gt;$N28,S41&lt;D$19),IF(D$20&gt;0,IPMT(D$20/12,S41+1,D$19,-D$14)*D$25/D$20,(D$14-(S41*D$21))*D$23/12),0),0)</f>
        <v>0</v>
      </c>
      <c r="E41" s="63">
        <f t="shared" ref="E41:E51" si="18">MAX(IF(AND(E$17&lt;=$N28,E$18&gt;$N28,T41&lt;E$19),IF(E$20&gt;0,IPMT(E$20/12,T41+1,E$19,-E$14)*E$25/E$20,(E$14-(T41*E$21))*E$23/12),0),0)</f>
        <v>0</v>
      </c>
      <c r="F41" s="63">
        <f t="shared" ref="F41:F51" si="19">MAX(IF(AND(F$17&lt;=$N28,F$18&gt;$N28,U41&lt;F$19),IF(F$20&gt;0,IPMT(F$20/12,U41+1,F$19,-F$14)*F$25/F$20,(F$14-(U41*F$21))*F$23/12),0),0)</f>
        <v>0</v>
      </c>
      <c r="G41" s="63">
        <f t="shared" ref="G41:G51" si="20">MAX(IF(AND(G$17&lt;=$N28,G$18&gt;$N28,V41&lt;G$19),IF(G$20&gt;0,IPMT(G$20/12,V41+1,G$19,-G$14)*G$25/G$20,(G$14-(V41*G$21))*G$23/12),0),0)</f>
        <v>0</v>
      </c>
      <c r="H41" s="63">
        <f t="shared" ref="H41:H51" si="21">MAX(IF(AND(H$17&lt;=$N28,H$18&gt;$N28,W41&lt;H$19),IF(H$20&gt;0,IPMT(H$20/12,W41+1,H$19,-H$14)*H$25/H$20,(H$14-(W41*H$21))*H$23/12),0),0)</f>
        <v>0</v>
      </c>
      <c r="I41" s="63">
        <f t="shared" ref="I41:I51" si="22">MAX(IF(AND(I$17&lt;=$N28,I$18&gt;$N28,X41&lt;I$19),IF(I$20&gt;0,IPMT(I$20/12,X41+1,I$19,-I$14)*I$25/I$20,(I$14-(X41*I$21))*I$23/12),0),0)</f>
        <v>0</v>
      </c>
      <c r="J41" s="63">
        <f t="shared" ref="J41:J51" si="23">MAX(IF(AND(J$17&lt;=$N28,J$18&gt;$N28,Y41&lt;J$19),IF(J$20&gt;0,IPMT(J$20/12,Y41+1,J$19,-J$14)*J$25/J$20,(J$14-(Y41*J$21))*J$23/12),0),0)</f>
        <v>0</v>
      </c>
      <c r="K41" s="63">
        <f t="shared" ref="K41:K51" si="24">MAX(IF(AND(K$17&lt;=$N28,K$18&gt;$N28,Z41&lt;K$19),IF(K$20&gt;0,IPMT(K$20/12,Z41+1,K$19,-K$14)*K$25/K$20,(K$14-(Z41*K$21))*K$23/12),0),0)</f>
        <v>0</v>
      </c>
      <c r="L41" s="63">
        <f t="shared" ref="L41:L51" si="25">MAX(IF(AND(L$17&lt;=$N28,L$18&gt;$N28,AA41&lt;L$19),IF(L$20&gt;0,IPMT(L$20/12,AA41+1,L$19,-L$14)*L$25/L$20,(L$14-(AA41*L$21))*L$23/12),0),0)</f>
        <v>0</v>
      </c>
      <c r="Q41" s="34">
        <f t="shared" ref="Q41:Q51" si="26">ROUND(DAYS360(DATE(YEAR(B$15),MONTH(B$15),1),$N28)/30,0)</f>
        <v>1408</v>
      </c>
      <c r="R41" s="34">
        <f t="shared" si="14"/>
        <v>1408</v>
      </c>
      <c r="S41" s="34">
        <f t="shared" si="14"/>
        <v>1408</v>
      </c>
      <c r="T41" s="34">
        <f t="shared" si="14"/>
        <v>1408</v>
      </c>
      <c r="U41" s="34">
        <f t="shared" si="14"/>
        <v>1408</v>
      </c>
      <c r="V41" s="34">
        <f t="shared" si="14"/>
        <v>1408</v>
      </c>
      <c r="W41" s="34">
        <f t="shared" si="14"/>
        <v>1408</v>
      </c>
      <c r="X41" s="34">
        <f t="shared" si="14"/>
        <v>1408</v>
      </c>
      <c r="Y41" s="34">
        <f t="shared" si="14"/>
        <v>1408</v>
      </c>
      <c r="Z41" s="34">
        <f t="shared" si="14"/>
        <v>1408</v>
      </c>
      <c r="AA41" s="34">
        <f t="shared" si="14"/>
        <v>1408</v>
      </c>
    </row>
    <row r="42" spans="1:27" s="67" customFormat="1" hidden="1" x14ac:dyDescent="0.25">
      <c r="A42" s="62" t="s">
        <v>167</v>
      </c>
      <c r="B42" s="63">
        <f t="shared" si="15"/>
        <v>0</v>
      </c>
      <c r="C42" s="63">
        <f t="shared" si="16"/>
        <v>0</v>
      </c>
      <c r="D42" s="63">
        <f t="shared" si="17"/>
        <v>0</v>
      </c>
      <c r="E42" s="63">
        <f t="shared" si="18"/>
        <v>0</v>
      </c>
      <c r="F42" s="63">
        <f t="shared" si="19"/>
        <v>0</v>
      </c>
      <c r="G42" s="63">
        <f t="shared" si="20"/>
        <v>0</v>
      </c>
      <c r="H42" s="63">
        <f t="shared" si="21"/>
        <v>0</v>
      </c>
      <c r="I42" s="63">
        <f t="shared" si="22"/>
        <v>0</v>
      </c>
      <c r="J42" s="63">
        <f t="shared" si="23"/>
        <v>0</v>
      </c>
      <c r="K42" s="63">
        <f t="shared" si="24"/>
        <v>0</v>
      </c>
      <c r="L42" s="63">
        <f t="shared" si="25"/>
        <v>0</v>
      </c>
      <c r="M42" s="66"/>
      <c r="Q42" s="34">
        <f t="shared" si="26"/>
        <v>1409</v>
      </c>
      <c r="R42" s="34">
        <f t="shared" si="14"/>
        <v>1409</v>
      </c>
      <c r="S42" s="34">
        <f t="shared" si="14"/>
        <v>1409</v>
      </c>
      <c r="T42" s="34">
        <f t="shared" si="14"/>
        <v>1409</v>
      </c>
      <c r="U42" s="34">
        <f t="shared" si="14"/>
        <v>1409</v>
      </c>
      <c r="V42" s="34">
        <f t="shared" si="14"/>
        <v>1409</v>
      </c>
      <c r="W42" s="34">
        <f t="shared" si="14"/>
        <v>1409</v>
      </c>
      <c r="X42" s="34">
        <f t="shared" si="14"/>
        <v>1409</v>
      </c>
      <c r="Y42" s="34">
        <f t="shared" si="14"/>
        <v>1409</v>
      </c>
      <c r="Z42" s="34">
        <f t="shared" si="14"/>
        <v>1409</v>
      </c>
      <c r="AA42" s="34">
        <f t="shared" si="14"/>
        <v>1409</v>
      </c>
    </row>
    <row r="43" spans="1:27" s="67" customFormat="1" hidden="1" x14ac:dyDescent="0.25">
      <c r="A43" s="62" t="s">
        <v>168</v>
      </c>
      <c r="B43" s="63">
        <f t="shared" si="15"/>
        <v>0</v>
      </c>
      <c r="C43" s="63">
        <f t="shared" si="16"/>
        <v>0</v>
      </c>
      <c r="D43" s="63">
        <f t="shared" si="17"/>
        <v>0</v>
      </c>
      <c r="E43" s="63">
        <f t="shared" si="18"/>
        <v>0</v>
      </c>
      <c r="F43" s="63">
        <f t="shared" si="19"/>
        <v>0</v>
      </c>
      <c r="G43" s="63">
        <f t="shared" si="20"/>
        <v>0</v>
      </c>
      <c r="H43" s="63">
        <f t="shared" si="21"/>
        <v>0</v>
      </c>
      <c r="I43" s="63">
        <f t="shared" si="22"/>
        <v>0</v>
      </c>
      <c r="J43" s="63">
        <f t="shared" si="23"/>
        <v>0</v>
      </c>
      <c r="K43" s="63">
        <f t="shared" si="24"/>
        <v>0</v>
      </c>
      <c r="L43" s="63">
        <f t="shared" si="25"/>
        <v>0</v>
      </c>
      <c r="M43" s="66"/>
      <c r="Q43" s="34">
        <f t="shared" si="26"/>
        <v>1410</v>
      </c>
      <c r="R43" s="34">
        <f t="shared" si="14"/>
        <v>1410</v>
      </c>
      <c r="S43" s="34">
        <f t="shared" si="14"/>
        <v>1410</v>
      </c>
      <c r="T43" s="34">
        <f t="shared" si="14"/>
        <v>1410</v>
      </c>
      <c r="U43" s="34">
        <f t="shared" si="14"/>
        <v>1410</v>
      </c>
      <c r="V43" s="34">
        <f t="shared" si="14"/>
        <v>1410</v>
      </c>
      <c r="W43" s="34">
        <f t="shared" si="14"/>
        <v>1410</v>
      </c>
      <c r="X43" s="34">
        <f t="shared" si="14"/>
        <v>1410</v>
      </c>
      <c r="Y43" s="34">
        <f t="shared" si="14"/>
        <v>1410</v>
      </c>
      <c r="Z43" s="34">
        <f t="shared" si="14"/>
        <v>1410</v>
      </c>
      <c r="AA43" s="34">
        <f t="shared" si="14"/>
        <v>1410</v>
      </c>
    </row>
    <row r="44" spans="1:27" s="67" customFormat="1" hidden="1" x14ac:dyDescent="0.25">
      <c r="A44" s="62" t="s">
        <v>169</v>
      </c>
      <c r="B44" s="63">
        <f t="shared" si="15"/>
        <v>0</v>
      </c>
      <c r="C44" s="63">
        <f t="shared" si="16"/>
        <v>0</v>
      </c>
      <c r="D44" s="63">
        <f t="shared" si="17"/>
        <v>0</v>
      </c>
      <c r="E44" s="63">
        <f t="shared" si="18"/>
        <v>0</v>
      </c>
      <c r="F44" s="63">
        <f t="shared" si="19"/>
        <v>0</v>
      </c>
      <c r="G44" s="63">
        <f t="shared" si="20"/>
        <v>0</v>
      </c>
      <c r="H44" s="63">
        <f t="shared" si="21"/>
        <v>0</v>
      </c>
      <c r="I44" s="63">
        <f t="shared" si="22"/>
        <v>0</v>
      </c>
      <c r="J44" s="63">
        <f t="shared" si="23"/>
        <v>0</v>
      </c>
      <c r="K44" s="63">
        <f t="shared" si="24"/>
        <v>0</v>
      </c>
      <c r="L44" s="63">
        <f t="shared" si="25"/>
        <v>0</v>
      </c>
      <c r="M44" s="66"/>
      <c r="Q44" s="34">
        <f t="shared" si="26"/>
        <v>1411</v>
      </c>
      <c r="R44" s="34">
        <f t="shared" si="14"/>
        <v>1411</v>
      </c>
      <c r="S44" s="34">
        <f t="shared" si="14"/>
        <v>1411</v>
      </c>
      <c r="T44" s="34">
        <f t="shared" si="14"/>
        <v>1411</v>
      </c>
      <c r="U44" s="34">
        <f t="shared" si="14"/>
        <v>1411</v>
      </c>
      <c r="V44" s="34">
        <f t="shared" si="14"/>
        <v>1411</v>
      </c>
      <c r="W44" s="34">
        <f t="shared" si="14"/>
        <v>1411</v>
      </c>
      <c r="X44" s="34">
        <f t="shared" si="14"/>
        <v>1411</v>
      </c>
      <c r="Y44" s="34">
        <f t="shared" si="14"/>
        <v>1411</v>
      </c>
      <c r="Z44" s="34">
        <f t="shared" si="14"/>
        <v>1411</v>
      </c>
      <c r="AA44" s="34">
        <f t="shared" si="14"/>
        <v>1411</v>
      </c>
    </row>
    <row r="45" spans="1:27" s="67" customFormat="1" hidden="1" x14ac:dyDescent="0.25">
      <c r="A45" s="62" t="s">
        <v>170</v>
      </c>
      <c r="B45" s="63">
        <f t="shared" si="15"/>
        <v>0</v>
      </c>
      <c r="C45" s="63">
        <f t="shared" si="16"/>
        <v>0</v>
      </c>
      <c r="D45" s="63">
        <f t="shared" si="17"/>
        <v>0</v>
      </c>
      <c r="E45" s="63">
        <f t="shared" si="18"/>
        <v>0</v>
      </c>
      <c r="F45" s="63">
        <f t="shared" si="19"/>
        <v>0</v>
      </c>
      <c r="G45" s="63">
        <f t="shared" si="20"/>
        <v>0</v>
      </c>
      <c r="H45" s="63">
        <f t="shared" si="21"/>
        <v>0</v>
      </c>
      <c r="I45" s="63">
        <f t="shared" si="22"/>
        <v>0</v>
      </c>
      <c r="J45" s="63">
        <f t="shared" si="23"/>
        <v>0</v>
      </c>
      <c r="K45" s="63">
        <f t="shared" si="24"/>
        <v>0</v>
      </c>
      <c r="L45" s="63">
        <f t="shared" si="25"/>
        <v>0</v>
      </c>
      <c r="M45" s="66"/>
      <c r="Q45" s="34">
        <f t="shared" si="26"/>
        <v>1412</v>
      </c>
      <c r="R45" s="34">
        <f t="shared" si="14"/>
        <v>1412</v>
      </c>
      <c r="S45" s="34">
        <f t="shared" si="14"/>
        <v>1412</v>
      </c>
      <c r="T45" s="34">
        <f t="shared" si="14"/>
        <v>1412</v>
      </c>
      <c r="U45" s="34">
        <f t="shared" si="14"/>
        <v>1412</v>
      </c>
      <c r="V45" s="34">
        <f t="shared" si="14"/>
        <v>1412</v>
      </c>
      <c r="W45" s="34">
        <f t="shared" si="14"/>
        <v>1412</v>
      </c>
      <c r="X45" s="34">
        <f t="shared" si="14"/>
        <v>1412</v>
      </c>
      <c r="Y45" s="34">
        <f t="shared" si="14"/>
        <v>1412</v>
      </c>
      <c r="Z45" s="34">
        <f t="shared" si="14"/>
        <v>1412</v>
      </c>
      <c r="AA45" s="34">
        <f t="shared" si="14"/>
        <v>1412</v>
      </c>
    </row>
    <row r="46" spans="1:27" s="67" customFormat="1" hidden="1" x14ac:dyDescent="0.25">
      <c r="A46" s="62" t="s">
        <v>171</v>
      </c>
      <c r="B46" s="63">
        <f t="shared" si="15"/>
        <v>0</v>
      </c>
      <c r="C46" s="63">
        <f t="shared" si="16"/>
        <v>0</v>
      </c>
      <c r="D46" s="63">
        <f t="shared" si="17"/>
        <v>0</v>
      </c>
      <c r="E46" s="63">
        <f t="shared" si="18"/>
        <v>0</v>
      </c>
      <c r="F46" s="63">
        <f t="shared" si="19"/>
        <v>0</v>
      </c>
      <c r="G46" s="63">
        <f t="shared" si="20"/>
        <v>0</v>
      </c>
      <c r="H46" s="63">
        <f t="shared" si="21"/>
        <v>0</v>
      </c>
      <c r="I46" s="63">
        <f t="shared" si="22"/>
        <v>0</v>
      </c>
      <c r="J46" s="63">
        <f t="shared" si="23"/>
        <v>0</v>
      </c>
      <c r="K46" s="63">
        <f t="shared" si="24"/>
        <v>0</v>
      </c>
      <c r="L46" s="63">
        <f t="shared" si="25"/>
        <v>0</v>
      </c>
      <c r="M46" s="66"/>
      <c r="Q46" s="34">
        <f t="shared" si="26"/>
        <v>1413</v>
      </c>
      <c r="R46" s="34">
        <f t="shared" si="14"/>
        <v>1413</v>
      </c>
      <c r="S46" s="34">
        <f t="shared" si="14"/>
        <v>1413</v>
      </c>
      <c r="T46" s="34">
        <f t="shared" si="14"/>
        <v>1413</v>
      </c>
      <c r="U46" s="34">
        <f t="shared" si="14"/>
        <v>1413</v>
      </c>
      <c r="V46" s="34">
        <f t="shared" si="14"/>
        <v>1413</v>
      </c>
      <c r="W46" s="34">
        <f t="shared" si="14"/>
        <v>1413</v>
      </c>
      <c r="X46" s="34">
        <f t="shared" si="14"/>
        <v>1413</v>
      </c>
      <c r="Y46" s="34">
        <f t="shared" si="14"/>
        <v>1413</v>
      </c>
      <c r="Z46" s="34">
        <f t="shared" si="14"/>
        <v>1413</v>
      </c>
      <c r="AA46" s="34">
        <f t="shared" si="14"/>
        <v>1413</v>
      </c>
    </row>
    <row r="47" spans="1:27" s="67" customFormat="1" hidden="1" x14ac:dyDescent="0.25">
      <c r="A47" s="62" t="s">
        <v>172</v>
      </c>
      <c r="B47" s="63">
        <f t="shared" si="15"/>
        <v>0</v>
      </c>
      <c r="C47" s="63">
        <f t="shared" si="16"/>
        <v>0</v>
      </c>
      <c r="D47" s="63">
        <f t="shared" si="17"/>
        <v>0</v>
      </c>
      <c r="E47" s="63">
        <f t="shared" si="18"/>
        <v>0</v>
      </c>
      <c r="F47" s="63">
        <f t="shared" si="19"/>
        <v>0</v>
      </c>
      <c r="G47" s="63">
        <f t="shared" si="20"/>
        <v>0</v>
      </c>
      <c r="H47" s="63">
        <f t="shared" si="21"/>
        <v>0</v>
      </c>
      <c r="I47" s="63">
        <f t="shared" si="22"/>
        <v>0</v>
      </c>
      <c r="J47" s="63">
        <f t="shared" si="23"/>
        <v>0</v>
      </c>
      <c r="K47" s="63">
        <f t="shared" si="24"/>
        <v>0</v>
      </c>
      <c r="L47" s="63">
        <f t="shared" si="25"/>
        <v>0</v>
      </c>
      <c r="M47" s="66"/>
      <c r="Q47" s="34">
        <f t="shared" si="26"/>
        <v>1414</v>
      </c>
      <c r="R47" s="34">
        <f t="shared" si="14"/>
        <v>1414</v>
      </c>
      <c r="S47" s="34">
        <f t="shared" si="14"/>
        <v>1414</v>
      </c>
      <c r="T47" s="34">
        <f t="shared" si="14"/>
        <v>1414</v>
      </c>
      <c r="U47" s="34">
        <f t="shared" si="14"/>
        <v>1414</v>
      </c>
      <c r="V47" s="34">
        <f t="shared" si="14"/>
        <v>1414</v>
      </c>
      <c r="W47" s="34">
        <f t="shared" si="14"/>
        <v>1414</v>
      </c>
      <c r="X47" s="34">
        <f t="shared" si="14"/>
        <v>1414</v>
      </c>
      <c r="Y47" s="34">
        <f t="shared" si="14"/>
        <v>1414</v>
      </c>
      <c r="Z47" s="34">
        <f t="shared" si="14"/>
        <v>1414</v>
      </c>
      <c r="AA47" s="34">
        <f t="shared" si="14"/>
        <v>1414</v>
      </c>
    </row>
    <row r="48" spans="1:27" s="67" customFormat="1" hidden="1" x14ac:dyDescent="0.25">
      <c r="A48" s="62" t="s">
        <v>173</v>
      </c>
      <c r="B48" s="63">
        <f t="shared" si="15"/>
        <v>0</v>
      </c>
      <c r="C48" s="63">
        <f t="shared" si="16"/>
        <v>0</v>
      </c>
      <c r="D48" s="63">
        <f t="shared" si="17"/>
        <v>0</v>
      </c>
      <c r="E48" s="63">
        <f t="shared" si="18"/>
        <v>0</v>
      </c>
      <c r="F48" s="63">
        <f t="shared" si="19"/>
        <v>0</v>
      </c>
      <c r="G48" s="63">
        <f t="shared" si="20"/>
        <v>0</v>
      </c>
      <c r="H48" s="63">
        <f t="shared" si="21"/>
        <v>0</v>
      </c>
      <c r="I48" s="63">
        <f t="shared" si="22"/>
        <v>0</v>
      </c>
      <c r="J48" s="63">
        <f t="shared" si="23"/>
        <v>0</v>
      </c>
      <c r="K48" s="63">
        <f t="shared" si="24"/>
        <v>0</v>
      </c>
      <c r="L48" s="63">
        <f t="shared" si="25"/>
        <v>0</v>
      </c>
      <c r="M48" s="66"/>
      <c r="Q48" s="34">
        <f t="shared" si="26"/>
        <v>1415</v>
      </c>
      <c r="R48" s="34">
        <f t="shared" si="14"/>
        <v>1415</v>
      </c>
      <c r="S48" s="34">
        <f t="shared" si="14"/>
        <v>1415</v>
      </c>
      <c r="T48" s="34">
        <f t="shared" si="14"/>
        <v>1415</v>
      </c>
      <c r="U48" s="34">
        <f t="shared" si="14"/>
        <v>1415</v>
      </c>
      <c r="V48" s="34">
        <f t="shared" si="14"/>
        <v>1415</v>
      </c>
      <c r="W48" s="34">
        <f t="shared" si="14"/>
        <v>1415</v>
      </c>
      <c r="X48" s="34">
        <f t="shared" si="14"/>
        <v>1415</v>
      </c>
      <c r="Y48" s="34">
        <f t="shared" si="14"/>
        <v>1415</v>
      </c>
      <c r="Z48" s="34">
        <f t="shared" si="14"/>
        <v>1415</v>
      </c>
      <c r="AA48" s="34">
        <f t="shared" si="14"/>
        <v>1415</v>
      </c>
    </row>
    <row r="49" spans="1:27" s="67" customFormat="1" hidden="1" x14ac:dyDescent="0.25">
      <c r="A49" s="62" t="s">
        <v>174</v>
      </c>
      <c r="B49" s="63">
        <f t="shared" si="15"/>
        <v>0</v>
      </c>
      <c r="C49" s="63">
        <f t="shared" si="16"/>
        <v>0</v>
      </c>
      <c r="D49" s="63">
        <f t="shared" si="17"/>
        <v>0</v>
      </c>
      <c r="E49" s="63">
        <f t="shared" si="18"/>
        <v>0</v>
      </c>
      <c r="F49" s="63">
        <f t="shared" si="19"/>
        <v>0</v>
      </c>
      <c r="G49" s="63">
        <f t="shared" si="20"/>
        <v>0</v>
      </c>
      <c r="H49" s="63">
        <f t="shared" si="21"/>
        <v>0</v>
      </c>
      <c r="I49" s="63">
        <f t="shared" si="22"/>
        <v>0</v>
      </c>
      <c r="J49" s="63">
        <f t="shared" si="23"/>
        <v>0</v>
      </c>
      <c r="K49" s="63">
        <f t="shared" si="24"/>
        <v>0</v>
      </c>
      <c r="L49" s="63">
        <f t="shared" si="25"/>
        <v>0</v>
      </c>
      <c r="M49" s="66"/>
      <c r="Q49" s="34">
        <f t="shared" si="26"/>
        <v>1416</v>
      </c>
      <c r="R49" s="34">
        <f t="shared" si="14"/>
        <v>1416</v>
      </c>
      <c r="S49" s="34">
        <f t="shared" si="14"/>
        <v>1416</v>
      </c>
      <c r="T49" s="34">
        <f t="shared" si="14"/>
        <v>1416</v>
      </c>
      <c r="U49" s="34">
        <f t="shared" si="14"/>
        <v>1416</v>
      </c>
      <c r="V49" s="34">
        <f t="shared" si="14"/>
        <v>1416</v>
      </c>
      <c r="W49" s="34">
        <f t="shared" si="14"/>
        <v>1416</v>
      </c>
      <c r="X49" s="34">
        <f t="shared" si="14"/>
        <v>1416</v>
      </c>
      <c r="Y49" s="34">
        <f t="shared" si="14"/>
        <v>1416</v>
      </c>
      <c r="Z49" s="34">
        <f t="shared" si="14"/>
        <v>1416</v>
      </c>
      <c r="AA49" s="34">
        <f t="shared" si="14"/>
        <v>1416</v>
      </c>
    </row>
    <row r="50" spans="1:27" s="67" customFormat="1" hidden="1" x14ac:dyDescent="0.25">
      <c r="A50" s="62" t="s">
        <v>175</v>
      </c>
      <c r="B50" s="63">
        <f t="shared" si="15"/>
        <v>0</v>
      </c>
      <c r="C50" s="63">
        <f t="shared" si="16"/>
        <v>0</v>
      </c>
      <c r="D50" s="63">
        <f t="shared" si="17"/>
        <v>0</v>
      </c>
      <c r="E50" s="63">
        <f t="shared" si="18"/>
        <v>0</v>
      </c>
      <c r="F50" s="63">
        <f t="shared" si="19"/>
        <v>0</v>
      </c>
      <c r="G50" s="63">
        <f t="shared" si="20"/>
        <v>0</v>
      </c>
      <c r="H50" s="63">
        <f t="shared" si="21"/>
        <v>0</v>
      </c>
      <c r="I50" s="63">
        <f t="shared" si="22"/>
        <v>0</v>
      </c>
      <c r="J50" s="63">
        <f t="shared" si="23"/>
        <v>0</v>
      </c>
      <c r="K50" s="63">
        <f t="shared" si="24"/>
        <v>0</v>
      </c>
      <c r="L50" s="63">
        <f t="shared" si="25"/>
        <v>0</v>
      </c>
      <c r="M50" s="66"/>
      <c r="Q50" s="34">
        <f t="shared" si="26"/>
        <v>1417</v>
      </c>
      <c r="R50" s="34">
        <f t="shared" si="14"/>
        <v>1417</v>
      </c>
      <c r="S50" s="34">
        <f t="shared" si="14"/>
        <v>1417</v>
      </c>
      <c r="T50" s="34">
        <f t="shared" si="14"/>
        <v>1417</v>
      </c>
      <c r="U50" s="34">
        <f t="shared" si="14"/>
        <v>1417</v>
      </c>
      <c r="V50" s="34">
        <f t="shared" si="14"/>
        <v>1417</v>
      </c>
      <c r="W50" s="34">
        <f t="shared" si="14"/>
        <v>1417</v>
      </c>
      <c r="X50" s="34">
        <f t="shared" si="14"/>
        <v>1417</v>
      </c>
      <c r="Y50" s="34">
        <f t="shared" si="14"/>
        <v>1417</v>
      </c>
      <c r="Z50" s="34">
        <f t="shared" si="14"/>
        <v>1417</v>
      </c>
      <c r="AA50" s="34">
        <f t="shared" si="14"/>
        <v>1417</v>
      </c>
    </row>
    <row r="51" spans="1:27" s="67" customFormat="1" hidden="1" x14ac:dyDescent="0.25">
      <c r="A51" s="62" t="s">
        <v>176</v>
      </c>
      <c r="B51" s="63">
        <f t="shared" si="15"/>
        <v>0</v>
      </c>
      <c r="C51" s="63">
        <f t="shared" si="16"/>
        <v>0</v>
      </c>
      <c r="D51" s="63">
        <f t="shared" si="17"/>
        <v>0</v>
      </c>
      <c r="E51" s="63">
        <f t="shared" si="18"/>
        <v>0</v>
      </c>
      <c r="F51" s="63">
        <f t="shared" si="19"/>
        <v>0</v>
      </c>
      <c r="G51" s="63">
        <f t="shared" si="20"/>
        <v>0</v>
      </c>
      <c r="H51" s="63">
        <f t="shared" si="21"/>
        <v>0</v>
      </c>
      <c r="I51" s="63">
        <f t="shared" si="22"/>
        <v>0</v>
      </c>
      <c r="J51" s="63">
        <f t="shared" si="23"/>
        <v>0</v>
      </c>
      <c r="K51" s="63">
        <f t="shared" si="24"/>
        <v>0</v>
      </c>
      <c r="L51" s="63">
        <f t="shared" si="25"/>
        <v>0</v>
      </c>
      <c r="M51" s="66"/>
      <c r="Q51" s="34">
        <f t="shared" si="26"/>
        <v>1418</v>
      </c>
      <c r="R51" s="34">
        <f t="shared" si="14"/>
        <v>1418</v>
      </c>
      <c r="S51" s="34">
        <f t="shared" si="14"/>
        <v>1418</v>
      </c>
      <c r="T51" s="34">
        <f t="shared" si="14"/>
        <v>1418</v>
      </c>
      <c r="U51" s="34">
        <f t="shared" si="14"/>
        <v>1418</v>
      </c>
      <c r="V51" s="34">
        <f t="shared" si="14"/>
        <v>1418</v>
      </c>
      <c r="W51" s="34">
        <f t="shared" si="14"/>
        <v>1418</v>
      </c>
      <c r="X51" s="34">
        <f t="shared" si="14"/>
        <v>1418</v>
      </c>
      <c r="Y51" s="34">
        <f t="shared" si="14"/>
        <v>1418</v>
      </c>
      <c r="Z51" s="34">
        <f t="shared" si="14"/>
        <v>1418</v>
      </c>
      <c r="AA51" s="34">
        <f t="shared" si="14"/>
        <v>1418</v>
      </c>
    </row>
    <row r="52" spans="1:27" s="67" customFormat="1" x14ac:dyDescent="0.25">
      <c r="M52" s="66"/>
    </row>
    <row r="53" spans="1:27" ht="18" customHeight="1" x14ac:dyDescent="0.25">
      <c r="A53" s="334" t="s">
        <v>178</v>
      </c>
      <c r="B53" s="335"/>
      <c r="C53" s="335"/>
      <c r="D53" s="335"/>
      <c r="E53" s="335"/>
      <c r="F53" s="335"/>
      <c r="G53" s="335"/>
      <c r="H53" s="335"/>
      <c r="I53" s="335"/>
      <c r="J53" s="335"/>
      <c r="K53" s="334">
        <f>MAX(SUM(B27:L38)+SUM(B40:L51),0)</f>
        <v>0</v>
      </c>
      <c r="L53" s="335"/>
      <c r="M53" s="68"/>
    </row>
    <row r="54" spans="1:27" x14ac:dyDescent="0.25">
      <c r="A54" s="330" t="str">
        <f>Copyright</f>
        <v>© 1997-2018, Nithyanand Yeswanth (taxcalc@ynithya.com)</v>
      </c>
      <c r="B54" s="331"/>
      <c r="C54" s="331"/>
      <c r="D54" s="331"/>
      <c r="E54" s="331"/>
      <c r="F54" s="331"/>
      <c r="G54" s="331"/>
      <c r="H54" s="331"/>
      <c r="I54" s="331"/>
      <c r="J54" s="331"/>
      <c r="K54" s="331"/>
      <c r="L54" s="332"/>
      <c r="M54" s="69"/>
    </row>
    <row r="55" spans="1:27" ht="3.95" customHeight="1" x14ac:dyDescent="0.25">
      <c r="A55" s="70"/>
      <c r="B55" s="70"/>
      <c r="C55" s="70"/>
      <c r="D55" s="70"/>
      <c r="E55" s="70"/>
      <c r="F55" s="70"/>
      <c r="G55" s="70"/>
      <c r="H55" s="70"/>
      <c r="I55" s="70"/>
      <c r="J55" s="70"/>
      <c r="K55" s="70"/>
      <c r="L55" s="71"/>
      <c r="M55" s="69"/>
    </row>
    <row r="56" spans="1:27" x14ac:dyDescent="0.25">
      <c r="A56" s="72" t="s">
        <v>179</v>
      </c>
    </row>
    <row r="57" spans="1:27" x14ac:dyDescent="0.25">
      <c r="A57" s="160" t="s">
        <v>274</v>
      </c>
    </row>
    <row r="58" spans="1:27" x14ac:dyDescent="0.25">
      <c r="A58" s="160" t="s">
        <v>275</v>
      </c>
    </row>
    <row r="59" spans="1:27" x14ac:dyDescent="0.25">
      <c r="A59" s="160" t="s">
        <v>276</v>
      </c>
    </row>
    <row r="60" spans="1:27" x14ac:dyDescent="0.25">
      <c r="A60" s="160" t="s">
        <v>277</v>
      </c>
    </row>
    <row r="61" spans="1:27" x14ac:dyDescent="0.25">
      <c r="A61" s="73" t="s">
        <v>226</v>
      </c>
    </row>
    <row r="62" spans="1:27" x14ac:dyDescent="0.25">
      <c r="A62" s="160" t="s">
        <v>289</v>
      </c>
    </row>
    <row r="63" spans="1:27" x14ac:dyDescent="0.25">
      <c r="A63" s="160" t="s">
        <v>441</v>
      </c>
    </row>
    <row r="64" spans="1:27" x14ac:dyDescent="0.25">
      <c r="A64" s="73"/>
    </row>
    <row r="65" spans="1:1" hidden="1" x14ac:dyDescent="0.25">
      <c r="A65" s="73"/>
    </row>
    <row r="66" spans="1:1" hidden="1" x14ac:dyDescent="0.25">
      <c r="A66" s="34"/>
    </row>
    <row r="67" spans="1:1" hidden="1" x14ac:dyDescent="0.25">
      <c r="A67" s="34"/>
    </row>
    <row r="68" spans="1:1" hidden="1" x14ac:dyDescent="0.25">
      <c r="A68" s="34"/>
    </row>
  </sheetData>
  <sheetProtection algorithmName="SHA-512" hashValue="0irSf/NxfOUg3YljYCqexEeQq1tlvY5Jx3WpsDDYycrCG5Q0SnGR38/Dt6uMnlsegGQ+41+RMqwCOSf4RMNHAg==" saltValue="5JuD9uNr791p1Cql7KpWVw==" spinCount="100000" sheet="1" objects="1" scenarios="1"/>
  <mergeCells count="6">
    <mergeCell ref="A54:L54"/>
    <mergeCell ref="A1:L1"/>
    <mergeCell ref="K53:L53"/>
    <mergeCell ref="A2:L2"/>
    <mergeCell ref="A3:L3"/>
    <mergeCell ref="A53:J53"/>
  </mergeCells>
  <phoneticPr fontId="19" type="noConversion"/>
  <conditionalFormatting sqref="B23">
    <cfRule type="cellIs" dxfId="10" priority="1" stopIfTrue="1" operator="equal">
      <formula>"Housing Loan"</formula>
    </cfRule>
  </conditionalFormatting>
  <conditionalFormatting sqref="C23">
    <cfRule type="cellIs" dxfId="9" priority="2" stopIfTrue="1" operator="equal">
      <formula>"Vehicle Loan"</formula>
    </cfRule>
  </conditionalFormatting>
  <conditionalFormatting sqref="A1:M1">
    <cfRule type="cellIs" dxfId="8" priority="3" stopIfTrue="1" operator="equal">
      <formula>"PLEASE ENTER YOUR NAME HERE"</formula>
    </cfRule>
  </conditionalFormatting>
  <dataValidations count="5">
    <dataValidation type="decimal" operator="greaterThanOrEqual" allowBlank="1" showInputMessage="1" showErrorMessage="1" errorTitle="Invalid Input!" error="Please enter the percentage. Note that it cannot be negative!" sqref="B23:L23 B11:L11 B20:L20">
      <formula1>0</formula1>
    </dataValidation>
    <dataValidation type="whole" allowBlank="1" showErrorMessage="1" errorTitle="Invalid Input!" error="Please enter a positive number for loan amount!" sqref="B14:L14 B5:L5">
      <formula1>0</formula1>
      <formula2>9999999</formula2>
    </dataValidation>
    <dataValidation type="whole" allowBlank="1" showErrorMessage="1" errorTitle="Invalid Input" error="Please enter a positive number!" sqref="B19:L19 B10:L10">
      <formula1>0</formula1>
      <formula2>360</formula2>
    </dataValidation>
    <dataValidation type="date" operator="lessThan" allowBlank="1" showInputMessage="1" showErrorMessage="1" errorTitle="Invalid Month!" error="The loan should have been taken before the end of the current financial year!" sqref="B15:L15 B6:L6">
      <formula1>$P$6</formula1>
    </dataValidation>
    <dataValidation type="date" allowBlank="1" showInputMessage="1" showErrorMessage="1" errorTitle="Invalid Month!" error="Please enter a month which is in the current financial year and that is after the month in which loan was taken!" sqref="B7:L7 B16:L16">
      <formula1>MAX(B6,$P$5)</formula1>
      <formula2>$P$6</formula2>
    </dataValidation>
  </dataValidations>
  <printOptions horizontalCentered="1"/>
  <pageMargins left="0.75" right="0.75" top="1" bottom="1" header="0.5" footer="0.5"/>
  <pageSetup paperSize="9" fitToHeight="0" orientation="landscape" r:id="rId1"/>
  <headerFooter alignWithMargins="0">
    <oddHeader>&amp;L&amp;"Verdana,Bold"&amp;D&amp;C&amp;"Verdana,Bold"Perquisites Valuation for Income Tax Projections&amp;R&amp;"Verdana,Bold"Page &amp;P of &amp;N</oddHeader>
    <oddFooter>&amp;L&amp;"Tahoma,Regular"Free Download from http://taxcalc.ynithya.com/&amp;C&amp;"Tahoma,Regular"(Version 20.0)&amp;R&amp;"Tahoma,Regular"© 1997-2018, Nithyanand Yeswanth (taxcalc@ynithya.com)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8"/>
  </sheetPr>
  <dimension ref="A1:P104"/>
  <sheetViews>
    <sheetView showGridLines="0" zoomScaleNormal="100" workbookViewId="0">
      <pane ySplit="20" topLeftCell="A21" activePane="bottomLeft" state="frozen"/>
      <selection activeCell="A17" sqref="A17"/>
      <selection pane="bottomLeft" activeCell="A21" sqref="A21"/>
    </sheetView>
  </sheetViews>
  <sheetFormatPr defaultColWidth="0" defaultRowHeight="12.75" zeroHeight="1" x14ac:dyDescent="0.25"/>
  <cols>
    <col min="1" max="4" width="21.83203125" style="78" customWidth="1"/>
    <col min="5" max="5" width="0.33203125" style="107" customWidth="1"/>
    <col min="6" max="13" width="19.33203125" style="78" hidden="1" customWidth="1"/>
    <col min="14" max="16384" width="10.6640625" style="78" hidden="1"/>
  </cols>
  <sheetData>
    <row r="1" spans="1:11" ht="12.75" hidden="1" customHeight="1" x14ac:dyDescent="0.25">
      <c r="A1" s="74" t="s">
        <v>183</v>
      </c>
      <c r="B1" s="75"/>
      <c r="C1" s="75"/>
      <c r="D1" s="75"/>
      <c r="E1" s="76"/>
      <c r="F1" s="75"/>
      <c r="G1" s="75"/>
      <c r="H1" s="77"/>
      <c r="I1" s="172"/>
      <c r="J1" s="172"/>
    </row>
    <row r="2" spans="1:11" s="79" customFormat="1" ht="13.5" hidden="1" customHeight="1" x14ac:dyDescent="0.25">
      <c r="A2" s="76"/>
      <c r="B2" s="76"/>
      <c r="C2" s="76"/>
      <c r="D2" s="76"/>
      <c r="E2" s="76"/>
      <c r="F2" s="76"/>
      <c r="G2" s="76"/>
      <c r="H2" s="76"/>
      <c r="I2" s="173"/>
      <c r="J2" s="173"/>
    </row>
    <row r="3" spans="1:11" s="82" customFormat="1" ht="12.75" hidden="1" customHeight="1" x14ac:dyDescent="0.25">
      <c r="A3" s="80" t="s">
        <v>184</v>
      </c>
      <c r="B3" s="80">
        <v>29221</v>
      </c>
      <c r="C3" s="80">
        <v>36161</v>
      </c>
      <c r="D3" s="80">
        <v>36540</v>
      </c>
      <c r="E3" s="81"/>
      <c r="F3" s="80">
        <v>36951</v>
      </c>
      <c r="G3" s="80">
        <v>37316</v>
      </c>
      <c r="H3" s="80">
        <v>37681</v>
      </c>
      <c r="I3" s="80">
        <v>40878</v>
      </c>
      <c r="J3" s="80">
        <v>41000</v>
      </c>
      <c r="K3" s="80">
        <v>41365</v>
      </c>
    </row>
    <row r="4" spans="1:11" s="82" customFormat="1" ht="12.75" hidden="1" customHeight="1" x14ac:dyDescent="0.25">
      <c r="A4" s="80" t="s">
        <v>185</v>
      </c>
      <c r="B4" s="80">
        <v>36160</v>
      </c>
      <c r="C4" s="80">
        <v>36539</v>
      </c>
      <c r="D4" s="80">
        <v>36950</v>
      </c>
      <c r="E4" s="81"/>
      <c r="F4" s="80">
        <v>37315</v>
      </c>
      <c r="G4" s="80">
        <v>37680</v>
      </c>
      <c r="H4" s="80">
        <v>40877</v>
      </c>
      <c r="I4" s="80">
        <v>40999</v>
      </c>
      <c r="J4" s="80">
        <v>41364</v>
      </c>
      <c r="K4" s="80">
        <v>44196</v>
      </c>
    </row>
    <row r="5" spans="1:11" ht="12.75" hidden="1" customHeight="1" x14ac:dyDescent="0.25">
      <c r="A5" s="83" t="s">
        <v>186</v>
      </c>
      <c r="B5" s="84">
        <v>0.12</v>
      </c>
      <c r="C5" s="84">
        <v>0.115</v>
      </c>
      <c r="D5" s="84">
        <v>0.11</v>
      </c>
      <c r="E5" s="85"/>
      <c r="F5" s="84">
        <v>9.5000000000000001E-2</v>
      </c>
      <c r="G5" s="84">
        <v>0.09</v>
      </c>
      <c r="H5" s="84">
        <v>0.08</v>
      </c>
      <c r="I5" s="84">
        <v>8.4000000000000005E-2</v>
      </c>
      <c r="J5" s="84">
        <v>8.5999999999999993E-2</v>
      </c>
      <c r="K5" s="84">
        <v>8.5000000000000006E-2</v>
      </c>
    </row>
    <row r="6" spans="1:11" ht="12.75" hidden="1" customHeight="1" x14ac:dyDescent="0.25">
      <c r="A6" s="83" t="s">
        <v>197</v>
      </c>
      <c r="B6" s="86">
        <v>12.4</v>
      </c>
      <c r="C6" s="86">
        <v>11.83</v>
      </c>
      <c r="D6" s="86">
        <v>11.3</v>
      </c>
      <c r="E6" s="87"/>
      <c r="F6" s="86">
        <v>9.7200000000000006</v>
      </c>
      <c r="G6" s="86">
        <v>9.1999999999999993</v>
      </c>
      <c r="H6" s="86">
        <v>8.16</v>
      </c>
      <c r="I6" s="86">
        <v>8.58</v>
      </c>
      <c r="J6" s="86">
        <v>8.7799999999999994</v>
      </c>
      <c r="K6" s="86">
        <v>8.68</v>
      </c>
    </row>
    <row r="7" spans="1:11" ht="12.75" hidden="1" customHeight="1" x14ac:dyDescent="0.25">
      <c r="A7" s="83" t="s">
        <v>198</v>
      </c>
      <c r="B7" s="86">
        <v>13.9</v>
      </c>
      <c r="C7" s="86">
        <v>13.23</v>
      </c>
      <c r="D7" s="86">
        <v>12.58</v>
      </c>
      <c r="E7" s="87"/>
      <c r="F7" s="86">
        <v>10.67</v>
      </c>
      <c r="G7" s="86">
        <v>10.050000000000001</v>
      </c>
      <c r="H7" s="86">
        <v>8.83</v>
      </c>
      <c r="I7" s="86">
        <v>9.31</v>
      </c>
      <c r="J7" s="86">
        <v>9.56</v>
      </c>
      <c r="K7" s="86">
        <v>9.43</v>
      </c>
    </row>
    <row r="8" spans="1:11" ht="12.75" hidden="1" customHeight="1" x14ac:dyDescent="0.25">
      <c r="A8" s="83" t="s">
        <v>199</v>
      </c>
      <c r="B8" s="86">
        <v>15.6</v>
      </c>
      <c r="C8" s="86">
        <v>14.8</v>
      </c>
      <c r="D8" s="86">
        <v>14</v>
      </c>
      <c r="E8" s="87"/>
      <c r="F8" s="86">
        <v>11.71</v>
      </c>
      <c r="G8" s="86">
        <v>10.97</v>
      </c>
      <c r="H8" s="86">
        <v>9.5500000000000007</v>
      </c>
      <c r="I8" s="86">
        <v>10.11</v>
      </c>
      <c r="J8" s="86">
        <v>10.4</v>
      </c>
      <c r="K8" s="86">
        <v>10.25</v>
      </c>
    </row>
    <row r="9" spans="1:11" ht="12.75" hidden="1" customHeight="1" x14ac:dyDescent="0.25">
      <c r="A9" s="83" t="s">
        <v>200</v>
      </c>
      <c r="B9" s="86">
        <v>17.5</v>
      </c>
      <c r="C9" s="86">
        <v>16.54</v>
      </c>
      <c r="D9" s="86">
        <v>15.58</v>
      </c>
      <c r="E9" s="87"/>
      <c r="F9" s="86">
        <v>12.85</v>
      </c>
      <c r="G9" s="86">
        <v>11.98</v>
      </c>
      <c r="H9" s="86">
        <v>10.33</v>
      </c>
      <c r="I9" s="86">
        <v>10.98</v>
      </c>
      <c r="J9" s="86">
        <v>11.31</v>
      </c>
      <c r="K9" s="86">
        <v>11.14</v>
      </c>
    </row>
    <row r="10" spans="1:11" ht="12.75" hidden="1" customHeight="1" x14ac:dyDescent="0.25">
      <c r="A10" s="83" t="s">
        <v>201</v>
      </c>
      <c r="B10" s="86">
        <v>19.7</v>
      </c>
      <c r="C10" s="86">
        <v>18.510000000000002</v>
      </c>
      <c r="D10" s="86">
        <v>17.350000000000001</v>
      </c>
      <c r="E10" s="87"/>
      <c r="F10" s="86">
        <v>14.1</v>
      </c>
      <c r="G10" s="86">
        <v>13.1</v>
      </c>
      <c r="H10" s="86">
        <v>11.17</v>
      </c>
      <c r="I10" s="86">
        <v>11.92</v>
      </c>
      <c r="J10" s="86">
        <v>12.3</v>
      </c>
      <c r="K10" s="86">
        <v>12.11</v>
      </c>
    </row>
    <row r="11" spans="1:11" ht="12.75" hidden="1" customHeight="1" x14ac:dyDescent="0.25">
      <c r="A11" s="83" t="s">
        <v>202</v>
      </c>
      <c r="B11" s="86">
        <v>22.4</v>
      </c>
      <c r="C11" s="86">
        <v>20.69</v>
      </c>
      <c r="D11" s="86">
        <v>19.309999999999999</v>
      </c>
      <c r="E11" s="87"/>
      <c r="F11" s="86">
        <v>15.47</v>
      </c>
      <c r="G11" s="86">
        <v>14.29</v>
      </c>
      <c r="H11" s="86">
        <v>12.08</v>
      </c>
      <c r="I11" s="86">
        <v>0</v>
      </c>
      <c r="J11" s="86">
        <v>0</v>
      </c>
      <c r="K11" s="86">
        <v>0</v>
      </c>
    </row>
    <row r="12" spans="1:11" ht="12.75" hidden="1" customHeight="1" x14ac:dyDescent="0.25">
      <c r="A12" s="83" t="s">
        <v>187</v>
      </c>
      <c r="B12" s="86">
        <v>111.5</v>
      </c>
      <c r="C12" s="86">
        <v>95.6</v>
      </c>
      <c r="D12" s="86">
        <v>90.12</v>
      </c>
      <c r="E12" s="87"/>
      <c r="F12" s="86">
        <v>74.52</v>
      </c>
      <c r="G12" s="86">
        <v>69.59</v>
      </c>
      <c r="H12" s="86">
        <v>60.12</v>
      </c>
      <c r="I12" s="86">
        <v>50.9</v>
      </c>
      <c r="J12" s="86">
        <v>52.35</v>
      </c>
      <c r="K12" s="86">
        <v>51.62</v>
      </c>
    </row>
    <row r="13" spans="1:11" ht="12.75" hidden="1" customHeight="1" x14ac:dyDescent="0.25">
      <c r="A13" s="83" t="s">
        <v>188</v>
      </c>
      <c r="B13" s="86">
        <v>201.5</v>
      </c>
      <c r="C13" s="86">
        <v>195.6</v>
      </c>
      <c r="D13" s="86">
        <v>190.12</v>
      </c>
      <c r="E13" s="87"/>
      <c r="F13" s="86">
        <v>174.52</v>
      </c>
      <c r="G13" s="86">
        <v>169.59</v>
      </c>
      <c r="H13" s="86">
        <v>160.12</v>
      </c>
      <c r="I13" s="86">
        <v>150.9</v>
      </c>
      <c r="J13" s="86">
        <v>152.35</v>
      </c>
      <c r="K13" s="86">
        <v>151.62</v>
      </c>
    </row>
    <row r="14" spans="1:11" ht="12.75" hidden="1" customHeight="1" x14ac:dyDescent="0.25">
      <c r="B14" s="88" t="s">
        <v>189</v>
      </c>
      <c r="C14" s="89">
        <f>Perquisites!P5</f>
        <v>42826</v>
      </c>
      <c r="D14" s="90">
        <f>DATE(YEAR(C14)-4,MONTH(C14),DAY(C14))</f>
        <v>41365</v>
      </c>
      <c r="E14" s="90"/>
      <c r="F14" s="90">
        <f>DATE(YEAR(C14),MONTH(C14),DAY(C14)-1)</f>
        <v>42825</v>
      </c>
      <c r="I14" s="164" t="s">
        <v>298</v>
      </c>
      <c r="J14" s="164"/>
    </row>
    <row r="15" spans="1:11" ht="12.75" hidden="1" customHeight="1" x14ac:dyDescent="0.25">
      <c r="B15" s="91"/>
      <c r="C15" s="92"/>
      <c r="D15" s="93"/>
      <c r="E15" s="93"/>
      <c r="I15" s="164" t="s">
        <v>358</v>
      </c>
      <c r="J15" s="164"/>
    </row>
    <row r="16" spans="1:11" s="94" customFormat="1" ht="12.75" hidden="1" customHeight="1" x14ac:dyDescent="0.25">
      <c r="B16" s="95"/>
      <c r="C16" s="96"/>
      <c r="D16" s="97"/>
      <c r="E16" s="97"/>
    </row>
    <row r="17" spans="1:16" s="34" customFormat="1" ht="30" customHeight="1" x14ac:dyDescent="0.25">
      <c r="A17" s="343" t="str">
        <f>Instructions!B7</f>
        <v>Atul Tegar</v>
      </c>
      <c r="B17" s="343"/>
      <c r="C17" s="343"/>
      <c r="D17" s="343"/>
      <c r="E17" s="98"/>
      <c r="F17" s="99"/>
      <c r="G17" s="99"/>
      <c r="H17" s="99"/>
      <c r="I17" s="99"/>
      <c r="J17" s="99"/>
      <c r="K17" s="99"/>
      <c r="L17" s="99"/>
      <c r="M17" s="99"/>
      <c r="N17" s="99"/>
      <c r="O17" s="99"/>
      <c r="P17" s="33"/>
    </row>
    <row r="18" spans="1:16" ht="18" customHeight="1" x14ac:dyDescent="0.25">
      <c r="A18" s="340" t="s">
        <v>183</v>
      </c>
      <c r="B18" s="341"/>
      <c r="C18" s="341"/>
      <c r="D18" s="342"/>
      <c r="E18" s="100"/>
    </row>
    <row r="19" spans="1:16" x14ac:dyDescent="0.25">
      <c r="B19" s="91"/>
      <c r="C19" s="92"/>
      <c r="D19" s="93"/>
      <c r="E19" s="93"/>
    </row>
    <row r="20" spans="1:16" x14ac:dyDescent="0.25">
      <c r="A20" s="244" t="s">
        <v>190</v>
      </c>
      <c r="B20" s="245" t="s">
        <v>191</v>
      </c>
      <c r="C20" s="242" t="s">
        <v>192</v>
      </c>
      <c r="D20" s="242" t="s">
        <v>193</v>
      </c>
      <c r="E20" s="101"/>
    </row>
    <row r="21" spans="1:16" x14ac:dyDescent="0.25">
      <c r="A21" s="102"/>
      <c r="B21" s="103"/>
      <c r="C21" s="104">
        <v>0</v>
      </c>
      <c r="D21" s="243">
        <f t="shared" ref="D21:D52" si="0">IF(G21&gt;0,HLOOKUP(B21,$B$3:$K$13,3+G21,TRUE)*C21/100,0)</f>
        <v>0</v>
      </c>
      <c r="E21" s="105"/>
      <c r="G21" s="78">
        <f>IF(AND(B21&gt;=$D$14,B21&lt;$C$14),CEILING(DAYS360(B21,$C$14)/360,1),0)</f>
        <v>0</v>
      </c>
      <c r="H21" s="106"/>
      <c r="I21" s="106"/>
      <c r="J21" s="106"/>
    </row>
    <row r="22" spans="1:16" x14ac:dyDescent="0.25">
      <c r="A22" s="102"/>
      <c r="B22" s="103"/>
      <c r="C22" s="104">
        <v>0</v>
      </c>
      <c r="D22" s="243">
        <f t="shared" si="0"/>
        <v>0</v>
      </c>
      <c r="E22" s="105"/>
      <c r="G22" s="78">
        <f t="shared" ref="G22:G69" si="1">IF(AND(B22&gt;=$D$14,B22&lt;$C$14),CEILING(DAYS360(B22,$C$14)/360,1),0)</f>
        <v>0</v>
      </c>
      <c r="H22" s="106"/>
      <c r="I22" s="106"/>
      <c r="J22" s="106"/>
    </row>
    <row r="23" spans="1:16" x14ac:dyDescent="0.25">
      <c r="A23" s="102"/>
      <c r="B23" s="103"/>
      <c r="C23" s="104">
        <v>0</v>
      </c>
      <c r="D23" s="243">
        <f t="shared" si="0"/>
        <v>0</v>
      </c>
      <c r="E23" s="105"/>
      <c r="G23" s="78">
        <f t="shared" si="1"/>
        <v>0</v>
      </c>
      <c r="H23" s="106"/>
      <c r="I23" s="106"/>
      <c r="J23" s="106"/>
    </row>
    <row r="24" spans="1:16" x14ac:dyDescent="0.25">
      <c r="A24" s="102"/>
      <c r="B24" s="103"/>
      <c r="C24" s="104">
        <v>0</v>
      </c>
      <c r="D24" s="243">
        <f t="shared" si="0"/>
        <v>0</v>
      </c>
      <c r="E24" s="105"/>
      <c r="G24" s="78">
        <f t="shared" si="1"/>
        <v>0</v>
      </c>
      <c r="H24" s="106"/>
      <c r="I24" s="106"/>
      <c r="J24" s="106"/>
    </row>
    <row r="25" spans="1:16" x14ac:dyDescent="0.25">
      <c r="A25" s="102"/>
      <c r="B25" s="103"/>
      <c r="C25" s="104">
        <v>0</v>
      </c>
      <c r="D25" s="243">
        <f t="shared" si="0"/>
        <v>0</v>
      </c>
      <c r="E25" s="105"/>
      <c r="G25" s="78">
        <f t="shared" si="1"/>
        <v>0</v>
      </c>
      <c r="H25" s="106"/>
      <c r="I25" s="106"/>
      <c r="J25" s="106"/>
    </row>
    <row r="26" spans="1:16" x14ac:dyDescent="0.25">
      <c r="A26" s="102"/>
      <c r="B26" s="103"/>
      <c r="C26" s="104">
        <v>0</v>
      </c>
      <c r="D26" s="243">
        <f t="shared" si="0"/>
        <v>0</v>
      </c>
      <c r="E26" s="105"/>
      <c r="G26" s="78">
        <f t="shared" si="1"/>
        <v>0</v>
      </c>
      <c r="H26" s="106"/>
      <c r="I26" s="106"/>
      <c r="J26" s="106"/>
    </row>
    <row r="27" spans="1:16" x14ac:dyDescent="0.25">
      <c r="A27" s="102"/>
      <c r="B27" s="103"/>
      <c r="C27" s="104">
        <v>0</v>
      </c>
      <c r="D27" s="243">
        <f t="shared" si="0"/>
        <v>0</v>
      </c>
      <c r="E27" s="105"/>
      <c r="G27" s="78">
        <f t="shared" si="1"/>
        <v>0</v>
      </c>
      <c r="H27" s="106"/>
      <c r="I27" s="106"/>
      <c r="J27" s="106"/>
    </row>
    <row r="28" spans="1:16" x14ac:dyDescent="0.25">
      <c r="A28" s="102"/>
      <c r="B28" s="103"/>
      <c r="C28" s="104">
        <v>0</v>
      </c>
      <c r="D28" s="243">
        <f t="shared" si="0"/>
        <v>0</v>
      </c>
      <c r="E28" s="105"/>
      <c r="G28" s="78">
        <f t="shared" si="1"/>
        <v>0</v>
      </c>
      <c r="H28" s="106"/>
      <c r="I28" s="106"/>
      <c r="J28" s="106"/>
    </row>
    <row r="29" spans="1:16" x14ac:dyDescent="0.25">
      <c r="A29" s="102"/>
      <c r="B29" s="103"/>
      <c r="C29" s="104">
        <v>0</v>
      </c>
      <c r="D29" s="243">
        <f t="shared" si="0"/>
        <v>0</v>
      </c>
      <c r="E29" s="105"/>
      <c r="G29" s="78">
        <f t="shared" si="1"/>
        <v>0</v>
      </c>
      <c r="H29" s="106"/>
      <c r="I29" s="106"/>
      <c r="J29" s="106"/>
    </row>
    <row r="30" spans="1:16" x14ac:dyDescent="0.25">
      <c r="A30" s="102"/>
      <c r="B30" s="103"/>
      <c r="C30" s="104">
        <v>0</v>
      </c>
      <c r="D30" s="243">
        <f t="shared" si="0"/>
        <v>0</v>
      </c>
      <c r="E30" s="105"/>
      <c r="G30" s="78">
        <f t="shared" si="1"/>
        <v>0</v>
      </c>
      <c r="H30" s="106"/>
      <c r="I30" s="106"/>
      <c r="J30" s="106"/>
    </row>
    <row r="31" spans="1:16" x14ac:dyDescent="0.25">
      <c r="A31" s="102"/>
      <c r="B31" s="103"/>
      <c r="C31" s="104">
        <v>0</v>
      </c>
      <c r="D31" s="243">
        <f t="shared" si="0"/>
        <v>0</v>
      </c>
      <c r="E31" s="105"/>
      <c r="G31" s="78">
        <f t="shared" si="1"/>
        <v>0</v>
      </c>
      <c r="H31" s="106"/>
      <c r="I31" s="106"/>
      <c r="J31" s="106"/>
    </row>
    <row r="32" spans="1:16" x14ac:dyDescent="0.25">
      <c r="A32" s="102"/>
      <c r="B32" s="103"/>
      <c r="C32" s="104">
        <v>0</v>
      </c>
      <c r="D32" s="243">
        <f t="shared" si="0"/>
        <v>0</v>
      </c>
      <c r="E32" s="105"/>
      <c r="G32" s="78">
        <f t="shared" si="1"/>
        <v>0</v>
      </c>
      <c r="H32" s="106"/>
      <c r="I32" s="106"/>
      <c r="J32" s="106"/>
    </row>
    <row r="33" spans="1:10" x14ac:dyDescent="0.25">
      <c r="A33" s="102"/>
      <c r="B33" s="103"/>
      <c r="C33" s="104">
        <v>0</v>
      </c>
      <c r="D33" s="243">
        <f t="shared" si="0"/>
        <v>0</v>
      </c>
      <c r="E33" s="105"/>
      <c r="G33" s="78">
        <f t="shared" si="1"/>
        <v>0</v>
      </c>
      <c r="H33" s="106"/>
      <c r="I33" s="106"/>
      <c r="J33" s="106"/>
    </row>
    <row r="34" spans="1:10" x14ac:dyDescent="0.25">
      <c r="A34" s="102"/>
      <c r="B34" s="103"/>
      <c r="C34" s="104">
        <v>0</v>
      </c>
      <c r="D34" s="243">
        <f t="shared" si="0"/>
        <v>0</v>
      </c>
      <c r="E34" s="105"/>
      <c r="G34" s="78">
        <f t="shared" si="1"/>
        <v>0</v>
      </c>
      <c r="H34" s="106"/>
      <c r="I34" s="106"/>
      <c r="J34" s="106"/>
    </row>
    <row r="35" spans="1:10" x14ac:dyDescent="0.25">
      <c r="A35" s="102"/>
      <c r="B35" s="103"/>
      <c r="C35" s="104">
        <v>0</v>
      </c>
      <c r="D35" s="243">
        <f t="shared" si="0"/>
        <v>0</v>
      </c>
      <c r="E35" s="105"/>
      <c r="G35" s="78">
        <f t="shared" si="1"/>
        <v>0</v>
      </c>
      <c r="H35" s="106"/>
      <c r="I35" s="106"/>
      <c r="J35" s="106"/>
    </row>
    <row r="36" spans="1:10" x14ac:dyDescent="0.25">
      <c r="A36" s="102"/>
      <c r="B36" s="103"/>
      <c r="C36" s="104">
        <v>0</v>
      </c>
      <c r="D36" s="243">
        <f t="shared" si="0"/>
        <v>0</v>
      </c>
      <c r="E36" s="105"/>
      <c r="G36" s="78">
        <f t="shared" si="1"/>
        <v>0</v>
      </c>
      <c r="H36" s="106"/>
      <c r="I36" s="106"/>
      <c r="J36" s="106"/>
    </row>
    <row r="37" spans="1:10" x14ac:dyDescent="0.25">
      <c r="A37" s="102"/>
      <c r="B37" s="103"/>
      <c r="C37" s="104">
        <v>0</v>
      </c>
      <c r="D37" s="243">
        <f t="shared" si="0"/>
        <v>0</v>
      </c>
      <c r="E37" s="105"/>
      <c r="G37" s="78">
        <f t="shared" si="1"/>
        <v>0</v>
      </c>
      <c r="H37" s="106"/>
      <c r="I37" s="106"/>
      <c r="J37" s="106"/>
    </row>
    <row r="38" spans="1:10" x14ac:dyDescent="0.25">
      <c r="A38" s="102"/>
      <c r="B38" s="103"/>
      <c r="C38" s="104">
        <v>0</v>
      </c>
      <c r="D38" s="243">
        <f t="shared" si="0"/>
        <v>0</v>
      </c>
      <c r="E38" s="105"/>
      <c r="G38" s="78">
        <f t="shared" si="1"/>
        <v>0</v>
      </c>
      <c r="H38" s="106"/>
      <c r="I38" s="106"/>
      <c r="J38" s="106"/>
    </row>
    <row r="39" spans="1:10" x14ac:dyDescent="0.25">
      <c r="A39" s="102"/>
      <c r="B39" s="103"/>
      <c r="C39" s="104">
        <v>0</v>
      </c>
      <c r="D39" s="243">
        <f t="shared" si="0"/>
        <v>0</v>
      </c>
      <c r="E39" s="105"/>
      <c r="G39" s="78">
        <f t="shared" si="1"/>
        <v>0</v>
      </c>
      <c r="H39" s="106"/>
      <c r="I39" s="106"/>
      <c r="J39" s="106"/>
    </row>
    <row r="40" spans="1:10" x14ac:dyDescent="0.25">
      <c r="A40" s="102"/>
      <c r="B40" s="103"/>
      <c r="C40" s="104">
        <v>0</v>
      </c>
      <c r="D40" s="243">
        <f t="shared" si="0"/>
        <v>0</v>
      </c>
      <c r="E40" s="105"/>
      <c r="G40" s="78">
        <f t="shared" si="1"/>
        <v>0</v>
      </c>
      <c r="H40" s="106"/>
      <c r="I40" s="106"/>
      <c r="J40" s="106"/>
    </row>
    <row r="41" spans="1:10" x14ac:dyDescent="0.25">
      <c r="A41" s="102"/>
      <c r="B41" s="103"/>
      <c r="C41" s="104">
        <v>0</v>
      </c>
      <c r="D41" s="243">
        <f t="shared" si="0"/>
        <v>0</v>
      </c>
      <c r="E41" s="105"/>
      <c r="G41" s="78">
        <f t="shared" si="1"/>
        <v>0</v>
      </c>
      <c r="H41" s="106"/>
      <c r="I41" s="106"/>
      <c r="J41" s="106"/>
    </row>
    <row r="42" spans="1:10" x14ac:dyDescent="0.25">
      <c r="A42" s="102"/>
      <c r="B42" s="103"/>
      <c r="C42" s="104">
        <v>0</v>
      </c>
      <c r="D42" s="243">
        <f t="shared" si="0"/>
        <v>0</v>
      </c>
      <c r="E42" s="105"/>
      <c r="G42" s="78">
        <f t="shared" si="1"/>
        <v>0</v>
      </c>
      <c r="H42" s="106"/>
      <c r="I42" s="106"/>
      <c r="J42" s="106"/>
    </row>
    <row r="43" spans="1:10" x14ac:dyDescent="0.25">
      <c r="A43" s="102"/>
      <c r="B43" s="103"/>
      <c r="C43" s="104">
        <v>0</v>
      </c>
      <c r="D43" s="243">
        <f t="shared" si="0"/>
        <v>0</v>
      </c>
      <c r="E43" s="105"/>
      <c r="G43" s="78">
        <f t="shared" si="1"/>
        <v>0</v>
      </c>
      <c r="H43" s="106"/>
      <c r="I43" s="106"/>
      <c r="J43" s="106"/>
    </row>
    <row r="44" spans="1:10" x14ac:dyDescent="0.25">
      <c r="A44" s="102"/>
      <c r="B44" s="103"/>
      <c r="C44" s="104">
        <v>0</v>
      </c>
      <c r="D44" s="243">
        <f t="shared" si="0"/>
        <v>0</v>
      </c>
      <c r="E44" s="105"/>
      <c r="G44" s="78">
        <f t="shared" si="1"/>
        <v>0</v>
      </c>
      <c r="H44" s="106"/>
      <c r="I44" s="106"/>
      <c r="J44" s="106"/>
    </row>
    <row r="45" spans="1:10" x14ac:dyDescent="0.25">
      <c r="A45" s="102"/>
      <c r="B45" s="103"/>
      <c r="C45" s="104">
        <v>0</v>
      </c>
      <c r="D45" s="243">
        <f t="shared" si="0"/>
        <v>0</v>
      </c>
      <c r="E45" s="105"/>
      <c r="G45" s="78">
        <f t="shared" si="1"/>
        <v>0</v>
      </c>
      <c r="H45" s="106"/>
      <c r="I45" s="106"/>
      <c r="J45" s="106"/>
    </row>
    <row r="46" spans="1:10" x14ac:dyDescent="0.25">
      <c r="A46" s="102"/>
      <c r="B46" s="103"/>
      <c r="C46" s="104">
        <v>0</v>
      </c>
      <c r="D46" s="243">
        <f t="shared" si="0"/>
        <v>0</v>
      </c>
      <c r="E46" s="105"/>
      <c r="G46" s="78">
        <f t="shared" si="1"/>
        <v>0</v>
      </c>
      <c r="H46" s="106"/>
      <c r="I46" s="106"/>
      <c r="J46" s="106"/>
    </row>
    <row r="47" spans="1:10" x14ac:dyDescent="0.25">
      <c r="A47" s="102"/>
      <c r="B47" s="103"/>
      <c r="C47" s="104">
        <v>0</v>
      </c>
      <c r="D47" s="243">
        <f t="shared" si="0"/>
        <v>0</v>
      </c>
      <c r="E47" s="105"/>
      <c r="G47" s="78">
        <f t="shared" si="1"/>
        <v>0</v>
      </c>
      <c r="H47" s="106"/>
      <c r="I47" s="106"/>
      <c r="J47" s="106"/>
    </row>
    <row r="48" spans="1:10" x14ac:dyDescent="0.25">
      <c r="A48" s="102"/>
      <c r="B48" s="103"/>
      <c r="C48" s="104">
        <v>0</v>
      </c>
      <c r="D48" s="243">
        <f t="shared" si="0"/>
        <v>0</v>
      </c>
      <c r="E48" s="105"/>
      <c r="G48" s="78">
        <f t="shared" si="1"/>
        <v>0</v>
      </c>
      <c r="H48" s="106"/>
      <c r="I48" s="106"/>
      <c r="J48" s="106"/>
    </row>
    <row r="49" spans="1:10" x14ac:dyDescent="0.25">
      <c r="A49" s="102"/>
      <c r="B49" s="103"/>
      <c r="C49" s="104">
        <v>0</v>
      </c>
      <c r="D49" s="243">
        <f t="shared" si="0"/>
        <v>0</v>
      </c>
      <c r="E49" s="105"/>
      <c r="G49" s="78">
        <f t="shared" si="1"/>
        <v>0</v>
      </c>
      <c r="H49" s="106"/>
      <c r="I49" s="106"/>
      <c r="J49" s="106"/>
    </row>
    <row r="50" spans="1:10" x14ac:dyDescent="0.25">
      <c r="A50" s="102"/>
      <c r="B50" s="103"/>
      <c r="C50" s="104">
        <v>0</v>
      </c>
      <c r="D50" s="243">
        <f t="shared" si="0"/>
        <v>0</v>
      </c>
      <c r="E50" s="105"/>
      <c r="G50" s="78">
        <f t="shared" si="1"/>
        <v>0</v>
      </c>
      <c r="H50" s="106"/>
      <c r="I50" s="106"/>
      <c r="J50" s="106"/>
    </row>
    <row r="51" spans="1:10" x14ac:dyDescent="0.25">
      <c r="A51" s="102"/>
      <c r="B51" s="103"/>
      <c r="C51" s="104">
        <v>0</v>
      </c>
      <c r="D51" s="243">
        <f t="shared" si="0"/>
        <v>0</v>
      </c>
      <c r="E51" s="105"/>
      <c r="G51" s="78">
        <f t="shared" si="1"/>
        <v>0</v>
      </c>
      <c r="H51" s="106"/>
      <c r="I51" s="106"/>
      <c r="J51" s="106"/>
    </row>
    <row r="52" spans="1:10" x14ac:dyDescent="0.25">
      <c r="A52" s="102"/>
      <c r="B52" s="103"/>
      <c r="C52" s="104">
        <v>0</v>
      </c>
      <c r="D52" s="243">
        <f t="shared" si="0"/>
        <v>0</v>
      </c>
      <c r="E52" s="105"/>
      <c r="G52" s="78">
        <f t="shared" si="1"/>
        <v>0</v>
      </c>
      <c r="H52" s="106"/>
      <c r="I52" s="106"/>
      <c r="J52" s="106"/>
    </row>
    <row r="53" spans="1:10" x14ac:dyDescent="0.25">
      <c r="A53" s="102"/>
      <c r="B53" s="103"/>
      <c r="C53" s="104">
        <v>0</v>
      </c>
      <c r="D53" s="243">
        <f t="shared" ref="D53:D69" si="2">IF(G53&gt;0,HLOOKUP(B53,$B$3:$K$13,3+G53,TRUE)*C53/100,0)</f>
        <v>0</v>
      </c>
      <c r="E53" s="105"/>
      <c r="G53" s="78">
        <f t="shared" si="1"/>
        <v>0</v>
      </c>
      <c r="H53" s="106"/>
      <c r="I53" s="106"/>
      <c r="J53" s="106"/>
    </row>
    <row r="54" spans="1:10" x14ac:dyDescent="0.25">
      <c r="A54" s="102"/>
      <c r="B54" s="103"/>
      <c r="C54" s="104">
        <v>0</v>
      </c>
      <c r="D54" s="243">
        <f t="shared" si="2"/>
        <v>0</v>
      </c>
      <c r="E54" s="105"/>
      <c r="G54" s="78">
        <f t="shared" si="1"/>
        <v>0</v>
      </c>
      <c r="H54" s="106"/>
      <c r="I54" s="106"/>
      <c r="J54" s="106"/>
    </row>
    <row r="55" spans="1:10" x14ac:dyDescent="0.25">
      <c r="A55" s="102"/>
      <c r="B55" s="103"/>
      <c r="C55" s="104">
        <v>0</v>
      </c>
      <c r="D55" s="243">
        <f t="shared" si="2"/>
        <v>0</v>
      </c>
      <c r="E55" s="105"/>
      <c r="G55" s="78">
        <f t="shared" si="1"/>
        <v>0</v>
      </c>
      <c r="H55" s="106"/>
      <c r="I55" s="106"/>
      <c r="J55" s="106"/>
    </row>
    <row r="56" spans="1:10" x14ac:dyDescent="0.25">
      <c r="A56" s="102"/>
      <c r="B56" s="103"/>
      <c r="C56" s="104">
        <v>0</v>
      </c>
      <c r="D56" s="243">
        <f t="shared" si="2"/>
        <v>0</v>
      </c>
      <c r="E56" s="105"/>
      <c r="G56" s="78">
        <f t="shared" si="1"/>
        <v>0</v>
      </c>
      <c r="H56" s="106"/>
      <c r="I56" s="106"/>
      <c r="J56" s="106"/>
    </row>
    <row r="57" spans="1:10" x14ac:dyDescent="0.25">
      <c r="A57" s="102"/>
      <c r="B57" s="103"/>
      <c r="C57" s="104">
        <v>0</v>
      </c>
      <c r="D57" s="243">
        <f t="shared" si="2"/>
        <v>0</v>
      </c>
      <c r="E57" s="105"/>
      <c r="G57" s="78">
        <f t="shared" si="1"/>
        <v>0</v>
      </c>
      <c r="H57" s="106"/>
      <c r="I57" s="106"/>
      <c r="J57" s="106"/>
    </row>
    <row r="58" spans="1:10" x14ac:dyDescent="0.25">
      <c r="A58" s="102"/>
      <c r="B58" s="103"/>
      <c r="C58" s="104">
        <v>0</v>
      </c>
      <c r="D58" s="243">
        <f t="shared" si="2"/>
        <v>0</v>
      </c>
      <c r="E58" s="105"/>
      <c r="G58" s="78">
        <f t="shared" si="1"/>
        <v>0</v>
      </c>
      <c r="H58" s="106"/>
      <c r="I58" s="106"/>
      <c r="J58" s="106"/>
    </row>
    <row r="59" spans="1:10" x14ac:dyDescent="0.25">
      <c r="A59" s="102"/>
      <c r="B59" s="103"/>
      <c r="C59" s="104">
        <v>0</v>
      </c>
      <c r="D59" s="243">
        <f t="shared" si="2"/>
        <v>0</v>
      </c>
      <c r="E59" s="105"/>
      <c r="G59" s="78">
        <f t="shared" si="1"/>
        <v>0</v>
      </c>
      <c r="H59" s="106"/>
      <c r="I59" s="106"/>
      <c r="J59" s="106"/>
    </row>
    <row r="60" spans="1:10" x14ac:dyDescent="0.25">
      <c r="A60" s="102"/>
      <c r="B60" s="103"/>
      <c r="C60" s="104">
        <v>0</v>
      </c>
      <c r="D60" s="243">
        <f t="shared" si="2"/>
        <v>0</v>
      </c>
      <c r="E60" s="105"/>
      <c r="G60" s="78">
        <f t="shared" si="1"/>
        <v>0</v>
      </c>
      <c r="H60" s="106"/>
      <c r="I60" s="106"/>
      <c r="J60" s="106"/>
    </row>
    <row r="61" spans="1:10" x14ac:dyDescent="0.25">
      <c r="A61" s="102"/>
      <c r="B61" s="103"/>
      <c r="C61" s="104">
        <v>0</v>
      </c>
      <c r="D61" s="243">
        <f t="shared" si="2"/>
        <v>0</v>
      </c>
      <c r="E61" s="105"/>
      <c r="G61" s="78">
        <f t="shared" si="1"/>
        <v>0</v>
      </c>
      <c r="H61" s="106"/>
      <c r="I61" s="106"/>
      <c r="J61" s="106"/>
    </row>
    <row r="62" spans="1:10" x14ac:dyDescent="0.25">
      <c r="A62" s="102"/>
      <c r="B62" s="103"/>
      <c r="C62" s="104">
        <v>0</v>
      </c>
      <c r="D62" s="243">
        <f t="shared" si="2"/>
        <v>0</v>
      </c>
      <c r="E62" s="105"/>
      <c r="G62" s="78">
        <f t="shared" si="1"/>
        <v>0</v>
      </c>
      <c r="H62" s="106"/>
      <c r="I62" s="106"/>
      <c r="J62" s="106"/>
    </row>
    <row r="63" spans="1:10" x14ac:dyDescent="0.25">
      <c r="A63" s="102"/>
      <c r="B63" s="103"/>
      <c r="C63" s="104">
        <v>0</v>
      </c>
      <c r="D63" s="243">
        <f t="shared" si="2"/>
        <v>0</v>
      </c>
      <c r="E63" s="105"/>
      <c r="G63" s="78">
        <f t="shared" si="1"/>
        <v>0</v>
      </c>
      <c r="H63" s="106"/>
      <c r="I63" s="106"/>
      <c r="J63" s="106"/>
    </row>
    <row r="64" spans="1:10" x14ac:dyDescent="0.25">
      <c r="A64" s="102"/>
      <c r="B64" s="103"/>
      <c r="C64" s="104">
        <v>0</v>
      </c>
      <c r="D64" s="243">
        <f t="shared" si="2"/>
        <v>0</v>
      </c>
      <c r="E64" s="105"/>
      <c r="G64" s="78">
        <f t="shared" si="1"/>
        <v>0</v>
      </c>
    </row>
    <row r="65" spans="1:14" x14ac:dyDescent="0.25">
      <c r="A65" s="102"/>
      <c r="B65" s="103"/>
      <c r="C65" s="104">
        <v>0</v>
      </c>
      <c r="D65" s="243">
        <f t="shared" si="2"/>
        <v>0</v>
      </c>
      <c r="E65" s="105"/>
      <c r="G65" s="78">
        <f t="shared" si="1"/>
        <v>0</v>
      </c>
    </row>
    <row r="66" spans="1:14" x14ac:dyDescent="0.25">
      <c r="A66" s="102"/>
      <c r="B66" s="103"/>
      <c r="C66" s="104">
        <v>0</v>
      </c>
      <c r="D66" s="243">
        <f t="shared" si="2"/>
        <v>0</v>
      </c>
      <c r="E66" s="105"/>
      <c r="G66" s="78">
        <f t="shared" si="1"/>
        <v>0</v>
      </c>
    </row>
    <row r="67" spans="1:14" x14ac:dyDescent="0.25">
      <c r="A67" s="102"/>
      <c r="B67" s="103"/>
      <c r="C67" s="104">
        <v>0</v>
      </c>
      <c r="D67" s="243">
        <f t="shared" si="2"/>
        <v>0</v>
      </c>
      <c r="E67" s="105"/>
      <c r="G67" s="78">
        <f t="shared" si="1"/>
        <v>0</v>
      </c>
    </row>
    <row r="68" spans="1:14" x14ac:dyDescent="0.25">
      <c r="A68" s="102"/>
      <c r="B68" s="103"/>
      <c r="C68" s="104">
        <v>0</v>
      </c>
      <c r="D68" s="243">
        <f t="shared" si="2"/>
        <v>0</v>
      </c>
      <c r="E68" s="105"/>
      <c r="G68" s="78">
        <f t="shared" si="1"/>
        <v>0</v>
      </c>
    </row>
    <row r="69" spans="1:14" x14ac:dyDescent="0.25">
      <c r="A69" s="102"/>
      <c r="B69" s="103"/>
      <c r="C69" s="104">
        <v>0</v>
      </c>
      <c r="D69" s="243">
        <f t="shared" si="2"/>
        <v>0</v>
      </c>
      <c r="E69" s="105"/>
      <c r="G69" s="78">
        <f t="shared" si="1"/>
        <v>0</v>
      </c>
    </row>
    <row r="70" spans="1:14" x14ac:dyDescent="0.25"/>
    <row r="71" spans="1:14" ht="18" customHeight="1" x14ac:dyDescent="0.25">
      <c r="A71" s="345" t="s">
        <v>194</v>
      </c>
      <c r="B71" s="346"/>
      <c r="C71" s="347"/>
      <c r="D71" s="108">
        <f>SUM(D21:D69)</f>
        <v>0</v>
      </c>
      <c r="E71" s="93"/>
    </row>
    <row r="72" spans="1:14" x14ac:dyDescent="0.25">
      <c r="A72" s="330" t="str">
        <f>Copyright</f>
        <v>© 1997-2018, Nithyanand Yeswanth (taxcalc@ynithya.com)</v>
      </c>
      <c r="B72" s="344"/>
      <c r="C72" s="344"/>
      <c r="D72" s="344"/>
      <c r="E72" s="109"/>
      <c r="F72" s="110"/>
      <c r="G72" s="110"/>
      <c r="H72" s="110"/>
      <c r="I72" s="110"/>
      <c r="J72" s="110"/>
      <c r="K72" s="110"/>
      <c r="L72" s="110"/>
      <c r="M72" s="110"/>
      <c r="N72" s="111"/>
    </row>
    <row r="73" spans="1:14" x14ac:dyDescent="0.25">
      <c r="B73" s="91"/>
      <c r="C73" s="92"/>
      <c r="D73" s="93"/>
      <c r="E73" s="93"/>
    </row>
    <row r="74" spans="1:14" x14ac:dyDescent="0.25">
      <c r="A74" s="72" t="s">
        <v>179</v>
      </c>
    </row>
    <row r="75" spans="1:14" x14ac:dyDescent="0.25">
      <c r="A75" s="160" t="str">
        <f>CONCATENATE("1. Enter details of all NSCs purchased between 1-Apr-",YEAR(D14)," and 31-Mar-",YEAR(F14))</f>
        <v>1. Enter details of all NSCs purchased between 1-Apr-2013 and 31-Mar-2017</v>
      </c>
      <c r="B75" s="112"/>
      <c r="C75" s="113"/>
      <c r="F75" s="114"/>
    </row>
    <row r="76" spans="1:14" x14ac:dyDescent="0.25">
      <c r="A76" s="73" t="s">
        <v>195</v>
      </c>
      <c r="B76" s="112"/>
      <c r="C76" s="113"/>
      <c r="F76" s="114"/>
    </row>
    <row r="77" spans="1:14" x14ac:dyDescent="0.25">
      <c r="A77" s="73" t="s">
        <v>196</v>
      </c>
      <c r="B77" s="112"/>
      <c r="C77" s="113"/>
      <c r="F77" s="114"/>
    </row>
    <row r="78" spans="1:14" x14ac:dyDescent="0.25">
      <c r="A78" s="73"/>
      <c r="B78" s="112"/>
      <c r="C78" s="113"/>
      <c r="F78" s="114"/>
    </row>
    <row r="79" spans="1:14" hidden="1" x14ac:dyDescent="0.25">
      <c r="A79" s="73"/>
      <c r="B79" s="112"/>
      <c r="C79" s="113"/>
      <c r="F79" s="114"/>
    </row>
    <row r="80" spans="1:14" hidden="1" x14ac:dyDescent="0.25">
      <c r="A80" s="73"/>
      <c r="B80" s="112"/>
      <c r="C80" s="113"/>
      <c r="F80" s="114"/>
    </row>
    <row r="81" spans="1:6" hidden="1" x14ac:dyDescent="0.25">
      <c r="A81" s="73"/>
      <c r="B81" s="112"/>
      <c r="C81" s="113"/>
      <c r="F81" s="114"/>
    </row>
    <row r="82" spans="1:6" hidden="1" x14ac:dyDescent="0.25">
      <c r="A82" s="73"/>
      <c r="B82" s="112"/>
      <c r="C82" s="113"/>
      <c r="F82" s="114"/>
    </row>
    <row r="83" spans="1:6" hidden="1" x14ac:dyDescent="0.25">
      <c r="A83" s="73"/>
      <c r="B83" s="112"/>
      <c r="C83" s="113"/>
      <c r="F83" s="114"/>
    </row>
    <row r="84" spans="1:6" hidden="1" x14ac:dyDescent="0.25">
      <c r="A84" s="73"/>
      <c r="B84" s="112"/>
      <c r="C84" s="113"/>
      <c r="F84" s="114"/>
    </row>
    <row r="85" spans="1:6" hidden="1" x14ac:dyDescent="0.25">
      <c r="A85" s="73"/>
      <c r="B85" s="112"/>
      <c r="C85" s="113"/>
      <c r="F85" s="114"/>
    </row>
    <row r="86" spans="1:6" hidden="1" x14ac:dyDescent="0.25">
      <c r="A86" s="73"/>
      <c r="B86" s="112"/>
      <c r="C86" s="113"/>
      <c r="F86" s="114"/>
    </row>
    <row r="87" spans="1:6" hidden="1" x14ac:dyDescent="0.25">
      <c r="A87" s="73"/>
      <c r="B87" s="112"/>
      <c r="C87" s="113"/>
      <c r="F87" s="114"/>
    </row>
    <row r="88" spans="1:6" hidden="1" x14ac:dyDescent="0.25">
      <c r="A88" s="115"/>
      <c r="B88" s="112"/>
      <c r="C88" s="113"/>
      <c r="F88" s="114"/>
    </row>
    <row r="89" spans="1:6" hidden="1" x14ac:dyDescent="0.25">
      <c r="A89" s="115"/>
      <c r="B89" s="112"/>
      <c r="C89" s="113"/>
      <c r="F89" s="114"/>
    </row>
    <row r="90" spans="1:6" hidden="1" x14ac:dyDescent="0.25">
      <c r="A90" s="115"/>
      <c r="B90" s="112"/>
      <c r="C90" s="113"/>
      <c r="F90" s="114"/>
    </row>
    <row r="91" spans="1:6" hidden="1" x14ac:dyDescent="0.25">
      <c r="A91" s="115"/>
      <c r="B91" s="112"/>
      <c r="C91" s="113"/>
      <c r="F91" s="114"/>
    </row>
    <row r="92" spans="1:6" hidden="1" x14ac:dyDescent="0.25">
      <c r="A92" s="115"/>
      <c r="B92" s="112"/>
    </row>
    <row r="93" spans="1:6" hidden="1" x14ac:dyDescent="0.25">
      <c r="A93" s="115"/>
      <c r="B93" s="112"/>
    </row>
    <row r="94" spans="1:6" hidden="1" x14ac:dyDescent="0.25">
      <c r="A94" s="115"/>
      <c r="B94" s="112"/>
    </row>
    <row r="95" spans="1:6" hidden="1" x14ac:dyDescent="0.25">
      <c r="A95" s="115"/>
      <c r="B95" s="112"/>
    </row>
    <row r="96" spans="1:6" hidden="1" x14ac:dyDescent="0.25">
      <c r="A96" s="115"/>
      <c r="B96" s="112"/>
    </row>
    <row r="97" spans="1:2" hidden="1" x14ac:dyDescent="0.25">
      <c r="A97" s="115"/>
      <c r="B97" s="112"/>
    </row>
    <row r="98" spans="1:2" hidden="1" x14ac:dyDescent="0.25">
      <c r="A98" s="115"/>
      <c r="B98" s="112"/>
    </row>
    <row r="99" spans="1:2" hidden="1" x14ac:dyDescent="0.25">
      <c r="A99" s="115"/>
      <c r="B99" s="112"/>
    </row>
    <row r="100" spans="1:2" hidden="1" x14ac:dyDescent="0.25">
      <c r="A100" s="115"/>
      <c r="B100" s="112"/>
    </row>
    <row r="101" spans="1:2" hidden="1" x14ac:dyDescent="0.25">
      <c r="A101" s="115"/>
      <c r="B101" s="112"/>
    </row>
    <row r="102" spans="1:2" hidden="1" x14ac:dyDescent="0.25">
      <c r="A102" s="112"/>
      <c r="B102" s="112"/>
    </row>
    <row r="103" spans="1:2" hidden="1" x14ac:dyDescent="0.25">
      <c r="A103" s="112"/>
      <c r="B103" s="112"/>
    </row>
    <row r="104" spans="1:2" hidden="1" x14ac:dyDescent="0.25">
      <c r="A104" s="112"/>
      <c r="B104" s="112"/>
    </row>
  </sheetData>
  <sheetProtection algorithmName="SHA-512" hashValue="dlHk8hBQhCShtRztCA+Ro/x9pRyqA9/fFgWLP1+VZmoI6hmjp99pVGJehtDJPrW7QE64e6gC/cXQ9qnoLjrafQ==" saltValue="ErtJMP2HCqs9HKF59GaunA==" spinCount="100000" sheet="1" scenarios="1"/>
  <mergeCells count="4">
    <mergeCell ref="A18:D18"/>
    <mergeCell ref="A17:D17"/>
    <mergeCell ref="A72:D72"/>
    <mergeCell ref="A71:C71"/>
  </mergeCells>
  <phoneticPr fontId="11" type="noConversion"/>
  <conditionalFormatting sqref="A17:P17">
    <cfRule type="cellIs" dxfId="7" priority="1" stopIfTrue="1" operator="equal">
      <formula>"PLEASE ENTER YOUR NAME HERE"</formula>
    </cfRule>
  </conditionalFormatting>
  <dataValidations count="3">
    <dataValidation allowBlank="1" showErrorMessage="1" errorTitle="Invalid Input!" error="Please enter a positive number for loan amount!" sqref="A21:A69 D21:E69"/>
    <dataValidation type="whole" allowBlank="1" showErrorMessage="1" errorTitle="Invalid Input!" error="Please enter a positive number for investment amount!" sqref="C21:C69">
      <formula1>0</formula1>
      <formula2>9999999</formula2>
    </dataValidation>
    <dataValidation type="date" allowBlank="1" showInputMessage="1" showErrorMessage="1" errorTitle="Invalid Date!" error="Only NSCs purchased in the previous 6 financial years (excluding current) accrue interest" sqref="B21:B69">
      <formula1>$D$14</formula1>
      <formula2>$F$14</formula2>
    </dataValidation>
  </dataValidations>
  <printOptions horizontalCentered="1"/>
  <pageMargins left="0.75" right="0.75" top="0.75" bottom="0.75" header="0.5" footer="0.5"/>
  <pageSetup paperSize="9" orientation="portrait" r:id="rId1"/>
  <headerFooter alignWithMargins="0">
    <oddHeader>&amp;L&amp;"Verdana,Bold"&amp;D&amp;C&amp;"Verdana,Bold"Accrued Interest for NSC&amp;R&amp;"Verdana,Bold"Page &amp;P of &amp;N</oddHeader>
    <oddFooter>&amp;L&amp;"Tahoma,Regular"Free Download from http://taxcalc.ynithya.com/&amp;C&amp;"Tahoma,Regular"(Version 20.0)&amp;R&amp;"Tahoma,Regular"© 1997-2018, Nithyanand Yeswanth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fitToPage="1"/>
  </sheetPr>
  <dimension ref="A1:Q161"/>
  <sheetViews>
    <sheetView showGridLines="0" zoomScaleNormal="100" workbookViewId="0">
      <pane ySplit="6" topLeftCell="A7" activePane="bottomLeft" state="frozen"/>
      <selection pane="bottomLeft" activeCell="F8" sqref="F8"/>
    </sheetView>
  </sheetViews>
  <sheetFormatPr defaultColWidth="0" defaultRowHeight="12.75" zeroHeight="1" x14ac:dyDescent="0.25"/>
  <cols>
    <col min="1" max="1" width="30.83203125" style="78" customWidth="1"/>
    <col min="2" max="2" width="8.83203125" style="78" customWidth="1"/>
    <col min="3" max="4" width="10.83203125" style="78" customWidth="1"/>
    <col min="5" max="5" width="12.83203125" style="78" customWidth="1"/>
    <col min="6" max="7" width="10.83203125" style="78" customWidth="1"/>
    <col min="8" max="9" width="12.83203125" style="78" customWidth="1"/>
    <col min="10" max="10" width="6.83203125" style="112" customWidth="1"/>
    <col min="11" max="11" width="0.33203125" style="78" customWidth="1"/>
    <col min="12" max="13" width="10.83203125" style="78" hidden="1" customWidth="1"/>
    <col min="14" max="14" width="14" style="78" hidden="1" customWidth="1"/>
    <col min="15" max="16384" width="10.83203125" style="78" hidden="1"/>
  </cols>
  <sheetData>
    <row r="1" spans="1:17" s="34" customFormat="1" ht="30" customHeight="1" x14ac:dyDescent="0.25">
      <c r="A1" s="351" t="str">
        <f>Instructions!B7</f>
        <v>Atul Tegar</v>
      </c>
      <c r="B1" s="351"/>
      <c r="C1" s="351"/>
      <c r="D1" s="351"/>
      <c r="E1" s="351"/>
      <c r="F1" s="351"/>
      <c r="G1" s="351"/>
      <c r="H1" s="351"/>
      <c r="I1" s="351"/>
      <c r="J1" s="351"/>
    </row>
    <row r="2" spans="1:17" ht="18" customHeight="1" x14ac:dyDescent="0.25">
      <c r="A2" s="350" t="s">
        <v>373</v>
      </c>
      <c r="B2" s="350"/>
      <c r="C2" s="350"/>
      <c r="D2" s="350"/>
      <c r="E2" s="350"/>
      <c r="F2" s="350"/>
      <c r="G2" s="350"/>
      <c r="H2" s="350"/>
      <c r="I2" s="350"/>
      <c r="J2" s="350"/>
      <c r="P2" s="78" t="s">
        <v>234</v>
      </c>
      <c r="Q2" s="145">
        <v>0</v>
      </c>
    </row>
    <row r="3" spans="1:17" x14ac:dyDescent="0.25">
      <c r="A3" s="352" t="s">
        <v>291</v>
      </c>
      <c r="B3" s="353"/>
      <c r="C3" s="353"/>
      <c r="D3" s="353"/>
      <c r="E3" s="353"/>
      <c r="F3" s="353"/>
      <c r="G3" s="353"/>
      <c r="H3" s="353"/>
      <c r="I3" s="353"/>
      <c r="J3" s="353"/>
      <c r="P3" s="78" t="s">
        <v>233</v>
      </c>
      <c r="Q3" s="145">
        <v>0.15</v>
      </c>
    </row>
    <row r="4" spans="1:17" x14ac:dyDescent="0.25">
      <c r="B4" s="91"/>
      <c r="C4" s="91"/>
      <c r="D4" s="91"/>
      <c r="E4" s="91"/>
      <c r="F4" s="91"/>
      <c r="G4" s="91"/>
      <c r="H4" s="92"/>
      <c r="I4" s="93"/>
    </row>
    <row r="5" spans="1:17" ht="12.75" customHeight="1" x14ac:dyDescent="0.25">
      <c r="A5" s="359" t="s">
        <v>377</v>
      </c>
      <c r="B5" s="358" t="s">
        <v>285</v>
      </c>
      <c r="C5" s="357" t="s">
        <v>219</v>
      </c>
      <c r="D5" s="357"/>
      <c r="E5" s="357"/>
      <c r="F5" s="357" t="s">
        <v>220</v>
      </c>
      <c r="G5" s="357"/>
      <c r="H5" s="357"/>
      <c r="I5" s="358" t="s">
        <v>221</v>
      </c>
      <c r="J5" s="356" t="s">
        <v>224</v>
      </c>
      <c r="P5" s="78" t="s">
        <v>222</v>
      </c>
      <c r="Q5" s="82">
        <f>Perquisites!P5</f>
        <v>42826</v>
      </c>
    </row>
    <row r="6" spans="1:17" x14ac:dyDescent="0.25">
      <c r="A6" s="359"/>
      <c r="B6" s="358"/>
      <c r="C6" s="246" t="s">
        <v>217</v>
      </c>
      <c r="D6" s="246" t="s">
        <v>286</v>
      </c>
      <c r="E6" s="246" t="s">
        <v>218</v>
      </c>
      <c r="F6" s="246" t="s">
        <v>217</v>
      </c>
      <c r="G6" s="246" t="s">
        <v>286</v>
      </c>
      <c r="H6" s="246" t="s">
        <v>218</v>
      </c>
      <c r="I6" s="358"/>
      <c r="J6" s="357"/>
      <c r="L6" s="147" t="s">
        <v>238</v>
      </c>
      <c r="M6" s="147" t="s">
        <v>239</v>
      </c>
      <c r="N6" s="147" t="s">
        <v>243</v>
      </c>
      <c r="P6" s="78" t="s">
        <v>223</v>
      </c>
      <c r="Q6" s="82">
        <f>DATE(YEAR(Q5)+1,3,31)</f>
        <v>43190</v>
      </c>
    </row>
    <row r="7" spans="1:17" x14ac:dyDescent="0.25">
      <c r="A7" s="150" t="s">
        <v>455</v>
      </c>
      <c r="B7" s="151">
        <v>40</v>
      </c>
      <c r="C7" s="152">
        <v>246.4</v>
      </c>
      <c r="D7" s="152">
        <v>0</v>
      </c>
      <c r="E7" s="153">
        <v>43059</v>
      </c>
      <c r="F7" s="152">
        <v>254.5</v>
      </c>
      <c r="G7" s="152">
        <v>0</v>
      </c>
      <c r="H7" s="153">
        <v>43062</v>
      </c>
      <c r="I7" s="247">
        <f>B7*((F7-G7)-(C7+D7))</f>
        <v>324</v>
      </c>
      <c r="J7" s="248" t="str">
        <f t="shared" ref="J7:J22" si="0">IF(H7="","",IF(H7-E7&gt;365,"LT","ST"))</f>
        <v>ST</v>
      </c>
      <c r="L7" s="148">
        <f>IF(J7="LT",I7,0)</f>
        <v>0</v>
      </c>
      <c r="M7" s="148">
        <f>IF(J7="ST",I7,0)</f>
        <v>324</v>
      </c>
      <c r="N7" s="82">
        <f>MAX($Q$5,E7)</f>
        <v>43059</v>
      </c>
    </row>
    <row r="8" spans="1:17" x14ac:dyDescent="0.25">
      <c r="A8" s="150"/>
      <c r="B8" s="151"/>
      <c r="C8" s="152"/>
      <c r="D8" s="152"/>
      <c r="E8" s="153"/>
      <c r="F8" s="152"/>
      <c r="G8" s="152"/>
      <c r="H8" s="153"/>
      <c r="I8" s="247">
        <f t="shared" ref="I8:I91" si="1">B8*((F8-G8)-(C8+D8))</f>
        <v>0</v>
      </c>
      <c r="J8" s="248" t="str">
        <f t="shared" si="0"/>
        <v/>
      </c>
      <c r="L8" s="148">
        <f t="shared" ref="L8:L91" si="2">IF(J8="LT",I8,0)</f>
        <v>0</v>
      </c>
      <c r="M8" s="148">
        <f t="shared" ref="M8:M91" si="3">IF(J8="ST",I8,0)</f>
        <v>0</v>
      </c>
      <c r="N8" s="82">
        <f t="shared" ref="N8:N91" si="4">MAX($Q$5,E8)</f>
        <v>42826</v>
      </c>
    </row>
    <row r="9" spans="1:17" x14ac:dyDescent="0.25">
      <c r="A9" s="150"/>
      <c r="B9" s="151"/>
      <c r="C9" s="152"/>
      <c r="D9" s="152"/>
      <c r="E9" s="153"/>
      <c r="F9" s="152"/>
      <c r="G9" s="152"/>
      <c r="H9" s="153"/>
      <c r="I9" s="247">
        <f t="shared" si="1"/>
        <v>0</v>
      </c>
      <c r="J9" s="248" t="str">
        <f t="shared" si="0"/>
        <v/>
      </c>
      <c r="L9" s="148">
        <f t="shared" si="2"/>
        <v>0</v>
      </c>
      <c r="M9" s="148">
        <f t="shared" si="3"/>
        <v>0</v>
      </c>
      <c r="N9" s="82">
        <f t="shared" si="4"/>
        <v>42826</v>
      </c>
    </row>
    <row r="10" spans="1:17" x14ac:dyDescent="0.25">
      <c r="A10" s="150"/>
      <c r="B10" s="151"/>
      <c r="C10" s="152"/>
      <c r="D10" s="152"/>
      <c r="E10" s="153"/>
      <c r="F10" s="152"/>
      <c r="G10" s="152"/>
      <c r="H10" s="153"/>
      <c r="I10" s="247">
        <f t="shared" si="1"/>
        <v>0</v>
      </c>
      <c r="J10" s="248" t="str">
        <f t="shared" si="0"/>
        <v/>
      </c>
      <c r="L10" s="148">
        <f t="shared" si="2"/>
        <v>0</v>
      </c>
      <c r="M10" s="148">
        <f t="shared" si="3"/>
        <v>0</v>
      </c>
      <c r="N10" s="82">
        <f t="shared" si="4"/>
        <v>42826</v>
      </c>
    </row>
    <row r="11" spans="1:17" x14ac:dyDescent="0.25">
      <c r="A11" s="150"/>
      <c r="B11" s="151"/>
      <c r="C11" s="152"/>
      <c r="D11" s="152"/>
      <c r="E11" s="153"/>
      <c r="F11" s="152"/>
      <c r="G11" s="152"/>
      <c r="H11" s="153"/>
      <c r="I11" s="247">
        <f t="shared" si="1"/>
        <v>0</v>
      </c>
      <c r="J11" s="248" t="str">
        <f t="shared" si="0"/>
        <v/>
      </c>
      <c r="L11" s="148">
        <f t="shared" si="2"/>
        <v>0</v>
      </c>
      <c r="M11" s="148">
        <f t="shared" si="3"/>
        <v>0</v>
      </c>
      <c r="N11" s="82">
        <f t="shared" si="4"/>
        <v>42826</v>
      </c>
    </row>
    <row r="12" spans="1:17" x14ac:dyDescent="0.25">
      <c r="A12" s="150"/>
      <c r="B12" s="151"/>
      <c r="C12" s="152"/>
      <c r="D12" s="152"/>
      <c r="E12" s="153"/>
      <c r="F12" s="152"/>
      <c r="G12" s="152"/>
      <c r="H12" s="153"/>
      <c r="I12" s="247">
        <f t="shared" si="1"/>
        <v>0</v>
      </c>
      <c r="J12" s="248" t="str">
        <f t="shared" si="0"/>
        <v/>
      </c>
      <c r="L12" s="148">
        <f t="shared" si="2"/>
        <v>0</v>
      </c>
      <c r="M12" s="148">
        <f t="shared" si="3"/>
        <v>0</v>
      </c>
      <c r="N12" s="82">
        <f t="shared" si="4"/>
        <v>42826</v>
      </c>
    </row>
    <row r="13" spans="1:17" x14ac:dyDescent="0.25">
      <c r="A13" s="150"/>
      <c r="B13" s="151"/>
      <c r="C13" s="152"/>
      <c r="D13" s="152"/>
      <c r="E13" s="153"/>
      <c r="F13" s="152"/>
      <c r="G13" s="152"/>
      <c r="H13" s="153"/>
      <c r="I13" s="247">
        <f t="shared" si="1"/>
        <v>0</v>
      </c>
      <c r="J13" s="248" t="str">
        <f t="shared" si="0"/>
        <v/>
      </c>
      <c r="L13" s="148">
        <f t="shared" si="2"/>
        <v>0</v>
      </c>
      <c r="M13" s="148">
        <f t="shared" si="3"/>
        <v>0</v>
      </c>
      <c r="N13" s="82">
        <f t="shared" si="4"/>
        <v>42826</v>
      </c>
    </row>
    <row r="14" spans="1:17" x14ac:dyDescent="0.25">
      <c r="A14" s="150"/>
      <c r="B14" s="151"/>
      <c r="C14" s="152"/>
      <c r="D14" s="152"/>
      <c r="E14" s="153"/>
      <c r="F14" s="152"/>
      <c r="G14" s="152"/>
      <c r="H14" s="153"/>
      <c r="I14" s="247">
        <f t="shared" si="1"/>
        <v>0</v>
      </c>
      <c r="J14" s="248" t="str">
        <f t="shared" si="0"/>
        <v/>
      </c>
      <c r="L14" s="148">
        <f t="shared" si="2"/>
        <v>0</v>
      </c>
      <c r="M14" s="148">
        <f t="shared" si="3"/>
        <v>0</v>
      </c>
      <c r="N14" s="82">
        <f t="shared" si="4"/>
        <v>42826</v>
      </c>
    </row>
    <row r="15" spans="1:17" x14ac:dyDescent="0.25">
      <c r="A15" s="150"/>
      <c r="B15" s="151"/>
      <c r="C15" s="152"/>
      <c r="D15" s="152"/>
      <c r="E15" s="153"/>
      <c r="F15" s="152"/>
      <c r="G15" s="152"/>
      <c r="H15" s="153"/>
      <c r="I15" s="247">
        <f t="shared" si="1"/>
        <v>0</v>
      </c>
      <c r="J15" s="248" t="str">
        <f t="shared" si="0"/>
        <v/>
      </c>
      <c r="L15" s="148">
        <f t="shared" si="2"/>
        <v>0</v>
      </c>
      <c r="M15" s="148">
        <f t="shared" si="3"/>
        <v>0</v>
      </c>
      <c r="N15" s="82">
        <f t="shared" si="4"/>
        <v>42826</v>
      </c>
    </row>
    <row r="16" spans="1:17" x14ac:dyDescent="0.25">
      <c r="A16" s="150"/>
      <c r="B16" s="151"/>
      <c r="C16" s="152"/>
      <c r="D16" s="152"/>
      <c r="E16" s="153"/>
      <c r="F16" s="152"/>
      <c r="G16" s="152"/>
      <c r="H16" s="153"/>
      <c r="I16" s="247">
        <f t="shared" si="1"/>
        <v>0</v>
      </c>
      <c r="J16" s="248" t="str">
        <f t="shared" si="0"/>
        <v/>
      </c>
      <c r="L16" s="148">
        <f t="shared" si="2"/>
        <v>0</v>
      </c>
      <c r="M16" s="148">
        <f t="shared" si="3"/>
        <v>0</v>
      </c>
      <c r="N16" s="82">
        <f t="shared" si="4"/>
        <v>42826</v>
      </c>
    </row>
    <row r="17" spans="1:14" x14ac:dyDescent="0.25">
      <c r="A17" s="150"/>
      <c r="B17" s="151"/>
      <c r="C17" s="152"/>
      <c r="D17" s="152"/>
      <c r="E17" s="153"/>
      <c r="F17" s="152"/>
      <c r="G17" s="152"/>
      <c r="H17" s="153"/>
      <c r="I17" s="247">
        <f t="shared" si="1"/>
        <v>0</v>
      </c>
      <c r="J17" s="248" t="str">
        <f t="shared" si="0"/>
        <v/>
      </c>
      <c r="L17" s="148">
        <f t="shared" si="2"/>
        <v>0</v>
      </c>
      <c r="M17" s="148">
        <f t="shared" si="3"/>
        <v>0</v>
      </c>
      <c r="N17" s="82">
        <f t="shared" si="4"/>
        <v>42826</v>
      </c>
    </row>
    <row r="18" spans="1:14" x14ac:dyDescent="0.25">
      <c r="A18" s="150"/>
      <c r="B18" s="151"/>
      <c r="C18" s="152"/>
      <c r="D18" s="152"/>
      <c r="E18" s="153"/>
      <c r="F18" s="152"/>
      <c r="G18" s="152"/>
      <c r="H18" s="153"/>
      <c r="I18" s="247">
        <f t="shared" si="1"/>
        <v>0</v>
      </c>
      <c r="J18" s="248" t="str">
        <f t="shared" si="0"/>
        <v/>
      </c>
      <c r="L18" s="148">
        <f t="shared" si="2"/>
        <v>0</v>
      </c>
      <c r="M18" s="148">
        <f t="shared" si="3"/>
        <v>0</v>
      </c>
      <c r="N18" s="82">
        <f t="shared" si="4"/>
        <v>42826</v>
      </c>
    </row>
    <row r="19" spans="1:14" x14ac:dyDescent="0.25">
      <c r="A19" s="150"/>
      <c r="B19" s="151"/>
      <c r="C19" s="152"/>
      <c r="D19" s="152"/>
      <c r="E19" s="153"/>
      <c r="F19" s="152"/>
      <c r="G19" s="152"/>
      <c r="H19" s="153"/>
      <c r="I19" s="247">
        <f t="shared" si="1"/>
        <v>0</v>
      </c>
      <c r="J19" s="248" t="str">
        <f t="shared" si="0"/>
        <v/>
      </c>
      <c r="L19" s="148">
        <f t="shared" si="2"/>
        <v>0</v>
      </c>
      <c r="M19" s="148">
        <f t="shared" si="3"/>
        <v>0</v>
      </c>
      <c r="N19" s="82">
        <f t="shared" si="4"/>
        <v>42826</v>
      </c>
    </row>
    <row r="20" spans="1:14" x14ac:dyDescent="0.25">
      <c r="A20" s="150"/>
      <c r="B20" s="151"/>
      <c r="C20" s="152"/>
      <c r="D20" s="152"/>
      <c r="E20" s="153"/>
      <c r="F20" s="152"/>
      <c r="G20" s="152"/>
      <c r="H20" s="153"/>
      <c r="I20" s="247">
        <f t="shared" si="1"/>
        <v>0</v>
      </c>
      <c r="J20" s="248" t="str">
        <f t="shared" si="0"/>
        <v/>
      </c>
      <c r="L20" s="148">
        <f t="shared" si="2"/>
        <v>0</v>
      </c>
      <c r="M20" s="148">
        <f t="shared" si="3"/>
        <v>0</v>
      </c>
      <c r="N20" s="82">
        <f t="shared" si="4"/>
        <v>42826</v>
      </c>
    </row>
    <row r="21" spans="1:14" x14ac:dyDescent="0.25">
      <c r="A21" s="150"/>
      <c r="B21" s="151"/>
      <c r="C21" s="152"/>
      <c r="D21" s="152"/>
      <c r="E21" s="153"/>
      <c r="F21" s="152"/>
      <c r="G21" s="152"/>
      <c r="H21" s="153"/>
      <c r="I21" s="247">
        <f t="shared" si="1"/>
        <v>0</v>
      </c>
      <c r="J21" s="248" t="str">
        <f t="shared" si="0"/>
        <v/>
      </c>
      <c r="L21" s="148">
        <f t="shared" si="2"/>
        <v>0</v>
      </c>
      <c r="M21" s="148">
        <f t="shared" si="3"/>
        <v>0</v>
      </c>
      <c r="N21" s="82">
        <f t="shared" si="4"/>
        <v>42826</v>
      </c>
    </row>
    <row r="22" spans="1:14" x14ac:dyDescent="0.25">
      <c r="A22" s="150"/>
      <c r="B22" s="151"/>
      <c r="C22" s="152"/>
      <c r="D22" s="152"/>
      <c r="E22" s="153"/>
      <c r="F22" s="152"/>
      <c r="G22" s="152"/>
      <c r="H22" s="153"/>
      <c r="I22" s="247">
        <f t="shared" si="1"/>
        <v>0</v>
      </c>
      <c r="J22" s="248" t="str">
        <f t="shared" si="0"/>
        <v/>
      </c>
      <c r="L22" s="148">
        <f t="shared" si="2"/>
        <v>0</v>
      </c>
      <c r="M22" s="148">
        <f t="shared" si="3"/>
        <v>0</v>
      </c>
      <c r="N22" s="82">
        <f t="shared" si="4"/>
        <v>42826</v>
      </c>
    </row>
    <row r="23" spans="1:14" x14ac:dyDescent="0.25">
      <c r="A23" s="150"/>
      <c r="B23" s="151"/>
      <c r="C23" s="152"/>
      <c r="D23" s="152"/>
      <c r="E23" s="153"/>
      <c r="F23" s="152"/>
      <c r="G23" s="152"/>
      <c r="H23" s="153"/>
      <c r="I23" s="247">
        <f t="shared" si="1"/>
        <v>0</v>
      </c>
      <c r="J23" s="248" t="str">
        <f t="shared" ref="J23:J29" si="5">IF(H23="","",IF(H23-E23&gt;365,"LT","ST"))</f>
        <v/>
      </c>
      <c r="L23" s="148">
        <f t="shared" si="2"/>
        <v>0</v>
      </c>
      <c r="M23" s="148">
        <f t="shared" si="3"/>
        <v>0</v>
      </c>
      <c r="N23" s="82">
        <f t="shared" si="4"/>
        <v>42826</v>
      </c>
    </row>
    <row r="24" spans="1:14" x14ac:dyDescent="0.25">
      <c r="A24" s="150"/>
      <c r="B24" s="151"/>
      <c r="C24" s="152"/>
      <c r="D24" s="152"/>
      <c r="E24" s="153"/>
      <c r="F24" s="152"/>
      <c r="G24" s="152"/>
      <c r="H24" s="153"/>
      <c r="I24" s="247">
        <f t="shared" si="1"/>
        <v>0</v>
      </c>
      <c r="J24" s="248" t="str">
        <f t="shared" si="5"/>
        <v/>
      </c>
      <c r="L24" s="148">
        <f t="shared" si="2"/>
        <v>0</v>
      </c>
      <c r="M24" s="148">
        <f t="shared" si="3"/>
        <v>0</v>
      </c>
      <c r="N24" s="82">
        <f t="shared" si="4"/>
        <v>42826</v>
      </c>
    </row>
    <row r="25" spans="1:14" x14ac:dyDescent="0.25">
      <c r="A25" s="150"/>
      <c r="B25" s="151"/>
      <c r="C25" s="152"/>
      <c r="D25" s="152"/>
      <c r="E25" s="153"/>
      <c r="F25" s="152"/>
      <c r="G25" s="152"/>
      <c r="H25" s="153"/>
      <c r="I25" s="247">
        <f t="shared" si="1"/>
        <v>0</v>
      </c>
      <c r="J25" s="248" t="str">
        <f t="shared" si="5"/>
        <v/>
      </c>
      <c r="L25" s="148">
        <f t="shared" si="2"/>
        <v>0</v>
      </c>
      <c r="M25" s="148">
        <f t="shared" si="3"/>
        <v>0</v>
      </c>
      <c r="N25" s="82">
        <f t="shared" si="4"/>
        <v>42826</v>
      </c>
    </row>
    <row r="26" spans="1:14" x14ac:dyDescent="0.25">
      <c r="A26" s="150"/>
      <c r="B26" s="151"/>
      <c r="C26" s="152"/>
      <c r="D26" s="152"/>
      <c r="E26" s="153"/>
      <c r="F26" s="152"/>
      <c r="G26" s="152"/>
      <c r="H26" s="153"/>
      <c r="I26" s="247">
        <f t="shared" si="1"/>
        <v>0</v>
      </c>
      <c r="J26" s="248" t="str">
        <f t="shared" si="5"/>
        <v/>
      </c>
      <c r="L26" s="148">
        <f t="shared" si="2"/>
        <v>0</v>
      </c>
      <c r="M26" s="148">
        <f t="shared" si="3"/>
        <v>0</v>
      </c>
      <c r="N26" s="82">
        <f t="shared" si="4"/>
        <v>42826</v>
      </c>
    </row>
    <row r="27" spans="1:14" x14ac:dyDescent="0.25">
      <c r="A27" s="150"/>
      <c r="B27" s="151"/>
      <c r="C27" s="152"/>
      <c r="D27" s="152"/>
      <c r="E27" s="153"/>
      <c r="F27" s="152"/>
      <c r="G27" s="152"/>
      <c r="H27" s="153"/>
      <c r="I27" s="247">
        <f t="shared" si="1"/>
        <v>0</v>
      </c>
      <c r="J27" s="248" t="str">
        <f t="shared" si="5"/>
        <v/>
      </c>
      <c r="L27" s="148">
        <f t="shared" si="2"/>
        <v>0</v>
      </c>
      <c r="M27" s="148">
        <f t="shared" si="3"/>
        <v>0</v>
      </c>
      <c r="N27" s="82">
        <f t="shared" si="4"/>
        <v>42826</v>
      </c>
    </row>
    <row r="28" spans="1:14" x14ac:dyDescent="0.25">
      <c r="A28" s="150"/>
      <c r="B28" s="151"/>
      <c r="C28" s="152"/>
      <c r="D28" s="152"/>
      <c r="E28" s="153"/>
      <c r="F28" s="152"/>
      <c r="G28" s="152"/>
      <c r="H28" s="153"/>
      <c r="I28" s="247">
        <f t="shared" si="1"/>
        <v>0</v>
      </c>
      <c r="J28" s="248" t="str">
        <f t="shared" si="5"/>
        <v/>
      </c>
      <c r="L28" s="148">
        <f t="shared" si="2"/>
        <v>0</v>
      </c>
      <c r="M28" s="148">
        <f t="shared" si="3"/>
        <v>0</v>
      </c>
      <c r="N28" s="82">
        <f t="shared" si="4"/>
        <v>42826</v>
      </c>
    </row>
    <row r="29" spans="1:14" x14ac:dyDescent="0.25">
      <c r="A29" s="150"/>
      <c r="B29" s="151"/>
      <c r="C29" s="152"/>
      <c r="D29" s="152"/>
      <c r="E29" s="153"/>
      <c r="F29" s="152"/>
      <c r="G29" s="152"/>
      <c r="H29" s="153"/>
      <c r="I29" s="247">
        <f t="shared" si="1"/>
        <v>0</v>
      </c>
      <c r="J29" s="248" t="str">
        <f t="shared" si="5"/>
        <v/>
      </c>
      <c r="L29" s="148">
        <f t="shared" si="2"/>
        <v>0</v>
      </c>
      <c r="M29" s="148">
        <f t="shared" si="3"/>
        <v>0</v>
      </c>
      <c r="N29" s="82">
        <f t="shared" si="4"/>
        <v>42826</v>
      </c>
    </row>
    <row r="30" spans="1:14" x14ac:dyDescent="0.25">
      <c r="A30" s="150"/>
      <c r="B30" s="151"/>
      <c r="C30" s="152"/>
      <c r="D30" s="152"/>
      <c r="E30" s="153"/>
      <c r="F30" s="152"/>
      <c r="G30" s="152"/>
      <c r="H30" s="153"/>
      <c r="I30" s="247">
        <f t="shared" si="1"/>
        <v>0</v>
      </c>
      <c r="J30" s="248" t="str">
        <f t="shared" ref="J30:J35" si="6">IF(H30="","",IF(H30-E30&gt;365,"LT","ST"))</f>
        <v/>
      </c>
      <c r="L30" s="148">
        <f t="shared" si="2"/>
        <v>0</v>
      </c>
      <c r="M30" s="148">
        <f t="shared" si="3"/>
        <v>0</v>
      </c>
      <c r="N30" s="82">
        <f t="shared" si="4"/>
        <v>42826</v>
      </c>
    </row>
    <row r="31" spans="1:14" x14ac:dyDescent="0.25">
      <c r="A31" s="150"/>
      <c r="B31" s="151"/>
      <c r="C31" s="152"/>
      <c r="D31" s="152"/>
      <c r="E31" s="153"/>
      <c r="F31" s="152"/>
      <c r="G31" s="152"/>
      <c r="H31" s="153"/>
      <c r="I31" s="247">
        <f t="shared" si="1"/>
        <v>0</v>
      </c>
      <c r="J31" s="248" t="str">
        <f t="shared" si="6"/>
        <v/>
      </c>
      <c r="L31" s="148">
        <f t="shared" si="2"/>
        <v>0</v>
      </c>
      <c r="M31" s="148">
        <f t="shared" si="3"/>
        <v>0</v>
      </c>
      <c r="N31" s="82">
        <f t="shared" si="4"/>
        <v>42826</v>
      </c>
    </row>
    <row r="32" spans="1:14" x14ac:dyDescent="0.25">
      <c r="A32" s="150"/>
      <c r="B32" s="151"/>
      <c r="C32" s="152"/>
      <c r="D32" s="152"/>
      <c r="E32" s="153"/>
      <c r="F32" s="152"/>
      <c r="G32" s="152"/>
      <c r="H32" s="153"/>
      <c r="I32" s="247">
        <f t="shared" si="1"/>
        <v>0</v>
      </c>
      <c r="J32" s="248" t="str">
        <f t="shared" si="6"/>
        <v/>
      </c>
      <c r="L32" s="148">
        <f t="shared" si="2"/>
        <v>0</v>
      </c>
      <c r="M32" s="148">
        <f t="shared" si="3"/>
        <v>0</v>
      </c>
      <c r="N32" s="82">
        <f t="shared" si="4"/>
        <v>42826</v>
      </c>
    </row>
    <row r="33" spans="1:14" x14ac:dyDescent="0.25">
      <c r="A33" s="150"/>
      <c r="B33" s="151"/>
      <c r="C33" s="152"/>
      <c r="D33" s="152"/>
      <c r="E33" s="153"/>
      <c r="F33" s="152"/>
      <c r="G33" s="152"/>
      <c r="H33" s="153"/>
      <c r="I33" s="247">
        <f t="shared" si="1"/>
        <v>0</v>
      </c>
      <c r="J33" s="248" t="str">
        <f t="shared" si="6"/>
        <v/>
      </c>
      <c r="L33" s="148">
        <f t="shared" si="2"/>
        <v>0</v>
      </c>
      <c r="M33" s="148">
        <f t="shared" si="3"/>
        <v>0</v>
      </c>
      <c r="N33" s="82">
        <f t="shared" si="4"/>
        <v>42826</v>
      </c>
    </row>
    <row r="34" spans="1:14" x14ac:dyDescent="0.25">
      <c r="A34" s="150"/>
      <c r="B34" s="151"/>
      <c r="C34" s="152"/>
      <c r="D34" s="152"/>
      <c r="E34" s="153"/>
      <c r="F34" s="152"/>
      <c r="G34" s="152"/>
      <c r="H34" s="153"/>
      <c r="I34" s="247">
        <f t="shared" si="1"/>
        <v>0</v>
      </c>
      <c r="J34" s="248" t="str">
        <f t="shared" si="6"/>
        <v/>
      </c>
      <c r="L34" s="148">
        <f t="shared" si="2"/>
        <v>0</v>
      </c>
      <c r="M34" s="148">
        <f t="shared" si="3"/>
        <v>0</v>
      </c>
      <c r="N34" s="82">
        <f t="shared" si="4"/>
        <v>42826</v>
      </c>
    </row>
    <row r="35" spans="1:14" x14ac:dyDescent="0.25">
      <c r="A35" s="150"/>
      <c r="B35" s="151"/>
      <c r="C35" s="152"/>
      <c r="D35" s="152"/>
      <c r="E35" s="153"/>
      <c r="F35" s="152"/>
      <c r="G35" s="152"/>
      <c r="H35" s="153"/>
      <c r="I35" s="247">
        <f t="shared" si="1"/>
        <v>0</v>
      </c>
      <c r="J35" s="248" t="str">
        <f t="shared" si="6"/>
        <v/>
      </c>
      <c r="L35" s="148">
        <f t="shared" ref="L35:L62" si="7">IF(J35="LT",I35,0)</f>
        <v>0</v>
      </c>
      <c r="M35" s="148">
        <f t="shared" ref="M35:M62" si="8">IF(J35="ST",I35,0)</f>
        <v>0</v>
      </c>
      <c r="N35" s="82">
        <f t="shared" ref="N35:N62" si="9">MAX($Q$5,E35)</f>
        <v>42826</v>
      </c>
    </row>
    <row r="36" spans="1:14" x14ac:dyDescent="0.25">
      <c r="A36" s="150"/>
      <c r="B36" s="151"/>
      <c r="C36" s="152"/>
      <c r="D36" s="152"/>
      <c r="E36" s="153"/>
      <c r="F36" s="152"/>
      <c r="G36" s="152"/>
      <c r="H36" s="153"/>
      <c r="I36" s="247">
        <f t="shared" ref="I36:I63" si="10">B36*((F36-G36)-(C36+D36))</f>
        <v>0</v>
      </c>
      <c r="J36" s="248" t="str">
        <f t="shared" ref="J36:J63" si="11">IF(H36="","",IF(H36-E36&gt;365,"LT","ST"))</f>
        <v/>
      </c>
      <c r="L36" s="148">
        <f t="shared" si="7"/>
        <v>0</v>
      </c>
      <c r="M36" s="148">
        <f t="shared" si="8"/>
        <v>0</v>
      </c>
      <c r="N36" s="82">
        <f t="shared" si="9"/>
        <v>42826</v>
      </c>
    </row>
    <row r="37" spans="1:14" x14ac:dyDescent="0.25">
      <c r="A37" s="150"/>
      <c r="B37" s="151"/>
      <c r="C37" s="152"/>
      <c r="D37" s="152"/>
      <c r="E37" s="153"/>
      <c r="F37" s="152"/>
      <c r="G37" s="152"/>
      <c r="H37" s="153"/>
      <c r="I37" s="247">
        <f t="shared" si="10"/>
        <v>0</v>
      </c>
      <c r="J37" s="248" t="str">
        <f t="shared" si="11"/>
        <v/>
      </c>
      <c r="L37" s="148">
        <f t="shared" si="7"/>
        <v>0</v>
      </c>
      <c r="M37" s="148">
        <f t="shared" si="8"/>
        <v>0</v>
      </c>
      <c r="N37" s="82">
        <f t="shared" si="9"/>
        <v>42826</v>
      </c>
    </row>
    <row r="38" spans="1:14" x14ac:dyDescent="0.25">
      <c r="A38" s="150"/>
      <c r="B38" s="151"/>
      <c r="C38" s="152"/>
      <c r="D38" s="152"/>
      <c r="E38" s="153"/>
      <c r="F38" s="152"/>
      <c r="G38" s="152"/>
      <c r="H38" s="153"/>
      <c r="I38" s="247">
        <f t="shared" si="10"/>
        <v>0</v>
      </c>
      <c r="J38" s="248" t="str">
        <f t="shared" si="11"/>
        <v/>
      </c>
      <c r="L38" s="148">
        <f t="shared" si="7"/>
        <v>0</v>
      </c>
      <c r="M38" s="148">
        <f t="shared" si="8"/>
        <v>0</v>
      </c>
      <c r="N38" s="82">
        <f t="shared" si="9"/>
        <v>42826</v>
      </c>
    </row>
    <row r="39" spans="1:14" x14ac:dyDescent="0.25">
      <c r="A39" s="150"/>
      <c r="B39" s="151"/>
      <c r="C39" s="152"/>
      <c r="D39" s="152"/>
      <c r="E39" s="153"/>
      <c r="F39" s="152"/>
      <c r="G39" s="152"/>
      <c r="H39" s="153"/>
      <c r="I39" s="247">
        <f t="shared" si="10"/>
        <v>0</v>
      </c>
      <c r="J39" s="248" t="str">
        <f t="shared" si="11"/>
        <v/>
      </c>
      <c r="L39" s="148">
        <f t="shared" si="7"/>
        <v>0</v>
      </c>
      <c r="M39" s="148">
        <f t="shared" si="8"/>
        <v>0</v>
      </c>
      <c r="N39" s="82">
        <f t="shared" si="9"/>
        <v>42826</v>
      </c>
    </row>
    <row r="40" spans="1:14" x14ac:dyDescent="0.25">
      <c r="A40" s="150"/>
      <c r="B40" s="151"/>
      <c r="C40" s="152"/>
      <c r="D40" s="152"/>
      <c r="E40" s="153"/>
      <c r="F40" s="152"/>
      <c r="G40" s="152"/>
      <c r="H40" s="153"/>
      <c r="I40" s="247">
        <f t="shared" si="10"/>
        <v>0</v>
      </c>
      <c r="J40" s="248" t="str">
        <f t="shared" si="11"/>
        <v/>
      </c>
      <c r="L40" s="148">
        <f t="shared" si="7"/>
        <v>0</v>
      </c>
      <c r="M40" s="148">
        <f t="shared" si="8"/>
        <v>0</v>
      </c>
      <c r="N40" s="82">
        <f t="shared" si="9"/>
        <v>42826</v>
      </c>
    </row>
    <row r="41" spans="1:14" x14ac:dyDescent="0.25">
      <c r="A41" s="150"/>
      <c r="B41" s="151"/>
      <c r="C41" s="152"/>
      <c r="D41" s="152"/>
      <c r="E41" s="153"/>
      <c r="F41" s="152"/>
      <c r="G41" s="152"/>
      <c r="H41" s="153"/>
      <c r="I41" s="247">
        <f t="shared" si="10"/>
        <v>0</v>
      </c>
      <c r="J41" s="248" t="str">
        <f t="shared" si="11"/>
        <v/>
      </c>
      <c r="L41" s="148">
        <f t="shared" si="7"/>
        <v>0</v>
      </c>
      <c r="M41" s="148">
        <f t="shared" si="8"/>
        <v>0</v>
      </c>
      <c r="N41" s="82">
        <f t="shared" si="9"/>
        <v>42826</v>
      </c>
    </row>
    <row r="42" spans="1:14" x14ac:dyDescent="0.25">
      <c r="A42" s="150"/>
      <c r="B42" s="151"/>
      <c r="C42" s="152"/>
      <c r="D42" s="152"/>
      <c r="E42" s="153"/>
      <c r="F42" s="152"/>
      <c r="G42" s="152"/>
      <c r="H42" s="153"/>
      <c r="I42" s="247">
        <f t="shared" si="10"/>
        <v>0</v>
      </c>
      <c r="J42" s="248" t="str">
        <f t="shared" si="11"/>
        <v/>
      </c>
      <c r="L42" s="148">
        <f t="shared" si="7"/>
        <v>0</v>
      </c>
      <c r="M42" s="148">
        <f t="shared" si="8"/>
        <v>0</v>
      </c>
      <c r="N42" s="82">
        <f t="shared" si="9"/>
        <v>42826</v>
      </c>
    </row>
    <row r="43" spans="1:14" x14ac:dyDescent="0.25">
      <c r="A43" s="150"/>
      <c r="B43" s="151"/>
      <c r="C43" s="152"/>
      <c r="D43" s="152"/>
      <c r="E43" s="153"/>
      <c r="F43" s="152"/>
      <c r="G43" s="152"/>
      <c r="H43" s="153"/>
      <c r="I43" s="247">
        <f t="shared" si="10"/>
        <v>0</v>
      </c>
      <c r="J43" s="248" t="str">
        <f t="shared" si="11"/>
        <v/>
      </c>
      <c r="L43" s="148">
        <f t="shared" si="7"/>
        <v>0</v>
      </c>
      <c r="M43" s="148">
        <f t="shared" si="8"/>
        <v>0</v>
      </c>
      <c r="N43" s="82">
        <f t="shared" si="9"/>
        <v>42826</v>
      </c>
    </row>
    <row r="44" spans="1:14" x14ac:dyDescent="0.25">
      <c r="A44" s="150"/>
      <c r="B44" s="151"/>
      <c r="C44" s="152"/>
      <c r="D44" s="152"/>
      <c r="E44" s="153"/>
      <c r="F44" s="152"/>
      <c r="G44" s="152"/>
      <c r="H44" s="153"/>
      <c r="I44" s="247">
        <f t="shared" si="10"/>
        <v>0</v>
      </c>
      <c r="J44" s="248" t="str">
        <f t="shared" si="11"/>
        <v/>
      </c>
      <c r="L44" s="148">
        <f t="shared" si="7"/>
        <v>0</v>
      </c>
      <c r="M44" s="148">
        <f t="shared" si="8"/>
        <v>0</v>
      </c>
      <c r="N44" s="82">
        <f t="shared" si="9"/>
        <v>42826</v>
      </c>
    </row>
    <row r="45" spans="1:14" x14ac:dyDescent="0.25">
      <c r="A45" s="150"/>
      <c r="B45" s="151"/>
      <c r="C45" s="152"/>
      <c r="D45" s="152"/>
      <c r="E45" s="153"/>
      <c r="F45" s="152"/>
      <c r="G45" s="152"/>
      <c r="H45" s="153"/>
      <c r="I45" s="247">
        <f t="shared" si="10"/>
        <v>0</v>
      </c>
      <c r="J45" s="248" t="str">
        <f t="shared" si="11"/>
        <v/>
      </c>
      <c r="L45" s="148">
        <f t="shared" si="7"/>
        <v>0</v>
      </c>
      <c r="M45" s="148">
        <f t="shared" si="8"/>
        <v>0</v>
      </c>
      <c r="N45" s="82">
        <f t="shared" si="9"/>
        <v>42826</v>
      </c>
    </row>
    <row r="46" spans="1:14" x14ac:dyDescent="0.25">
      <c r="A46" s="150"/>
      <c r="B46" s="151"/>
      <c r="C46" s="152"/>
      <c r="D46" s="152"/>
      <c r="E46" s="153"/>
      <c r="F46" s="152"/>
      <c r="G46" s="152"/>
      <c r="H46" s="153"/>
      <c r="I46" s="247">
        <f t="shared" si="10"/>
        <v>0</v>
      </c>
      <c r="J46" s="248" t="str">
        <f t="shared" si="11"/>
        <v/>
      </c>
      <c r="L46" s="148">
        <f t="shared" si="7"/>
        <v>0</v>
      </c>
      <c r="M46" s="148">
        <f t="shared" si="8"/>
        <v>0</v>
      </c>
      <c r="N46" s="82">
        <f t="shared" si="9"/>
        <v>42826</v>
      </c>
    </row>
    <row r="47" spans="1:14" x14ac:dyDescent="0.25">
      <c r="A47" s="150"/>
      <c r="B47" s="151"/>
      <c r="C47" s="152"/>
      <c r="D47" s="152"/>
      <c r="E47" s="153"/>
      <c r="F47" s="152"/>
      <c r="G47" s="152"/>
      <c r="H47" s="153"/>
      <c r="I47" s="247">
        <f t="shared" si="10"/>
        <v>0</v>
      </c>
      <c r="J47" s="248" t="str">
        <f t="shared" si="11"/>
        <v/>
      </c>
      <c r="L47" s="148">
        <f t="shared" si="7"/>
        <v>0</v>
      </c>
      <c r="M47" s="148">
        <f t="shared" si="8"/>
        <v>0</v>
      </c>
      <c r="N47" s="82">
        <f t="shared" si="9"/>
        <v>42826</v>
      </c>
    </row>
    <row r="48" spans="1:14" x14ac:dyDescent="0.25">
      <c r="A48" s="150"/>
      <c r="B48" s="151"/>
      <c r="C48" s="152"/>
      <c r="D48" s="152"/>
      <c r="E48" s="153"/>
      <c r="F48" s="152"/>
      <c r="G48" s="152"/>
      <c r="H48" s="153"/>
      <c r="I48" s="247">
        <f t="shared" si="10"/>
        <v>0</v>
      </c>
      <c r="J48" s="248" t="str">
        <f t="shared" si="11"/>
        <v/>
      </c>
      <c r="L48" s="148">
        <f t="shared" si="7"/>
        <v>0</v>
      </c>
      <c r="M48" s="148">
        <f t="shared" si="8"/>
        <v>0</v>
      </c>
      <c r="N48" s="82">
        <f t="shared" si="9"/>
        <v>42826</v>
      </c>
    </row>
    <row r="49" spans="1:14" x14ac:dyDescent="0.25">
      <c r="A49" s="150"/>
      <c r="B49" s="151"/>
      <c r="C49" s="152"/>
      <c r="D49" s="152"/>
      <c r="E49" s="153"/>
      <c r="F49" s="152"/>
      <c r="G49" s="152"/>
      <c r="H49" s="153"/>
      <c r="I49" s="247">
        <f t="shared" si="10"/>
        <v>0</v>
      </c>
      <c r="J49" s="248" t="str">
        <f t="shared" si="11"/>
        <v/>
      </c>
      <c r="L49" s="148">
        <f t="shared" si="7"/>
        <v>0</v>
      </c>
      <c r="M49" s="148">
        <f t="shared" si="8"/>
        <v>0</v>
      </c>
      <c r="N49" s="82">
        <f t="shared" si="9"/>
        <v>42826</v>
      </c>
    </row>
    <row r="50" spans="1:14" x14ac:dyDescent="0.25">
      <c r="A50" s="150"/>
      <c r="B50" s="151"/>
      <c r="C50" s="152"/>
      <c r="D50" s="152"/>
      <c r="E50" s="153"/>
      <c r="F50" s="152"/>
      <c r="G50" s="152"/>
      <c r="H50" s="153"/>
      <c r="I50" s="247">
        <f t="shared" si="10"/>
        <v>0</v>
      </c>
      <c r="J50" s="248" t="str">
        <f t="shared" si="11"/>
        <v/>
      </c>
      <c r="L50" s="148">
        <f t="shared" si="7"/>
        <v>0</v>
      </c>
      <c r="M50" s="148">
        <f t="shared" si="8"/>
        <v>0</v>
      </c>
      <c r="N50" s="82">
        <f t="shared" si="9"/>
        <v>42826</v>
      </c>
    </row>
    <row r="51" spans="1:14" x14ac:dyDescent="0.25">
      <c r="A51" s="150"/>
      <c r="B51" s="151"/>
      <c r="C51" s="152"/>
      <c r="D51" s="152"/>
      <c r="E51" s="153"/>
      <c r="F51" s="152"/>
      <c r="G51" s="152"/>
      <c r="H51" s="153"/>
      <c r="I51" s="247">
        <f t="shared" si="10"/>
        <v>0</v>
      </c>
      <c r="J51" s="248" t="str">
        <f t="shared" si="11"/>
        <v/>
      </c>
      <c r="L51" s="148">
        <f t="shared" si="7"/>
        <v>0</v>
      </c>
      <c r="M51" s="148">
        <f t="shared" si="8"/>
        <v>0</v>
      </c>
      <c r="N51" s="82">
        <f t="shared" si="9"/>
        <v>42826</v>
      </c>
    </row>
    <row r="52" spans="1:14" x14ac:dyDescent="0.25">
      <c r="A52" s="150"/>
      <c r="B52" s="151"/>
      <c r="C52" s="152"/>
      <c r="D52" s="152"/>
      <c r="E52" s="153"/>
      <c r="F52" s="152"/>
      <c r="G52" s="152"/>
      <c r="H52" s="153"/>
      <c r="I52" s="247">
        <f t="shared" si="10"/>
        <v>0</v>
      </c>
      <c r="J52" s="248" t="str">
        <f t="shared" si="11"/>
        <v/>
      </c>
      <c r="L52" s="148">
        <f t="shared" si="7"/>
        <v>0</v>
      </c>
      <c r="M52" s="148">
        <f t="shared" si="8"/>
        <v>0</v>
      </c>
      <c r="N52" s="82">
        <f t="shared" si="9"/>
        <v>42826</v>
      </c>
    </row>
    <row r="53" spans="1:14" x14ac:dyDescent="0.25">
      <c r="A53" s="150"/>
      <c r="B53" s="151"/>
      <c r="C53" s="152"/>
      <c r="D53" s="152"/>
      <c r="E53" s="153"/>
      <c r="F53" s="152"/>
      <c r="G53" s="152"/>
      <c r="H53" s="153"/>
      <c r="I53" s="247">
        <f t="shared" si="10"/>
        <v>0</v>
      </c>
      <c r="J53" s="248" t="str">
        <f t="shared" si="11"/>
        <v/>
      </c>
      <c r="L53" s="148">
        <f t="shared" si="7"/>
        <v>0</v>
      </c>
      <c r="M53" s="148">
        <f t="shared" si="8"/>
        <v>0</v>
      </c>
      <c r="N53" s="82">
        <f t="shared" si="9"/>
        <v>42826</v>
      </c>
    </row>
    <row r="54" spans="1:14" x14ac:dyDescent="0.25">
      <c r="A54" s="150"/>
      <c r="B54" s="151"/>
      <c r="C54" s="152"/>
      <c r="D54" s="152"/>
      <c r="E54" s="153"/>
      <c r="F54" s="152"/>
      <c r="G54" s="152"/>
      <c r="H54" s="153"/>
      <c r="I54" s="247">
        <f t="shared" si="10"/>
        <v>0</v>
      </c>
      <c r="J54" s="248" t="str">
        <f t="shared" si="11"/>
        <v/>
      </c>
      <c r="L54" s="148">
        <f t="shared" si="7"/>
        <v>0</v>
      </c>
      <c r="M54" s="148">
        <f t="shared" si="8"/>
        <v>0</v>
      </c>
      <c r="N54" s="82">
        <f t="shared" si="9"/>
        <v>42826</v>
      </c>
    </row>
    <row r="55" spans="1:14" x14ac:dyDescent="0.25">
      <c r="A55" s="150"/>
      <c r="B55" s="151"/>
      <c r="C55" s="152"/>
      <c r="D55" s="152"/>
      <c r="E55" s="153"/>
      <c r="F55" s="152"/>
      <c r="G55" s="152"/>
      <c r="H55" s="153"/>
      <c r="I55" s="247">
        <f t="shared" si="10"/>
        <v>0</v>
      </c>
      <c r="J55" s="248" t="str">
        <f t="shared" si="11"/>
        <v/>
      </c>
      <c r="L55" s="148">
        <f t="shared" si="7"/>
        <v>0</v>
      </c>
      <c r="M55" s="148">
        <f t="shared" si="8"/>
        <v>0</v>
      </c>
      <c r="N55" s="82">
        <f t="shared" si="9"/>
        <v>42826</v>
      </c>
    </row>
    <row r="56" spans="1:14" x14ac:dyDescent="0.25">
      <c r="A56" s="150"/>
      <c r="B56" s="151"/>
      <c r="C56" s="152"/>
      <c r="D56" s="152"/>
      <c r="E56" s="153"/>
      <c r="F56" s="152"/>
      <c r="G56" s="152"/>
      <c r="H56" s="153"/>
      <c r="I56" s="247">
        <f t="shared" si="10"/>
        <v>0</v>
      </c>
      <c r="J56" s="248" t="str">
        <f t="shared" si="11"/>
        <v/>
      </c>
      <c r="L56" s="148">
        <f t="shared" si="7"/>
        <v>0</v>
      </c>
      <c r="M56" s="148">
        <f t="shared" si="8"/>
        <v>0</v>
      </c>
      <c r="N56" s="82">
        <f t="shared" si="9"/>
        <v>42826</v>
      </c>
    </row>
    <row r="57" spans="1:14" x14ac:dyDescent="0.25">
      <c r="A57" s="150"/>
      <c r="B57" s="151"/>
      <c r="C57" s="152"/>
      <c r="D57" s="152"/>
      <c r="E57" s="153"/>
      <c r="F57" s="152"/>
      <c r="G57" s="152"/>
      <c r="H57" s="153"/>
      <c r="I57" s="247">
        <f t="shared" si="10"/>
        <v>0</v>
      </c>
      <c r="J57" s="248" t="str">
        <f t="shared" si="11"/>
        <v/>
      </c>
      <c r="L57" s="148">
        <f t="shared" si="7"/>
        <v>0</v>
      </c>
      <c r="M57" s="148">
        <f t="shared" si="8"/>
        <v>0</v>
      </c>
      <c r="N57" s="82">
        <f t="shared" si="9"/>
        <v>42826</v>
      </c>
    </row>
    <row r="58" spans="1:14" x14ac:dyDescent="0.25">
      <c r="A58" s="150"/>
      <c r="B58" s="151"/>
      <c r="C58" s="152"/>
      <c r="D58" s="152"/>
      <c r="E58" s="153"/>
      <c r="F58" s="152"/>
      <c r="G58" s="152"/>
      <c r="H58" s="153"/>
      <c r="I58" s="247">
        <f t="shared" si="10"/>
        <v>0</v>
      </c>
      <c r="J58" s="248" t="str">
        <f t="shared" si="11"/>
        <v/>
      </c>
      <c r="L58" s="148">
        <f t="shared" si="7"/>
        <v>0</v>
      </c>
      <c r="M58" s="148">
        <f t="shared" si="8"/>
        <v>0</v>
      </c>
      <c r="N58" s="82">
        <f t="shared" si="9"/>
        <v>42826</v>
      </c>
    </row>
    <row r="59" spans="1:14" x14ac:dyDescent="0.25">
      <c r="A59" s="150"/>
      <c r="B59" s="151"/>
      <c r="C59" s="152"/>
      <c r="D59" s="152"/>
      <c r="E59" s="153"/>
      <c r="F59" s="152"/>
      <c r="G59" s="152"/>
      <c r="H59" s="153"/>
      <c r="I59" s="247">
        <f t="shared" si="10"/>
        <v>0</v>
      </c>
      <c r="J59" s="248" t="str">
        <f t="shared" si="11"/>
        <v/>
      </c>
      <c r="L59" s="148">
        <f t="shared" si="7"/>
        <v>0</v>
      </c>
      <c r="M59" s="148">
        <f t="shared" si="8"/>
        <v>0</v>
      </c>
      <c r="N59" s="82">
        <f t="shared" si="9"/>
        <v>42826</v>
      </c>
    </row>
    <row r="60" spans="1:14" x14ac:dyDescent="0.25">
      <c r="A60" s="150"/>
      <c r="B60" s="151"/>
      <c r="C60" s="152"/>
      <c r="D60" s="152"/>
      <c r="E60" s="153"/>
      <c r="F60" s="152"/>
      <c r="G60" s="152"/>
      <c r="H60" s="153"/>
      <c r="I60" s="247">
        <f t="shared" si="10"/>
        <v>0</v>
      </c>
      <c r="J60" s="248" t="str">
        <f t="shared" si="11"/>
        <v/>
      </c>
      <c r="L60" s="148">
        <f t="shared" si="7"/>
        <v>0</v>
      </c>
      <c r="M60" s="148">
        <f t="shared" si="8"/>
        <v>0</v>
      </c>
      <c r="N60" s="82">
        <f t="shared" si="9"/>
        <v>42826</v>
      </c>
    </row>
    <row r="61" spans="1:14" x14ac:dyDescent="0.25">
      <c r="A61" s="150"/>
      <c r="B61" s="151"/>
      <c r="C61" s="152"/>
      <c r="D61" s="152"/>
      <c r="E61" s="153"/>
      <c r="F61" s="152"/>
      <c r="G61" s="152"/>
      <c r="H61" s="153"/>
      <c r="I61" s="247">
        <f t="shared" si="10"/>
        <v>0</v>
      </c>
      <c r="J61" s="248" t="str">
        <f t="shared" si="11"/>
        <v/>
      </c>
      <c r="L61" s="148">
        <f t="shared" si="7"/>
        <v>0</v>
      </c>
      <c r="M61" s="148">
        <f t="shared" si="8"/>
        <v>0</v>
      </c>
      <c r="N61" s="82">
        <f t="shared" si="9"/>
        <v>42826</v>
      </c>
    </row>
    <row r="62" spans="1:14" x14ac:dyDescent="0.25">
      <c r="A62" s="150"/>
      <c r="B62" s="151"/>
      <c r="C62" s="152"/>
      <c r="D62" s="152"/>
      <c r="E62" s="153"/>
      <c r="F62" s="152"/>
      <c r="G62" s="152"/>
      <c r="H62" s="153"/>
      <c r="I62" s="247">
        <f t="shared" si="10"/>
        <v>0</v>
      </c>
      <c r="J62" s="248" t="str">
        <f t="shared" si="11"/>
        <v/>
      </c>
      <c r="L62" s="148">
        <f t="shared" si="7"/>
        <v>0</v>
      </c>
      <c r="M62" s="148">
        <f t="shared" si="8"/>
        <v>0</v>
      </c>
      <c r="N62" s="82">
        <f t="shared" si="9"/>
        <v>42826</v>
      </c>
    </row>
    <row r="63" spans="1:14" x14ac:dyDescent="0.25">
      <c r="A63" s="150"/>
      <c r="B63" s="151"/>
      <c r="C63" s="152"/>
      <c r="D63" s="152"/>
      <c r="E63" s="153"/>
      <c r="F63" s="152"/>
      <c r="G63" s="152"/>
      <c r="H63" s="153"/>
      <c r="I63" s="247">
        <f t="shared" si="10"/>
        <v>0</v>
      </c>
      <c r="J63" s="248" t="str">
        <f t="shared" si="11"/>
        <v/>
      </c>
      <c r="L63" s="148">
        <f t="shared" si="2"/>
        <v>0</v>
      </c>
      <c r="M63" s="148">
        <f t="shared" si="3"/>
        <v>0</v>
      </c>
      <c r="N63" s="82">
        <f t="shared" si="4"/>
        <v>42826</v>
      </c>
    </row>
    <row r="64" spans="1:14" x14ac:dyDescent="0.25">
      <c r="A64" s="150"/>
      <c r="B64" s="151"/>
      <c r="C64" s="152"/>
      <c r="D64" s="152"/>
      <c r="E64" s="153"/>
      <c r="F64" s="152"/>
      <c r="G64" s="152"/>
      <c r="H64" s="153"/>
      <c r="I64" s="247">
        <f t="shared" si="1"/>
        <v>0</v>
      </c>
      <c r="J64" s="248" t="str">
        <f t="shared" ref="J64:J81" si="12">IF(H64="","",IF(H64-E64&gt;365,"LT","ST"))</f>
        <v/>
      </c>
      <c r="L64" s="148">
        <f t="shared" si="2"/>
        <v>0</v>
      </c>
      <c r="M64" s="148">
        <f t="shared" si="3"/>
        <v>0</v>
      </c>
      <c r="N64" s="82">
        <f t="shared" si="4"/>
        <v>42826</v>
      </c>
    </row>
    <row r="65" spans="1:14" x14ac:dyDescent="0.25">
      <c r="A65" s="150"/>
      <c r="B65" s="151"/>
      <c r="C65" s="152"/>
      <c r="D65" s="152"/>
      <c r="E65" s="153"/>
      <c r="F65" s="152"/>
      <c r="G65" s="152"/>
      <c r="H65" s="153"/>
      <c r="I65" s="247">
        <f t="shared" si="1"/>
        <v>0</v>
      </c>
      <c r="J65" s="248" t="str">
        <f t="shared" si="12"/>
        <v/>
      </c>
      <c r="L65" s="148">
        <f t="shared" si="2"/>
        <v>0</v>
      </c>
      <c r="M65" s="148">
        <f t="shared" si="3"/>
        <v>0</v>
      </c>
      <c r="N65" s="82">
        <f t="shared" si="4"/>
        <v>42826</v>
      </c>
    </row>
    <row r="66" spans="1:14" x14ac:dyDescent="0.25">
      <c r="A66" s="150"/>
      <c r="B66" s="151"/>
      <c r="C66" s="152"/>
      <c r="D66" s="152"/>
      <c r="E66" s="153"/>
      <c r="F66" s="152"/>
      <c r="G66" s="152"/>
      <c r="H66" s="153"/>
      <c r="I66" s="247">
        <f t="shared" si="1"/>
        <v>0</v>
      </c>
      <c r="J66" s="248" t="str">
        <f t="shared" si="12"/>
        <v/>
      </c>
      <c r="L66" s="148">
        <f t="shared" si="2"/>
        <v>0</v>
      </c>
      <c r="M66" s="148">
        <f t="shared" si="3"/>
        <v>0</v>
      </c>
      <c r="N66" s="82">
        <f t="shared" si="4"/>
        <v>42826</v>
      </c>
    </row>
    <row r="67" spans="1:14" x14ac:dyDescent="0.25">
      <c r="A67" s="150"/>
      <c r="B67" s="151"/>
      <c r="C67" s="152"/>
      <c r="D67" s="152"/>
      <c r="E67" s="153"/>
      <c r="F67" s="152"/>
      <c r="G67" s="152"/>
      <c r="H67" s="153"/>
      <c r="I67" s="247">
        <f t="shared" si="1"/>
        <v>0</v>
      </c>
      <c r="J67" s="248" t="str">
        <f t="shared" si="12"/>
        <v/>
      </c>
      <c r="L67" s="148">
        <f t="shared" si="2"/>
        <v>0</v>
      </c>
      <c r="M67" s="148">
        <f t="shared" si="3"/>
        <v>0</v>
      </c>
      <c r="N67" s="82">
        <f t="shared" si="4"/>
        <v>42826</v>
      </c>
    </row>
    <row r="68" spans="1:14" x14ac:dyDescent="0.25">
      <c r="A68" s="150"/>
      <c r="B68" s="151"/>
      <c r="C68" s="152"/>
      <c r="D68" s="152"/>
      <c r="E68" s="153"/>
      <c r="F68" s="152"/>
      <c r="G68" s="152"/>
      <c r="H68" s="153"/>
      <c r="I68" s="247">
        <f t="shared" si="1"/>
        <v>0</v>
      </c>
      <c r="J68" s="248" t="str">
        <f t="shared" si="12"/>
        <v/>
      </c>
      <c r="L68" s="148">
        <f t="shared" si="2"/>
        <v>0</v>
      </c>
      <c r="M68" s="148">
        <f t="shared" si="3"/>
        <v>0</v>
      </c>
      <c r="N68" s="82">
        <f t="shared" si="4"/>
        <v>42826</v>
      </c>
    </row>
    <row r="69" spans="1:14" x14ac:dyDescent="0.25">
      <c r="A69" s="150"/>
      <c r="B69" s="151"/>
      <c r="C69" s="152"/>
      <c r="D69" s="152"/>
      <c r="E69" s="153"/>
      <c r="F69" s="152"/>
      <c r="G69" s="152"/>
      <c r="H69" s="153"/>
      <c r="I69" s="247">
        <f t="shared" si="1"/>
        <v>0</v>
      </c>
      <c r="J69" s="248" t="str">
        <f t="shared" si="12"/>
        <v/>
      </c>
      <c r="L69" s="148">
        <f t="shared" si="2"/>
        <v>0</v>
      </c>
      <c r="M69" s="148">
        <f t="shared" si="3"/>
        <v>0</v>
      </c>
      <c r="N69" s="82">
        <f t="shared" si="4"/>
        <v>42826</v>
      </c>
    </row>
    <row r="70" spans="1:14" x14ac:dyDescent="0.25">
      <c r="A70" s="150"/>
      <c r="B70" s="151"/>
      <c r="C70" s="152"/>
      <c r="D70" s="152"/>
      <c r="E70" s="153"/>
      <c r="F70" s="152"/>
      <c r="G70" s="152"/>
      <c r="H70" s="153"/>
      <c r="I70" s="247">
        <f t="shared" si="1"/>
        <v>0</v>
      </c>
      <c r="J70" s="248" t="str">
        <f t="shared" si="12"/>
        <v/>
      </c>
      <c r="L70" s="148">
        <f t="shared" si="2"/>
        <v>0</v>
      </c>
      <c r="M70" s="148">
        <f t="shared" si="3"/>
        <v>0</v>
      </c>
      <c r="N70" s="82">
        <f t="shared" si="4"/>
        <v>42826</v>
      </c>
    </row>
    <row r="71" spans="1:14" x14ac:dyDescent="0.25">
      <c r="A71" s="150"/>
      <c r="B71" s="151"/>
      <c r="C71" s="152"/>
      <c r="D71" s="152"/>
      <c r="E71" s="153"/>
      <c r="F71" s="152"/>
      <c r="G71" s="152"/>
      <c r="H71" s="153"/>
      <c r="I71" s="247">
        <f t="shared" si="1"/>
        <v>0</v>
      </c>
      <c r="J71" s="248" t="str">
        <f t="shared" si="12"/>
        <v/>
      </c>
      <c r="L71" s="148">
        <f t="shared" si="2"/>
        <v>0</v>
      </c>
      <c r="M71" s="148">
        <f t="shared" si="3"/>
        <v>0</v>
      </c>
      <c r="N71" s="82">
        <f t="shared" si="4"/>
        <v>42826</v>
      </c>
    </row>
    <row r="72" spans="1:14" x14ac:dyDescent="0.25">
      <c r="A72" s="150"/>
      <c r="B72" s="151"/>
      <c r="C72" s="152"/>
      <c r="D72" s="152"/>
      <c r="E72" s="153"/>
      <c r="F72" s="152"/>
      <c r="G72" s="152"/>
      <c r="H72" s="153"/>
      <c r="I72" s="247">
        <f t="shared" si="1"/>
        <v>0</v>
      </c>
      <c r="J72" s="248" t="str">
        <f t="shared" si="12"/>
        <v/>
      </c>
      <c r="L72" s="148">
        <f t="shared" si="2"/>
        <v>0</v>
      </c>
      <c r="M72" s="148">
        <f t="shared" si="3"/>
        <v>0</v>
      </c>
      <c r="N72" s="82">
        <f t="shared" si="4"/>
        <v>42826</v>
      </c>
    </row>
    <row r="73" spans="1:14" x14ac:dyDescent="0.25">
      <c r="A73" s="150"/>
      <c r="B73" s="151"/>
      <c r="C73" s="152"/>
      <c r="D73" s="152"/>
      <c r="E73" s="153"/>
      <c r="F73" s="152"/>
      <c r="G73" s="152"/>
      <c r="H73" s="153"/>
      <c r="I73" s="247">
        <f t="shared" si="1"/>
        <v>0</v>
      </c>
      <c r="J73" s="248" t="str">
        <f t="shared" si="12"/>
        <v/>
      </c>
      <c r="L73" s="148">
        <f t="shared" si="2"/>
        <v>0</v>
      </c>
      <c r="M73" s="148">
        <f t="shared" si="3"/>
        <v>0</v>
      </c>
      <c r="N73" s="82">
        <f t="shared" si="4"/>
        <v>42826</v>
      </c>
    </row>
    <row r="74" spans="1:14" x14ac:dyDescent="0.25">
      <c r="A74" s="150"/>
      <c r="B74" s="151"/>
      <c r="C74" s="152"/>
      <c r="D74" s="152"/>
      <c r="E74" s="153"/>
      <c r="F74" s="152"/>
      <c r="G74" s="152"/>
      <c r="H74" s="153"/>
      <c r="I74" s="247">
        <f t="shared" si="1"/>
        <v>0</v>
      </c>
      <c r="J74" s="248" t="str">
        <f t="shared" si="12"/>
        <v/>
      </c>
      <c r="L74" s="148">
        <f t="shared" si="2"/>
        <v>0</v>
      </c>
      <c r="M74" s="148">
        <f t="shared" si="3"/>
        <v>0</v>
      </c>
      <c r="N74" s="82">
        <f t="shared" si="4"/>
        <v>42826</v>
      </c>
    </row>
    <row r="75" spans="1:14" x14ac:dyDescent="0.25">
      <c r="A75" s="150"/>
      <c r="B75" s="151"/>
      <c r="C75" s="152"/>
      <c r="D75" s="152"/>
      <c r="E75" s="153"/>
      <c r="F75" s="152"/>
      <c r="G75" s="152"/>
      <c r="H75" s="153"/>
      <c r="I75" s="247">
        <f t="shared" si="1"/>
        <v>0</v>
      </c>
      <c r="J75" s="248" t="str">
        <f t="shared" si="12"/>
        <v/>
      </c>
      <c r="L75" s="148">
        <f t="shared" si="2"/>
        <v>0</v>
      </c>
      <c r="M75" s="148">
        <f t="shared" si="3"/>
        <v>0</v>
      </c>
      <c r="N75" s="82">
        <f t="shared" si="4"/>
        <v>42826</v>
      </c>
    </row>
    <row r="76" spans="1:14" x14ac:dyDescent="0.25">
      <c r="A76" s="150"/>
      <c r="B76" s="151"/>
      <c r="C76" s="152"/>
      <c r="D76" s="152"/>
      <c r="E76" s="153"/>
      <c r="F76" s="152"/>
      <c r="G76" s="152"/>
      <c r="H76" s="153"/>
      <c r="I76" s="247">
        <f t="shared" si="1"/>
        <v>0</v>
      </c>
      <c r="J76" s="248" t="str">
        <f t="shared" si="12"/>
        <v/>
      </c>
      <c r="L76" s="148">
        <f t="shared" si="2"/>
        <v>0</v>
      </c>
      <c r="M76" s="148">
        <f t="shared" si="3"/>
        <v>0</v>
      </c>
      <c r="N76" s="82">
        <f t="shared" si="4"/>
        <v>42826</v>
      </c>
    </row>
    <row r="77" spans="1:14" x14ac:dyDescent="0.25">
      <c r="A77" s="150"/>
      <c r="B77" s="151"/>
      <c r="C77" s="152"/>
      <c r="D77" s="152"/>
      <c r="E77" s="153"/>
      <c r="F77" s="152"/>
      <c r="G77" s="152"/>
      <c r="H77" s="153"/>
      <c r="I77" s="247">
        <f t="shared" si="1"/>
        <v>0</v>
      </c>
      <c r="J77" s="248" t="str">
        <f t="shared" si="12"/>
        <v/>
      </c>
      <c r="L77" s="148">
        <f t="shared" si="2"/>
        <v>0</v>
      </c>
      <c r="M77" s="148">
        <f t="shared" si="3"/>
        <v>0</v>
      </c>
      <c r="N77" s="82">
        <f t="shared" si="4"/>
        <v>42826</v>
      </c>
    </row>
    <row r="78" spans="1:14" x14ac:dyDescent="0.25">
      <c r="A78" s="150"/>
      <c r="B78" s="151"/>
      <c r="C78" s="152"/>
      <c r="D78" s="152"/>
      <c r="E78" s="153"/>
      <c r="F78" s="152"/>
      <c r="G78" s="152"/>
      <c r="H78" s="153"/>
      <c r="I78" s="247">
        <f t="shared" si="1"/>
        <v>0</v>
      </c>
      <c r="J78" s="248" t="str">
        <f t="shared" si="12"/>
        <v/>
      </c>
      <c r="L78" s="148">
        <f t="shared" si="2"/>
        <v>0</v>
      </c>
      <c r="M78" s="148">
        <f t="shared" si="3"/>
        <v>0</v>
      </c>
      <c r="N78" s="82">
        <f t="shared" si="4"/>
        <v>42826</v>
      </c>
    </row>
    <row r="79" spans="1:14" x14ac:dyDescent="0.25">
      <c r="A79" s="150"/>
      <c r="B79" s="151"/>
      <c r="C79" s="152"/>
      <c r="D79" s="152"/>
      <c r="E79" s="153"/>
      <c r="F79" s="152"/>
      <c r="G79" s="152"/>
      <c r="H79" s="153"/>
      <c r="I79" s="247">
        <f t="shared" si="1"/>
        <v>0</v>
      </c>
      <c r="J79" s="248" t="str">
        <f t="shared" si="12"/>
        <v/>
      </c>
      <c r="L79" s="148">
        <f t="shared" si="2"/>
        <v>0</v>
      </c>
      <c r="M79" s="148">
        <f t="shared" si="3"/>
        <v>0</v>
      </c>
      <c r="N79" s="82">
        <f t="shared" si="4"/>
        <v>42826</v>
      </c>
    </row>
    <row r="80" spans="1:14" x14ac:dyDescent="0.25">
      <c r="A80" s="150"/>
      <c r="B80" s="151"/>
      <c r="C80" s="152"/>
      <c r="D80" s="152"/>
      <c r="E80" s="153"/>
      <c r="F80" s="152"/>
      <c r="G80" s="152"/>
      <c r="H80" s="153"/>
      <c r="I80" s="247">
        <f t="shared" si="1"/>
        <v>0</v>
      </c>
      <c r="J80" s="248" t="str">
        <f t="shared" si="12"/>
        <v/>
      </c>
      <c r="L80" s="148">
        <f t="shared" si="2"/>
        <v>0</v>
      </c>
      <c r="M80" s="148">
        <f t="shared" si="3"/>
        <v>0</v>
      </c>
      <c r="N80" s="82">
        <f t="shared" si="4"/>
        <v>42826</v>
      </c>
    </row>
    <row r="81" spans="1:14" x14ac:dyDescent="0.25">
      <c r="A81" s="150"/>
      <c r="B81" s="151"/>
      <c r="C81" s="152"/>
      <c r="D81" s="152"/>
      <c r="E81" s="153"/>
      <c r="F81" s="152"/>
      <c r="G81" s="152"/>
      <c r="H81" s="153"/>
      <c r="I81" s="247">
        <f t="shared" si="1"/>
        <v>0</v>
      </c>
      <c r="J81" s="248" t="str">
        <f t="shared" si="12"/>
        <v/>
      </c>
      <c r="L81" s="148">
        <f t="shared" si="2"/>
        <v>0</v>
      </c>
      <c r="M81" s="148">
        <f t="shared" si="3"/>
        <v>0</v>
      </c>
      <c r="N81" s="82">
        <f t="shared" si="4"/>
        <v>42826</v>
      </c>
    </row>
    <row r="82" spans="1:14" x14ac:dyDescent="0.25">
      <c r="A82" s="150"/>
      <c r="B82" s="151"/>
      <c r="C82" s="152"/>
      <c r="D82" s="152"/>
      <c r="E82" s="153"/>
      <c r="F82" s="152"/>
      <c r="G82" s="152"/>
      <c r="H82" s="153"/>
      <c r="I82" s="247">
        <f t="shared" si="1"/>
        <v>0</v>
      </c>
      <c r="J82" s="248" t="str">
        <f t="shared" ref="J82:J88" si="13">IF(H82="","",IF(H82-E82&gt;365,"LT","ST"))</f>
        <v/>
      </c>
      <c r="L82" s="148">
        <f t="shared" si="2"/>
        <v>0</v>
      </c>
      <c r="M82" s="148">
        <f t="shared" si="3"/>
        <v>0</v>
      </c>
      <c r="N82" s="82">
        <f t="shared" si="4"/>
        <v>42826</v>
      </c>
    </row>
    <row r="83" spans="1:14" x14ac:dyDescent="0.25">
      <c r="A83" s="150"/>
      <c r="B83" s="151"/>
      <c r="C83" s="152"/>
      <c r="D83" s="152"/>
      <c r="E83" s="153"/>
      <c r="F83" s="152"/>
      <c r="G83" s="152"/>
      <c r="H83" s="153"/>
      <c r="I83" s="247">
        <f t="shared" si="1"/>
        <v>0</v>
      </c>
      <c r="J83" s="248" t="str">
        <f t="shared" si="13"/>
        <v/>
      </c>
      <c r="L83" s="148">
        <f t="shared" si="2"/>
        <v>0</v>
      </c>
      <c r="M83" s="148">
        <f t="shared" si="3"/>
        <v>0</v>
      </c>
      <c r="N83" s="82">
        <f t="shared" si="4"/>
        <v>42826</v>
      </c>
    </row>
    <row r="84" spans="1:14" x14ac:dyDescent="0.25">
      <c r="A84" s="150"/>
      <c r="B84" s="151"/>
      <c r="C84" s="152"/>
      <c r="D84" s="152"/>
      <c r="E84" s="153"/>
      <c r="F84" s="152"/>
      <c r="G84" s="152"/>
      <c r="H84" s="153"/>
      <c r="I84" s="247">
        <f t="shared" si="1"/>
        <v>0</v>
      </c>
      <c r="J84" s="248" t="str">
        <f t="shared" si="13"/>
        <v/>
      </c>
      <c r="L84" s="148">
        <f t="shared" si="2"/>
        <v>0</v>
      </c>
      <c r="M84" s="148">
        <f t="shared" si="3"/>
        <v>0</v>
      </c>
      <c r="N84" s="82">
        <f t="shared" si="4"/>
        <v>42826</v>
      </c>
    </row>
    <row r="85" spans="1:14" x14ac:dyDescent="0.25">
      <c r="A85" s="150"/>
      <c r="B85" s="151"/>
      <c r="C85" s="152"/>
      <c r="D85" s="152"/>
      <c r="E85" s="153"/>
      <c r="F85" s="152"/>
      <c r="G85" s="152"/>
      <c r="H85" s="153"/>
      <c r="I85" s="247">
        <f t="shared" si="1"/>
        <v>0</v>
      </c>
      <c r="J85" s="248" t="str">
        <f t="shared" si="13"/>
        <v/>
      </c>
      <c r="L85" s="148">
        <f t="shared" si="2"/>
        <v>0</v>
      </c>
      <c r="M85" s="148">
        <f t="shared" si="3"/>
        <v>0</v>
      </c>
      <c r="N85" s="82">
        <f t="shared" si="4"/>
        <v>42826</v>
      </c>
    </row>
    <row r="86" spans="1:14" x14ac:dyDescent="0.25">
      <c r="A86" s="150"/>
      <c r="B86" s="151"/>
      <c r="C86" s="152"/>
      <c r="D86" s="152"/>
      <c r="E86" s="153"/>
      <c r="F86" s="152"/>
      <c r="G86" s="152"/>
      <c r="H86" s="153"/>
      <c r="I86" s="247">
        <f t="shared" si="1"/>
        <v>0</v>
      </c>
      <c r="J86" s="248" t="str">
        <f t="shared" si="13"/>
        <v/>
      </c>
      <c r="L86" s="148">
        <f t="shared" si="2"/>
        <v>0</v>
      </c>
      <c r="M86" s="148">
        <f t="shared" si="3"/>
        <v>0</v>
      </c>
      <c r="N86" s="82">
        <f t="shared" si="4"/>
        <v>42826</v>
      </c>
    </row>
    <row r="87" spans="1:14" x14ac:dyDescent="0.25">
      <c r="A87" s="150"/>
      <c r="B87" s="151"/>
      <c r="C87" s="152"/>
      <c r="D87" s="152"/>
      <c r="E87" s="153"/>
      <c r="F87" s="152"/>
      <c r="G87" s="152"/>
      <c r="H87" s="153"/>
      <c r="I87" s="247">
        <f t="shared" si="1"/>
        <v>0</v>
      </c>
      <c r="J87" s="248" t="str">
        <f t="shared" si="13"/>
        <v/>
      </c>
      <c r="L87" s="148">
        <f t="shared" si="2"/>
        <v>0</v>
      </c>
      <c r="M87" s="148">
        <f t="shared" si="3"/>
        <v>0</v>
      </c>
      <c r="N87" s="82">
        <f t="shared" si="4"/>
        <v>42826</v>
      </c>
    </row>
    <row r="88" spans="1:14" x14ac:dyDescent="0.25">
      <c r="A88" s="150"/>
      <c r="B88" s="151"/>
      <c r="C88" s="152"/>
      <c r="D88" s="152"/>
      <c r="E88" s="153"/>
      <c r="F88" s="152"/>
      <c r="G88" s="152"/>
      <c r="H88" s="153"/>
      <c r="I88" s="247">
        <f t="shared" si="1"/>
        <v>0</v>
      </c>
      <c r="J88" s="248" t="str">
        <f t="shared" si="13"/>
        <v/>
      </c>
      <c r="L88" s="148">
        <f t="shared" si="2"/>
        <v>0</v>
      </c>
      <c r="M88" s="148">
        <f t="shared" si="3"/>
        <v>0</v>
      </c>
      <c r="N88" s="82">
        <f t="shared" si="4"/>
        <v>42826</v>
      </c>
    </row>
    <row r="89" spans="1:14" x14ac:dyDescent="0.25">
      <c r="A89" s="150"/>
      <c r="B89" s="151"/>
      <c r="C89" s="152"/>
      <c r="D89" s="152"/>
      <c r="E89" s="153"/>
      <c r="F89" s="152"/>
      <c r="G89" s="152"/>
      <c r="H89" s="153"/>
      <c r="I89" s="247">
        <f t="shared" si="1"/>
        <v>0</v>
      </c>
      <c r="J89" s="248" t="str">
        <f t="shared" ref="J89:J111" si="14">IF(H89="","",IF(H89-E89&gt;365,"LT","ST"))</f>
        <v/>
      </c>
      <c r="L89" s="148">
        <f t="shared" si="2"/>
        <v>0</v>
      </c>
      <c r="M89" s="148">
        <f t="shared" si="3"/>
        <v>0</v>
      </c>
      <c r="N89" s="82">
        <f t="shared" si="4"/>
        <v>42826</v>
      </c>
    </row>
    <row r="90" spans="1:14" x14ac:dyDescent="0.25">
      <c r="A90" s="150"/>
      <c r="B90" s="151"/>
      <c r="C90" s="152"/>
      <c r="D90" s="152"/>
      <c r="E90" s="153"/>
      <c r="F90" s="152"/>
      <c r="G90" s="152"/>
      <c r="H90" s="153"/>
      <c r="I90" s="247">
        <f t="shared" si="1"/>
        <v>0</v>
      </c>
      <c r="J90" s="248" t="str">
        <f t="shared" si="14"/>
        <v/>
      </c>
      <c r="L90" s="148">
        <f t="shared" si="2"/>
        <v>0</v>
      </c>
      <c r="M90" s="148">
        <f t="shared" si="3"/>
        <v>0</v>
      </c>
      <c r="N90" s="82">
        <f t="shared" si="4"/>
        <v>42826</v>
      </c>
    </row>
    <row r="91" spans="1:14" x14ac:dyDescent="0.25">
      <c r="A91" s="150"/>
      <c r="B91" s="151"/>
      <c r="C91" s="152"/>
      <c r="D91" s="152"/>
      <c r="E91" s="153"/>
      <c r="F91" s="152"/>
      <c r="G91" s="152"/>
      <c r="H91" s="153"/>
      <c r="I91" s="247">
        <f t="shared" si="1"/>
        <v>0</v>
      </c>
      <c r="J91" s="248" t="str">
        <f t="shared" si="14"/>
        <v/>
      </c>
      <c r="L91" s="148">
        <f t="shared" si="2"/>
        <v>0</v>
      </c>
      <c r="M91" s="148">
        <f t="shared" si="3"/>
        <v>0</v>
      </c>
      <c r="N91" s="82">
        <f t="shared" si="4"/>
        <v>42826</v>
      </c>
    </row>
    <row r="92" spans="1:14" x14ac:dyDescent="0.25">
      <c r="A92" s="150"/>
      <c r="B92" s="151"/>
      <c r="C92" s="152"/>
      <c r="D92" s="152"/>
      <c r="E92" s="153"/>
      <c r="F92" s="152"/>
      <c r="G92" s="152"/>
      <c r="H92" s="153"/>
      <c r="I92" s="247">
        <f t="shared" ref="I92:I126" si="15">B92*((F92-G92)-(C92+D92))</f>
        <v>0</v>
      </c>
      <c r="J92" s="248" t="str">
        <f t="shared" si="14"/>
        <v/>
      </c>
      <c r="L92" s="148">
        <f t="shared" ref="L92:L126" si="16">IF(J92="LT",I92,0)</f>
        <v>0</v>
      </c>
      <c r="M92" s="148">
        <f t="shared" ref="M92:M126" si="17">IF(J92="ST",I92,0)</f>
        <v>0</v>
      </c>
      <c r="N92" s="82">
        <f t="shared" ref="N92:N126" si="18">MAX($Q$5,E92)</f>
        <v>42826</v>
      </c>
    </row>
    <row r="93" spans="1:14" x14ac:dyDescent="0.25">
      <c r="A93" s="150"/>
      <c r="B93" s="151"/>
      <c r="C93" s="152"/>
      <c r="D93" s="152"/>
      <c r="E93" s="153"/>
      <c r="F93" s="152"/>
      <c r="G93" s="152"/>
      <c r="H93" s="153"/>
      <c r="I93" s="247">
        <f t="shared" si="15"/>
        <v>0</v>
      </c>
      <c r="J93" s="248" t="str">
        <f t="shared" si="14"/>
        <v/>
      </c>
      <c r="L93" s="148">
        <f t="shared" si="16"/>
        <v>0</v>
      </c>
      <c r="M93" s="148">
        <f t="shared" si="17"/>
        <v>0</v>
      </c>
      <c r="N93" s="82">
        <f t="shared" si="18"/>
        <v>42826</v>
      </c>
    </row>
    <row r="94" spans="1:14" x14ac:dyDescent="0.25">
      <c r="A94" s="150"/>
      <c r="B94" s="151"/>
      <c r="C94" s="152"/>
      <c r="D94" s="152"/>
      <c r="E94" s="153"/>
      <c r="F94" s="152"/>
      <c r="G94" s="152"/>
      <c r="H94" s="153"/>
      <c r="I94" s="247">
        <f t="shared" si="15"/>
        <v>0</v>
      </c>
      <c r="J94" s="248" t="str">
        <f t="shared" si="14"/>
        <v/>
      </c>
      <c r="L94" s="148">
        <f t="shared" si="16"/>
        <v>0</v>
      </c>
      <c r="M94" s="148">
        <f t="shared" si="17"/>
        <v>0</v>
      </c>
      <c r="N94" s="82">
        <f t="shared" si="18"/>
        <v>42826</v>
      </c>
    </row>
    <row r="95" spans="1:14" x14ac:dyDescent="0.25">
      <c r="A95" s="150"/>
      <c r="B95" s="151"/>
      <c r="C95" s="152"/>
      <c r="D95" s="152"/>
      <c r="E95" s="153"/>
      <c r="F95" s="152"/>
      <c r="G95" s="152"/>
      <c r="H95" s="153"/>
      <c r="I95" s="247">
        <f t="shared" si="15"/>
        <v>0</v>
      </c>
      <c r="J95" s="248" t="str">
        <f t="shared" si="14"/>
        <v/>
      </c>
      <c r="L95" s="148">
        <f t="shared" si="16"/>
        <v>0</v>
      </c>
      <c r="M95" s="148">
        <f t="shared" si="17"/>
        <v>0</v>
      </c>
      <c r="N95" s="82">
        <f t="shared" si="18"/>
        <v>42826</v>
      </c>
    </row>
    <row r="96" spans="1:14" x14ac:dyDescent="0.25">
      <c r="A96" s="150"/>
      <c r="B96" s="151"/>
      <c r="C96" s="152"/>
      <c r="D96" s="152"/>
      <c r="E96" s="153"/>
      <c r="F96" s="152"/>
      <c r="G96" s="152"/>
      <c r="H96" s="153"/>
      <c r="I96" s="247">
        <f t="shared" si="15"/>
        <v>0</v>
      </c>
      <c r="J96" s="248" t="str">
        <f t="shared" si="14"/>
        <v/>
      </c>
      <c r="L96" s="148">
        <f t="shared" si="16"/>
        <v>0</v>
      </c>
      <c r="M96" s="148">
        <f t="shared" si="17"/>
        <v>0</v>
      </c>
      <c r="N96" s="82">
        <f t="shared" si="18"/>
        <v>42826</v>
      </c>
    </row>
    <row r="97" spans="1:14" x14ac:dyDescent="0.25">
      <c r="A97" s="150"/>
      <c r="B97" s="151"/>
      <c r="C97" s="152"/>
      <c r="D97" s="152"/>
      <c r="E97" s="153"/>
      <c r="F97" s="152"/>
      <c r="G97" s="152"/>
      <c r="H97" s="153"/>
      <c r="I97" s="247">
        <f t="shared" si="15"/>
        <v>0</v>
      </c>
      <c r="J97" s="248" t="str">
        <f t="shared" si="14"/>
        <v/>
      </c>
      <c r="L97" s="148">
        <f t="shared" si="16"/>
        <v>0</v>
      </c>
      <c r="M97" s="148">
        <f t="shared" si="17"/>
        <v>0</v>
      </c>
      <c r="N97" s="82">
        <f t="shared" si="18"/>
        <v>42826</v>
      </c>
    </row>
    <row r="98" spans="1:14" x14ac:dyDescent="0.25">
      <c r="A98" s="150"/>
      <c r="B98" s="151"/>
      <c r="C98" s="152"/>
      <c r="D98" s="152"/>
      <c r="E98" s="153"/>
      <c r="F98" s="152"/>
      <c r="G98" s="152"/>
      <c r="H98" s="153"/>
      <c r="I98" s="247">
        <f t="shared" si="15"/>
        <v>0</v>
      </c>
      <c r="J98" s="248" t="str">
        <f t="shared" si="14"/>
        <v/>
      </c>
      <c r="L98" s="148">
        <f t="shared" si="16"/>
        <v>0</v>
      </c>
      <c r="M98" s="148">
        <f t="shared" si="17"/>
        <v>0</v>
      </c>
      <c r="N98" s="82">
        <f t="shared" si="18"/>
        <v>42826</v>
      </c>
    </row>
    <row r="99" spans="1:14" x14ac:dyDescent="0.25">
      <c r="A99" s="150"/>
      <c r="B99" s="151"/>
      <c r="C99" s="152"/>
      <c r="D99" s="152"/>
      <c r="E99" s="153"/>
      <c r="F99" s="152"/>
      <c r="G99" s="152"/>
      <c r="H99" s="153"/>
      <c r="I99" s="247">
        <f t="shared" si="15"/>
        <v>0</v>
      </c>
      <c r="J99" s="248" t="str">
        <f t="shared" si="14"/>
        <v/>
      </c>
      <c r="L99" s="148">
        <f t="shared" si="16"/>
        <v>0</v>
      </c>
      <c r="M99" s="148">
        <f t="shared" si="17"/>
        <v>0</v>
      </c>
      <c r="N99" s="82">
        <f t="shared" si="18"/>
        <v>42826</v>
      </c>
    </row>
    <row r="100" spans="1:14" x14ac:dyDescent="0.25">
      <c r="A100" s="150"/>
      <c r="B100" s="151"/>
      <c r="C100" s="152"/>
      <c r="D100" s="152"/>
      <c r="E100" s="153"/>
      <c r="F100" s="152"/>
      <c r="G100" s="152"/>
      <c r="H100" s="153"/>
      <c r="I100" s="247">
        <f t="shared" si="15"/>
        <v>0</v>
      </c>
      <c r="J100" s="248" t="str">
        <f t="shared" si="14"/>
        <v/>
      </c>
      <c r="L100" s="148">
        <f t="shared" si="16"/>
        <v>0</v>
      </c>
      <c r="M100" s="148">
        <f t="shared" si="17"/>
        <v>0</v>
      </c>
      <c r="N100" s="82">
        <f t="shared" si="18"/>
        <v>42826</v>
      </c>
    </row>
    <row r="101" spans="1:14" x14ac:dyDescent="0.25">
      <c r="A101" s="150"/>
      <c r="B101" s="151"/>
      <c r="C101" s="152"/>
      <c r="D101" s="152"/>
      <c r="E101" s="153"/>
      <c r="F101" s="152"/>
      <c r="G101" s="152"/>
      <c r="H101" s="153"/>
      <c r="I101" s="247">
        <f t="shared" si="15"/>
        <v>0</v>
      </c>
      <c r="J101" s="248" t="str">
        <f t="shared" si="14"/>
        <v/>
      </c>
      <c r="L101" s="148">
        <f t="shared" si="16"/>
        <v>0</v>
      </c>
      <c r="M101" s="148">
        <f t="shared" si="17"/>
        <v>0</v>
      </c>
      <c r="N101" s="82">
        <f t="shared" si="18"/>
        <v>42826</v>
      </c>
    </row>
    <row r="102" spans="1:14" x14ac:dyDescent="0.25">
      <c r="A102" s="150"/>
      <c r="B102" s="151"/>
      <c r="C102" s="152"/>
      <c r="D102" s="152"/>
      <c r="E102" s="153"/>
      <c r="F102" s="152"/>
      <c r="G102" s="152"/>
      <c r="H102" s="153"/>
      <c r="I102" s="247">
        <f t="shared" si="15"/>
        <v>0</v>
      </c>
      <c r="J102" s="248" t="str">
        <f t="shared" si="14"/>
        <v/>
      </c>
      <c r="L102" s="148">
        <f t="shared" si="16"/>
        <v>0</v>
      </c>
      <c r="M102" s="148">
        <f t="shared" si="17"/>
        <v>0</v>
      </c>
      <c r="N102" s="82">
        <f t="shared" si="18"/>
        <v>42826</v>
      </c>
    </row>
    <row r="103" spans="1:14" x14ac:dyDescent="0.25">
      <c r="A103" s="150"/>
      <c r="B103" s="151"/>
      <c r="C103" s="152"/>
      <c r="D103" s="152"/>
      <c r="E103" s="153"/>
      <c r="F103" s="152"/>
      <c r="G103" s="152"/>
      <c r="H103" s="153"/>
      <c r="I103" s="247">
        <f t="shared" si="15"/>
        <v>0</v>
      </c>
      <c r="J103" s="248" t="str">
        <f t="shared" si="14"/>
        <v/>
      </c>
      <c r="L103" s="148">
        <f t="shared" si="16"/>
        <v>0</v>
      </c>
      <c r="M103" s="148">
        <f t="shared" si="17"/>
        <v>0</v>
      </c>
      <c r="N103" s="82">
        <f t="shared" si="18"/>
        <v>42826</v>
      </c>
    </row>
    <row r="104" spans="1:14" x14ac:dyDescent="0.25">
      <c r="A104" s="150"/>
      <c r="B104" s="151"/>
      <c r="C104" s="152"/>
      <c r="D104" s="152"/>
      <c r="E104" s="153"/>
      <c r="F104" s="152"/>
      <c r="G104" s="152"/>
      <c r="H104" s="153"/>
      <c r="I104" s="247">
        <f t="shared" si="15"/>
        <v>0</v>
      </c>
      <c r="J104" s="248" t="str">
        <f t="shared" si="14"/>
        <v/>
      </c>
      <c r="L104" s="148">
        <f t="shared" si="16"/>
        <v>0</v>
      </c>
      <c r="M104" s="148">
        <f t="shared" si="17"/>
        <v>0</v>
      </c>
      <c r="N104" s="82">
        <f t="shared" si="18"/>
        <v>42826</v>
      </c>
    </row>
    <row r="105" spans="1:14" x14ac:dyDescent="0.25">
      <c r="A105" s="150"/>
      <c r="B105" s="151"/>
      <c r="C105" s="152"/>
      <c r="D105" s="152"/>
      <c r="E105" s="153"/>
      <c r="F105" s="152"/>
      <c r="G105" s="152"/>
      <c r="H105" s="153"/>
      <c r="I105" s="247">
        <f t="shared" si="15"/>
        <v>0</v>
      </c>
      <c r="J105" s="248" t="str">
        <f t="shared" si="14"/>
        <v/>
      </c>
      <c r="L105" s="148">
        <f t="shared" si="16"/>
        <v>0</v>
      </c>
      <c r="M105" s="148">
        <f t="shared" si="17"/>
        <v>0</v>
      </c>
      <c r="N105" s="82">
        <f t="shared" si="18"/>
        <v>42826</v>
      </c>
    </row>
    <row r="106" spans="1:14" x14ac:dyDescent="0.25">
      <c r="A106" s="150"/>
      <c r="B106" s="151"/>
      <c r="C106" s="152"/>
      <c r="D106" s="152"/>
      <c r="E106" s="153"/>
      <c r="F106" s="152"/>
      <c r="G106" s="152"/>
      <c r="H106" s="153"/>
      <c r="I106" s="247">
        <f t="shared" si="15"/>
        <v>0</v>
      </c>
      <c r="J106" s="248" t="str">
        <f t="shared" si="14"/>
        <v/>
      </c>
      <c r="L106" s="148">
        <f t="shared" si="16"/>
        <v>0</v>
      </c>
      <c r="M106" s="148">
        <f t="shared" si="17"/>
        <v>0</v>
      </c>
      <c r="N106" s="82">
        <f t="shared" si="18"/>
        <v>42826</v>
      </c>
    </row>
    <row r="107" spans="1:14" x14ac:dyDescent="0.25">
      <c r="A107" s="150"/>
      <c r="B107" s="151"/>
      <c r="C107" s="152"/>
      <c r="D107" s="152"/>
      <c r="E107" s="153"/>
      <c r="F107" s="152"/>
      <c r="G107" s="152"/>
      <c r="H107" s="153"/>
      <c r="I107" s="247">
        <f t="shared" si="15"/>
        <v>0</v>
      </c>
      <c r="J107" s="248" t="str">
        <f t="shared" si="14"/>
        <v/>
      </c>
      <c r="L107" s="148">
        <f t="shared" si="16"/>
        <v>0</v>
      </c>
      <c r="M107" s="148">
        <f t="shared" si="17"/>
        <v>0</v>
      </c>
      <c r="N107" s="82">
        <f t="shared" si="18"/>
        <v>42826</v>
      </c>
    </row>
    <row r="108" spans="1:14" x14ac:dyDescent="0.25">
      <c r="A108" s="150"/>
      <c r="B108" s="151"/>
      <c r="C108" s="152"/>
      <c r="D108" s="152"/>
      <c r="E108" s="153"/>
      <c r="F108" s="152"/>
      <c r="G108" s="152"/>
      <c r="H108" s="153"/>
      <c r="I108" s="247">
        <f t="shared" si="15"/>
        <v>0</v>
      </c>
      <c r="J108" s="248" t="str">
        <f t="shared" si="14"/>
        <v/>
      </c>
      <c r="L108" s="148">
        <f t="shared" si="16"/>
        <v>0</v>
      </c>
      <c r="M108" s="148">
        <f t="shared" si="17"/>
        <v>0</v>
      </c>
      <c r="N108" s="82">
        <f t="shared" si="18"/>
        <v>42826</v>
      </c>
    </row>
    <row r="109" spans="1:14" x14ac:dyDescent="0.25">
      <c r="A109" s="150"/>
      <c r="B109" s="151"/>
      <c r="C109" s="152"/>
      <c r="D109" s="152"/>
      <c r="E109" s="153"/>
      <c r="F109" s="152"/>
      <c r="G109" s="152"/>
      <c r="H109" s="153"/>
      <c r="I109" s="247">
        <f t="shared" si="15"/>
        <v>0</v>
      </c>
      <c r="J109" s="248" t="str">
        <f t="shared" si="14"/>
        <v/>
      </c>
      <c r="L109" s="148">
        <f t="shared" si="16"/>
        <v>0</v>
      </c>
      <c r="M109" s="148">
        <f t="shared" si="17"/>
        <v>0</v>
      </c>
      <c r="N109" s="82">
        <f t="shared" si="18"/>
        <v>42826</v>
      </c>
    </row>
    <row r="110" spans="1:14" x14ac:dyDescent="0.25">
      <c r="A110" s="150"/>
      <c r="B110" s="151"/>
      <c r="C110" s="152"/>
      <c r="D110" s="152"/>
      <c r="E110" s="153"/>
      <c r="F110" s="152"/>
      <c r="G110" s="152"/>
      <c r="H110" s="153"/>
      <c r="I110" s="247">
        <f t="shared" si="15"/>
        <v>0</v>
      </c>
      <c r="J110" s="248" t="str">
        <f t="shared" si="14"/>
        <v/>
      </c>
      <c r="L110" s="148">
        <f t="shared" si="16"/>
        <v>0</v>
      </c>
      <c r="M110" s="148">
        <f t="shared" si="17"/>
        <v>0</v>
      </c>
      <c r="N110" s="82">
        <f t="shared" si="18"/>
        <v>42826</v>
      </c>
    </row>
    <row r="111" spans="1:14" x14ac:dyDescent="0.25">
      <c r="A111" s="150"/>
      <c r="B111" s="151"/>
      <c r="C111" s="152"/>
      <c r="D111" s="152"/>
      <c r="E111" s="153"/>
      <c r="F111" s="152"/>
      <c r="G111" s="152"/>
      <c r="H111" s="153"/>
      <c r="I111" s="247">
        <f t="shared" si="15"/>
        <v>0</v>
      </c>
      <c r="J111" s="248" t="str">
        <f t="shared" si="14"/>
        <v/>
      </c>
      <c r="L111" s="148">
        <f t="shared" si="16"/>
        <v>0</v>
      </c>
      <c r="M111" s="148">
        <f t="shared" si="17"/>
        <v>0</v>
      </c>
      <c r="N111" s="82">
        <f t="shared" si="18"/>
        <v>42826</v>
      </c>
    </row>
    <row r="112" spans="1:14" x14ac:dyDescent="0.25">
      <c r="A112" s="150"/>
      <c r="B112" s="151"/>
      <c r="C112" s="152"/>
      <c r="D112" s="152"/>
      <c r="E112" s="153"/>
      <c r="F112" s="152"/>
      <c r="G112" s="152"/>
      <c r="H112" s="153"/>
      <c r="I112" s="247">
        <f t="shared" si="15"/>
        <v>0</v>
      </c>
      <c r="J112" s="248" t="str">
        <f>IF(H112="","",IF(H112-E112&gt;365,"LT","ST"))</f>
        <v/>
      </c>
      <c r="L112" s="148">
        <f t="shared" si="16"/>
        <v>0</v>
      </c>
      <c r="M112" s="148">
        <f t="shared" si="17"/>
        <v>0</v>
      </c>
      <c r="N112" s="82">
        <f t="shared" si="18"/>
        <v>42826</v>
      </c>
    </row>
    <row r="113" spans="1:14" x14ac:dyDescent="0.25">
      <c r="A113" s="150"/>
      <c r="B113" s="151"/>
      <c r="C113" s="152"/>
      <c r="D113" s="152"/>
      <c r="E113" s="153"/>
      <c r="F113" s="152"/>
      <c r="G113" s="152"/>
      <c r="H113" s="153"/>
      <c r="I113" s="247">
        <f t="shared" si="15"/>
        <v>0</v>
      </c>
      <c r="J113" s="248" t="str">
        <f t="shared" ref="J113:J122" si="19">IF(H113="","",IF(H113-E113&gt;365,"LT","ST"))</f>
        <v/>
      </c>
      <c r="L113" s="148">
        <f t="shared" si="16"/>
        <v>0</v>
      </c>
      <c r="M113" s="148">
        <f t="shared" si="17"/>
        <v>0</v>
      </c>
      <c r="N113" s="82">
        <f t="shared" si="18"/>
        <v>42826</v>
      </c>
    </row>
    <row r="114" spans="1:14" x14ac:dyDescent="0.25">
      <c r="A114" s="150"/>
      <c r="B114" s="151"/>
      <c r="C114" s="152"/>
      <c r="D114" s="152"/>
      <c r="E114" s="153"/>
      <c r="F114" s="152"/>
      <c r="G114" s="152"/>
      <c r="H114" s="153"/>
      <c r="I114" s="247">
        <f t="shared" si="15"/>
        <v>0</v>
      </c>
      <c r="J114" s="248" t="str">
        <f t="shared" si="19"/>
        <v/>
      </c>
      <c r="L114" s="148">
        <f t="shared" si="16"/>
        <v>0</v>
      </c>
      <c r="M114" s="148">
        <f t="shared" si="17"/>
        <v>0</v>
      </c>
      <c r="N114" s="82">
        <f t="shared" si="18"/>
        <v>42826</v>
      </c>
    </row>
    <row r="115" spans="1:14" x14ac:dyDescent="0.25">
      <c r="A115" s="150"/>
      <c r="B115" s="151"/>
      <c r="C115" s="152"/>
      <c r="D115" s="152"/>
      <c r="E115" s="153"/>
      <c r="F115" s="152"/>
      <c r="G115" s="152"/>
      <c r="H115" s="153"/>
      <c r="I115" s="247">
        <f t="shared" si="15"/>
        <v>0</v>
      </c>
      <c r="J115" s="248" t="str">
        <f t="shared" si="19"/>
        <v/>
      </c>
      <c r="L115" s="148">
        <f t="shared" si="16"/>
        <v>0</v>
      </c>
      <c r="M115" s="148">
        <f t="shared" si="17"/>
        <v>0</v>
      </c>
      <c r="N115" s="82">
        <f t="shared" si="18"/>
        <v>42826</v>
      </c>
    </row>
    <row r="116" spans="1:14" x14ac:dyDescent="0.25">
      <c r="A116" s="150"/>
      <c r="B116" s="151"/>
      <c r="C116" s="152"/>
      <c r="D116" s="152"/>
      <c r="E116" s="153"/>
      <c r="F116" s="152"/>
      <c r="G116" s="152"/>
      <c r="H116" s="153"/>
      <c r="I116" s="247">
        <f t="shared" si="15"/>
        <v>0</v>
      </c>
      <c r="J116" s="248" t="str">
        <f t="shared" si="19"/>
        <v/>
      </c>
      <c r="L116" s="148">
        <f t="shared" si="16"/>
        <v>0</v>
      </c>
      <c r="M116" s="148">
        <f t="shared" si="17"/>
        <v>0</v>
      </c>
      <c r="N116" s="82">
        <f t="shared" si="18"/>
        <v>42826</v>
      </c>
    </row>
    <row r="117" spans="1:14" x14ac:dyDescent="0.25">
      <c r="A117" s="150"/>
      <c r="B117" s="151"/>
      <c r="C117" s="152"/>
      <c r="D117" s="152"/>
      <c r="E117" s="153"/>
      <c r="F117" s="152"/>
      <c r="G117" s="152"/>
      <c r="H117" s="153"/>
      <c r="I117" s="247">
        <f t="shared" si="15"/>
        <v>0</v>
      </c>
      <c r="J117" s="248" t="str">
        <f t="shared" si="19"/>
        <v/>
      </c>
      <c r="L117" s="148">
        <f t="shared" si="16"/>
        <v>0</v>
      </c>
      <c r="M117" s="148">
        <f t="shared" si="17"/>
        <v>0</v>
      </c>
      <c r="N117" s="82">
        <f t="shared" si="18"/>
        <v>42826</v>
      </c>
    </row>
    <row r="118" spans="1:14" x14ac:dyDescent="0.25">
      <c r="A118" s="150"/>
      <c r="B118" s="151"/>
      <c r="C118" s="152"/>
      <c r="D118" s="152"/>
      <c r="E118" s="153"/>
      <c r="F118" s="152"/>
      <c r="G118" s="152"/>
      <c r="H118" s="153"/>
      <c r="I118" s="247">
        <f t="shared" si="15"/>
        <v>0</v>
      </c>
      <c r="J118" s="248" t="str">
        <f t="shared" si="19"/>
        <v/>
      </c>
      <c r="L118" s="148">
        <f t="shared" si="16"/>
        <v>0</v>
      </c>
      <c r="M118" s="148">
        <f t="shared" si="17"/>
        <v>0</v>
      </c>
      <c r="N118" s="82">
        <f t="shared" si="18"/>
        <v>42826</v>
      </c>
    </row>
    <row r="119" spans="1:14" x14ac:dyDescent="0.25">
      <c r="A119" s="150"/>
      <c r="B119" s="151"/>
      <c r="C119" s="152"/>
      <c r="D119" s="152"/>
      <c r="E119" s="153"/>
      <c r="F119" s="152"/>
      <c r="G119" s="152"/>
      <c r="H119" s="153"/>
      <c r="I119" s="247">
        <f t="shared" si="15"/>
        <v>0</v>
      </c>
      <c r="J119" s="248" t="str">
        <f t="shared" si="19"/>
        <v/>
      </c>
      <c r="L119" s="148">
        <f t="shared" si="16"/>
        <v>0</v>
      </c>
      <c r="M119" s="148">
        <f t="shared" si="17"/>
        <v>0</v>
      </c>
      <c r="N119" s="82">
        <f t="shared" si="18"/>
        <v>42826</v>
      </c>
    </row>
    <row r="120" spans="1:14" x14ac:dyDescent="0.25">
      <c r="A120" s="150"/>
      <c r="B120" s="151"/>
      <c r="C120" s="152"/>
      <c r="D120" s="152"/>
      <c r="E120" s="153"/>
      <c r="F120" s="152"/>
      <c r="G120" s="152"/>
      <c r="H120" s="153"/>
      <c r="I120" s="247">
        <f t="shared" si="15"/>
        <v>0</v>
      </c>
      <c r="J120" s="248" t="str">
        <f t="shared" si="19"/>
        <v/>
      </c>
      <c r="L120" s="148">
        <f t="shared" si="16"/>
        <v>0</v>
      </c>
      <c r="M120" s="148">
        <f t="shared" si="17"/>
        <v>0</v>
      </c>
      <c r="N120" s="82">
        <f t="shared" si="18"/>
        <v>42826</v>
      </c>
    </row>
    <row r="121" spans="1:14" x14ac:dyDescent="0.25">
      <c r="A121" s="150"/>
      <c r="B121" s="151"/>
      <c r="C121" s="152"/>
      <c r="D121" s="152"/>
      <c r="E121" s="153"/>
      <c r="F121" s="152"/>
      <c r="G121" s="152"/>
      <c r="H121" s="153"/>
      <c r="I121" s="247">
        <f t="shared" si="15"/>
        <v>0</v>
      </c>
      <c r="J121" s="248" t="str">
        <f t="shared" si="19"/>
        <v/>
      </c>
      <c r="L121" s="148">
        <f t="shared" si="16"/>
        <v>0</v>
      </c>
      <c r="M121" s="148">
        <f t="shared" si="17"/>
        <v>0</v>
      </c>
      <c r="N121" s="82">
        <f t="shared" si="18"/>
        <v>42826</v>
      </c>
    </row>
    <row r="122" spans="1:14" x14ac:dyDescent="0.25">
      <c r="A122" s="150"/>
      <c r="B122" s="151"/>
      <c r="C122" s="152"/>
      <c r="D122" s="152"/>
      <c r="E122" s="153"/>
      <c r="F122" s="152"/>
      <c r="G122" s="152"/>
      <c r="H122" s="153"/>
      <c r="I122" s="247">
        <f t="shared" si="15"/>
        <v>0</v>
      </c>
      <c r="J122" s="248" t="str">
        <f t="shared" si="19"/>
        <v/>
      </c>
      <c r="L122" s="148">
        <f t="shared" si="16"/>
        <v>0</v>
      </c>
      <c r="M122" s="148">
        <f t="shared" si="17"/>
        <v>0</v>
      </c>
      <c r="N122" s="82">
        <f t="shared" si="18"/>
        <v>42826</v>
      </c>
    </row>
    <row r="123" spans="1:14" x14ac:dyDescent="0.25">
      <c r="A123" s="150"/>
      <c r="B123" s="151"/>
      <c r="C123" s="152"/>
      <c r="D123" s="152"/>
      <c r="E123" s="153"/>
      <c r="F123" s="152"/>
      <c r="G123" s="152"/>
      <c r="H123" s="153"/>
      <c r="I123" s="247">
        <f t="shared" si="15"/>
        <v>0</v>
      </c>
      <c r="J123" s="248" t="str">
        <f>IF(H123="","",IF(H123-E123&gt;365,"LT","ST"))</f>
        <v/>
      </c>
      <c r="L123" s="148">
        <f t="shared" si="16"/>
        <v>0</v>
      </c>
      <c r="M123" s="148">
        <f t="shared" si="17"/>
        <v>0</v>
      </c>
      <c r="N123" s="82">
        <f t="shared" si="18"/>
        <v>42826</v>
      </c>
    </row>
    <row r="124" spans="1:14" x14ac:dyDescent="0.25">
      <c r="A124" s="150"/>
      <c r="B124" s="151"/>
      <c r="C124" s="152"/>
      <c r="D124" s="152"/>
      <c r="E124" s="153"/>
      <c r="F124" s="152"/>
      <c r="G124" s="152"/>
      <c r="H124" s="153"/>
      <c r="I124" s="247">
        <f t="shared" si="15"/>
        <v>0</v>
      </c>
      <c r="J124" s="248" t="str">
        <f>IF(H124="","",IF(H124-E124&gt;365,"LT","ST"))</f>
        <v/>
      </c>
      <c r="L124" s="148">
        <f t="shared" si="16"/>
        <v>0</v>
      </c>
      <c r="M124" s="148">
        <f t="shared" si="17"/>
        <v>0</v>
      </c>
      <c r="N124" s="82">
        <f t="shared" si="18"/>
        <v>42826</v>
      </c>
    </row>
    <row r="125" spans="1:14" x14ac:dyDescent="0.25">
      <c r="A125" s="150"/>
      <c r="B125" s="151"/>
      <c r="C125" s="152"/>
      <c r="D125" s="152"/>
      <c r="E125" s="153"/>
      <c r="F125" s="152"/>
      <c r="G125" s="152"/>
      <c r="H125" s="153"/>
      <c r="I125" s="247">
        <f t="shared" si="15"/>
        <v>0</v>
      </c>
      <c r="J125" s="248" t="str">
        <f>IF(H125="","",IF(H125-E125&gt;365,"LT","ST"))</f>
        <v/>
      </c>
      <c r="L125" s="148">
        <f t="shared" si="16"/>
        <v>0</v>
      </c>
      <c r="M125" s="148">
        <f t="shared" si="17"/>
        <v>0</v>
      </c>
      <c r="N125" s="82">
        <f t="shared" si="18"/>
        <v>42826</v>
      </c>
    </row>
    <row r="126" spans="1:14" x14ac:dyDescent="0.25">
      <c r="A126" s="150"/>
      <c r="B126" s="151"/>
      <c r="C126" s="152"/>
      <c r="D126" s="152"/>
      <c r="E126" s="153"/>
      <c r="F126" s="152"/>
      <c r="G126" s="152"/>
      <c r="H126" s="153"/>
      <c r="I126" s="247">
        <f t="shared" si="15"/>
        <v>0</v>
      </c>
      <c r="J126" s="248" t="str">
        <f>IF(H126="","",IF(H126-E126&gt;365,"LT","ST"))</f>
        <v/>
      </c>
      <c r="L126" s="148">
        <f t="shared" si="16"/>
        <v>0</v>
      </c>
      <c r="M126" s="148">
        <f t="shared" si="17"/>
        <v>0</v>
      </c>
      <c r="N126" s="82">
        <f t="shared" si="18"/>
        <v>42826</v>
      </c>
    </row>
    <row r="127" spans="1:14" x14ac:dyDescent="0.25"/>
    <row r="128" spans="1:14" x14ac:dyDescent="0.25">
      <c r="A128" s="365" t="s">
        <v>240</v>
      </c>
      <c r="B128" s="365"/>
      <c r="C128" s="365"/>
      <c r="D128" s="365"/>
      <c r="E128" s="365"/>
      <c r="F128" s="365"/>
      <c r="G128" s="365"/>
      <c r="H128" s="365"/>
      <c r="I128" s="362">
        <f>M128</f>
        <v>324</v>
      </c>
      <c r="J128" s="363"/>
      <c r="K128" s="154"/>
      <c r="L128" s="149">
        <f>SUM(L7:L126)</f>
        <v>0</v>
      </c>
      <c r="M128" s="149">
        <f>SUM(M7:M126)</f>
        <v>324</v>
      </c>
    </row>
    <row r="129" spans="1:11" x14ac:dyDescent="0.25">
      <c r="A129" s="365" t="s">
        <v>241</v>
      </c>
      <c r="B129" s="365"/>
      <c r="C129" s="365"/>
      <c r="D129" s="365"/>
      <c r="E129" s="365"/>
      <c r="F129" s="365"/>
      <c r="G129" s="365"/>
      <c r="H129" s="365"/>
      <c r="I129" s="362">
        <f>L128</f>
        <v>0</v>
      </c>
      <c r="J129" s="363"/>
      <c r="K129" s="154"/>
    </row>
    <row r="130" spans="1:11" x14ac:dyDescent="0.25">
      <c r="A130" s="365" t="s">
        <v>242</v>
      </c>
      <c r="B130" s="365"/>
      <c r="C130" s="365"/>
      <c r="D130" s="365"/>
      <c r="E130" s="365"/>
      <c r="F130" s="365"/>
      <c r="G130" s="365"/>
      <c r="H130" s="365"/>
      <c r="I130" s="362">
        <f>IF(I128&gt;=0,I128,IF(I129&gt;0,I128+MIN(I129,ABS(I128)),I128))</f>
        <v>324</v>
      </c>
      <c r="J130" s="363"/>
      <c r="K130" s="154"/>
    </row>
    <row r="131" spans="1:11" x14ac:dyDescent="0.25"/>
    <row r="132" spans="1:11" s="138" customFormat="1" ht="18" customHeight="1" x14ac:dyDescent="0.25">
      <c r="A132" s="355" t="s">
        <v>236</v>
      </c>
      <c r="B132" s="355"/>
      <c r="C132" s="355"/>
      <c r="D132" s="355"/>
      <c r="E132" s="355"/>
      <c r="F132" s="355"/>
      <c r="G132" s="355"/>
      <c r="H132" s="355"/>
      <c r="I132" s="354">
        <f>MAX(I130*$Q$3,0)</f>
        <v>49</v>
      </c>
      <c r="J132" s="354"/>
    </row>
    <row r="133" spans="1:11" x14ac:dyDescent="0.25">
      <c r="A133" s="360" t="str">
        <f>Copyright</f>
        <v>© 1997-2018, Nithyanand Yeswanth (taxcalc@ynithya.com)</v>
      </c>
      <c r="B133" s="361"/>
      <c r="C133" s="361"/>
      <c r="D133" s="361"/>
      <c r="E133" s="361"/>
      <c r="F133" s="361"/>
      <c r="G133" s="361"/>
      <c r="H133" s="361"/>
      <c r="I133" s="361"/>
      <c r="J133" s="361"/>
    </row>
    <row r="134" spans="1:11" x14ac:dyDescent="0.25">
      <c r="B134" s="91"/>
      <c r="C134" s="91"/>
      <c r="D134" s="91"/>
      <c r="E134" s="91"/>
      <c r="F134" s="91"/>
      <c r="G134" s="91"/>
      <c r="H134" s="92"/>
      <c r="I134" s="93"/>
    </row>
    <row r="135" spans="1:11" x14ac:dyDescent="0.25">
      <c r="A135" s="72" t="s">
        <v>179</v>
      </c>
    </row>
    <row r="136" spans="1:11" x14ac:dyDescent="0.25">
      <c r="A136" s="364" t="s">
        <v>225</v>
      </c>
      <c r="B136" s="364"/>
      <c r="C136" s="364"/>
      <c r="D136" s="364"/>
      <c r="E136" s="364"/>
      <c r="F136" s="364"/>
      <c r="G136" s="364"/>
      <c r="H136" s="364"/>
      <c r="I136" s="364"/>
      <c r="J136" s="364"/>
    </row>
    <row r="137" spans="1:11" x14ac:dyDescent="0.25">
      <c r="A137" s="349" t="s">
        <v>244</v>
      </c>
      <c r="B137" s="349"/>
      <c r="C137" s="349"/>
      <c r="D137" s="349"/>
      <c r="E137" s="349"/>
      <c r="F137" s="349"/>
      <c r="G137" s="349"/>
      <c r="H137" s="349"/>
      <c r="I137" s="349"/>
      <c r="J137" s="349"/>
    </row>
    <row r="138" spans="1:11" x14ac:dyDescent="0.25">
      <c r="A138" s="348" t="s">
        <v>287</v>
      </c>
      <c r="B138" s="349"/>
      <c r="C138" s="349"/>
      <c r="D138" s="349"/>
      <c r="E138" s="349"/>
      <c r="F138" s="349"/>
      <c r="G138" s="349"/>
      <c r="H138" s="349"/>
      <c r="I138" s="349"/>
      <c r="J138" s="349"/>
    </row>
    <row r="139" spans="1:11" ht="12.75" customHeight="1" x14ac:dyDescent="0.25">
      <c r="A139" s="73"/>
      <c r="B139" s="112"/>
      <c r="C139" s="112"/>
      <c r="D139" s="112"/>
      <c r="E139" s="112"/>
      <c r="F139" s="112"/>
      <c r="G139" s="112"/>
      <c r="H139" s="113"/>
    </row>
    <row r="140" spans="1:11" hidden="1" x14ac:dyDescent="0.25">
      <c r="A140" s="73"/>
      <c r="B140" s="112"/>
      <c r="C140" s="112"/>
      <c r="D140" s="112"/>
      <c r="E140" s="112"/>
      <c r="F140" s="112"/>
      <c r="G140" s="112"/>
      <c r="H140" s="113"/>
    </row>
    <row r="141" spans="1:11" hidden="1" x14ac:dyDescent="0.25">
      <c r="A141" s="73"/>
      <c r="B141" s="112"/>
      <c r="C141" s="112"/>
      <c r="D141" s="112"/>
      <c r="E141" s="112"/>
      <c r="F141" s="112"/>
      <c r="G141" s="112"/>
      <c r="H141" s="113"/>
    </row>
    <row r="142" spans="1:11" hidden="1" x14ac:dyDescent="0.25">
      <c r="A142" s="73"/>
      <c r="B142" s="112"/>
      <c r="C142" s="112"/>
      <c r="D142" s="112"/>
      <c r="E142" s="112"/>
      <c r="F142" s="112"/>
      <c r="G142" s="112"/>
      <c r="H142" s="113"/>
    </row>
    <row r="143" spans="1:11" hidden="1" x14ac:dyDescent="0.25">
      <c r="A143" s="73"/>
      <c r="B143" s="112"/>
      <c r="C143" s="112"/>
      <c r="D143" s="112"/>
      <c r="E143" s="112"/>
      <c r="F143" s="112"/>
      <c r="G143" s="112"/>
      <c r="H143" s="113"/>
    </row>
    <row r="144" spans="1:11" hidden="1" x14ac:dyDescent="0.25">
      <c r="A144" s="73"/>
      <c r="B144" s="112"/>
      <c r="C144" s="112"/>
      <c r="D144" s="112"/>
      <c r="E144" s="112"/>
      <c r="F144" s="112"/>
      <c r="G144" s="112"/>
      <c r="H144" s="113"/>
    </row>
    <row r="145" spans="1:8" hidden="1" x14ac:dyDescent="0.25">
      <c r="A145" s="115"/>
      <c r="B145" s="112"/>
      <c r="C145" s="112"/>
      <c r="D145" s="112"/>
      <c r="E145" s="112"/>
      <c r="F145" s="112"/>
      <c r="G145" s="112"/>
      <c r="H145" s="113"/>
    </row>
    <row r="146" spans="1:8" hidden="1" x14ac:dyDescent="0.25">
      <c r="A146" s="115"/>
      <c r="B146" s="112"/>
      <c r="C146" s="112"/>
      <c r="D146" s="112"/>
      <c r="E146" s="112"/>
      <c r="F146" s="112"/>
      <c r="G146" s="112"/>
      <c r="H146" s="113"/>
    </row>
    <row r="147" spans="1:8" hidden="1" x14ac:dyDescent="0.25">
      <c r="A147" s="115"/>
      <c r="B147" s="112"/>
      <c r="C147" s="112"/>
      <c r="D147" s="112"/>
      <c r="E147" s="112"/>
      <c r="F147" s="112"/>
      <c r="G147" s="112"/>
      <c r="H147" s="113"/>
    </row>
    <row r="148" spans="1:8" hidden="1" x14ac:dyDescent="0.25">
      <c r="A148" s="115"/>
      <c r="B148" s="112"/>
      <c r="C148" s="112"/>
      <c r="D148" s="112"/>
      <c r="E148" s="112"/>
      <c r="F148" s="112"/>
      <c r="G148" s="112"/>
      <c r="H148" s="113"/>
    </row>
    <row r="149" spans="1:8" hidden="1" x14ac:dyDescent="0.25">
      <c r="A149" s="115"/>
      <c r="B149" s="112"/>
      <c r="C149" s="112"/>
      <c r="D149" s="112"/>
      <c r="E149" s="112"/>
      <c r="F149" s="112"/>
      <c r="G149" s="112"/>
    </row>
    <row r="150" spans="1:8" hidden="1" x14ac:dyDescent="0.25">
      <c r="A150" s="115"/>
      <c r="B150" s="112"/>
      <c r="C150" s="112"/>
      <c r="D150" s="112"/>
      <c r="E150" s="112"/>
      <c r="F150" s="112"/>
      <c r="G150" s="112"/>
    </row>
    <row r="151" spans="1:8" hidden="1" x14ac:dyDescent="0.25">
      <c r="A151" s="115"/>
      <c r="B151" s="112"/>
      <c r="C151" s="112"/>
      <c r="D151" s="112"/>
      <c r="E151" s="112"/>
      <c r="F151" s="112"/>
      <c r="G151" s="112"/>
    </row>
    <row r="152" spans="1:8" hidden="1" x14ac:dyDescent="0.25">
      <c r="A152" s="115"/>
      <c r="B152" s="112"/>
      <c r="C152" s="112"/>
      <c r="D152" s="112"/>
      <c r="E152" s="112"/>
      <c r="F152" s="112"/>
      <c r="G152" s="112"/>
    </row>
    <row r="153" spans="1:8" hidden="1" x14ac:dyDescent="0.25">
      <c r="A153" s="115"/>
      <c r="B153" s="112"/>
      <c r="C153" s="112"/>
      <c r="D153" s="112"/>
      <c r="E153" s="112"/>
      <c r="F153" s="112"/>
      <c r="G153" s="112"/>
    </row>
    <row r="154" spans="1:8" hidden="1" x14ac:dyDescent="0.25">
      <c r="A154" s="115"/>
      <c r="B154" s="112"/>
      <c r="C154" s="112"/>
      <c r="D154" s="112"/>
      <c r="E154" s="112"/>
      <c r="F154" s="112"/>
      <c r="G154" s="112"/>
    </row>
    <row r="155" spans="1:8" hidden="1" x14ac:dyDescent="0.25">
      <c r="A155" s="115"/>
      <c r="B155" s="112"/>
      <c r="C155" s="112"/>
      <c r="D155" s="112"/>
      <c r="E155" s="112"/>
      <c r="F155" s="112"/>
      <c r="G155" s="112"/>
    </row>
    <row r="156" spans="1:8" hidden="1" x14ac:dyDescent="0.25">
      <c r="A156" s="115"/>
      <c r="B156" s="112"/>
      <c r="C156" s="112"/>
      <c r="D156" s="112"/>
      <c r="E156" s="112"/>
      <c r="F156" s="112"/>
      <c r="G156" s="112"/>
    </row>
    <row r="157" spans="1:8" hidden="1" x14ac:dyDescent="0.25">
      <c r="A157" s="115"/>
      <c r="B157" s="112"/>
      <c r="C157" s="112"/>
      <c r="D157" s="112"/>
      <c r="E157" s="112"/>
      <c r="F157" s="112"/>
      <c r="G157" s="112"/>
    </row>
    <row r="158" spans="1:8" hidden="1" x14ac:dyDescent="0.25">
      <c r="A158" s="115"/>
      <c r="B158" s="112"/>
      <c r="C158" s="112"/>
      <c r="D158" s="112"/>
      <c r="E158" s="112"/>
      <c r="F158" s="112"/>
      <c r="G158" s="112"/>
    </row>
    <row r="159" spans="1:8" hidden="1" x14ac:dyDescent="0.25">
      <c r="A159" s="112"/>
      <c r="B159" s="112"/>
      <c r="C159" s="112"/>
      <c r="D159" s="112"/>
      <c r="E159" s="112"/>
      <c r="F159" s="112"/>
      <c r="G159" s="112"/>
    </row>
    <row r="160" spans="1:8" hidden="1" x14ac:dyDescent="0.25">
      <c r="A160" s="112"/>
      <c r="B160" s="112"/>
      <c r="C160" s="112"/>
      <c r="D160" s="112"/>
      <c r="E160" s="112"/>
      <c r="F160" s="112"/>
      <c r="G160" s="112"/>
    </row>
    <row r="161" spans="1:7" hidden="1" x14ac:dyDescent="0.25">
      <c r="A161" s="112"/>
      <c r="B161" s="112"/>
      <c r="C161" s="112"/>
      <c r="D161" s="112"/>
      <c r="E161" s="112"/>
      <c r="F161" s="112"/>
      <c r="G161" s="112"/>
    </row>
  </sheetData>
  <sheetProtection algorithmName="SHA-512" hashValue="cm16HYOTFW+G/exEyO/94TYxQrNpygkTIEoGigCt2UwV2c2hqYW2bgI49wq2Alit9eepokXmnAUbo2/H6r2UJQ==" saltValue="ivdfgUk7i3brYGpHM7Hv9A==" spinCount="100000" sheet="1" scenarios="1"/>
  <mergeCells count="21">
    <mergeCell ref="A137:J137"/>
    <mergeCell ref="A136:J136"/>
    <mergeCell ref="A128:H128"/>
    <mergeCell ref="A129:H129"/>
    <mergeCell ref="A130:H130"/>
    <mergeCell ref="A138:J138"/>
    <mergeCell ref="A2:J2"/>
    <mergeCell ref="A1:J1"/>
    <mergeCell ref="A3:J3"/>
    <mergeCell ref="I132:J132"/>
    <mergeCell ref="A132:H132"/>
    <mergeCell ref="J5:J6"/>
    <mergeCell ref="I5:I6"/>
    <mergeCell ref="C5:E5"/>
    <mergeCell ref="F5:H5"/>
    <mergeCell ref="A5:A6"/>
    <mergeCell ref="B5:B6"/>
    <mergeCell ref="A133:J133"/>
    <mergeCell ref="I128:J128"/>
    <mergeCell ref="I129:J129"/>
    <mergeCell ref="I130:J130"/>
  </mergeCells>
  <phoneticPr fontId="11" type="noConversion"/>
  <conditionalFormatting sqref="A1">
    <cfRule type="cellIs" dxfId="6" priority="1" stopIfTrue="1" operator="equal">
      <formula>"PLEASE ENTER YOUR NAME HERE"</formula>
    </cfRule>
  </conditionalFormatting>
  <dataValidations count="5">
    <dataValidation type="date" allowBlank="1" showInputMessage="1" showErrorMessage="1" errorTitle="Invalid Date!" error="Selling Date should be after Purchase Date and within current financial year" sqref="H7:H126">
      <formula1>N7</formula1>
      <formula2>$Q$6</formula2>
    </dataValidation>
    <dataValidation allowBlank="1" showErrorMessage="1" errorTitle="Invalid Input!" error="Please enter a positive number for loan amount!" sqref="I7:J126 A7:A126"/>
    <dataValidation type="whole" allowBlank="1" showInputMessage="1" showErrorMessage="1" errorTitle="Invalid Number!" error="Please enter only positive whole numbers" sqref="B7:B126">
      <formula1>0</formula1>
      <formula2>100000</formula2>
    </dataValidation>
    <dataValidation type="decimal" allowBlank="1" showInputMessage="1" showErrorMessage="1" errorTitle="Invalid Price!" error="Enter only positive numbers" sqref="C7:D126 F7:G126">
      <formula1>0</formula1>
      <formula2>100000</formula2>
    </dataValidation>
    <dataValidation type="date" operator="lessThanOrEqual" allowBlank="1" showInputMessage="1" showErrorMessage="1" errorTitle="Invalid Date!" error="Purchase Date should not be beyond current financial year" sqref="E7:E126">
      <formula1>$Q$6</formula1>
    </dataValidation>
  </dataValidations>
  <printOptions horizontalCentered="1"/>
  <pageMargins left="0.4" right="0.4" top="0.85" bottom="0.75" header="0.5" footer="0.5"/>
  <pageSetup paperSize="9" scale="89"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20.0)&amp;R&amp;"Tahoma,Regular"© 1997-2018, Nithyanand Yeswanth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O100"/>
  <sheetViews>
    <sheetView showGridLines="0" topLeftCell="A43" zoomScaleNormal="100" workbookViewId="0">
      <selection sqref="A1:H1"/>
    </sheetView>
  </sheetViews>
  <sheetFormatPr defaultColWidth="0" defaultRowHeight="12.75" zeroHeight="1" x14ac:dyDescent="0.25"/>
  <cols>
    <col min="1" max="1" width="50.83203125" style="78" customWidth="1"/>
    <col min="2" max="3" width="10.83203125" style="78" customWidth="1"/>
    <col min="4" max="4" width="12.83203125" style="78" customWidth="1"/>
    <col min="5" max="5" width="10.83203125" style="78" customWidth="1"/>
    <col min="6" max="7" width="12.83203125" style="78" customWidth="1"/>
    <col min="8" max="8" width="6.83203125" style="112" customWidth="1"/>
    <col min="9" max="9" width="0.33203125" style="78" customWidth="1"/>
    <col min="10" max="11" width="10.83203125" style="78" hidden="1" customWidth="1"/>
    <col min="12" max="12" width="14" style="78" hidden="1" customWidth="1"/>
    <col min="13" max="15" width="0" style="78" hidden="1" customWidth="1"/>
    <col min="16" max="16384" width="10.83203125" style="78" hidden="1"/>
  </cols>
  <sheetData>
    <row r="1" spans="1:15" s="34" customFormat="1" ht="30" customHeight="1" x14ac:dyDescent="0.25">
      <c r="A1" s="351" t="str">
        <f>Instructions!B7</f>
        <v>Atul Tegar</v>
      </c>
      <c r="B1" s="351"/>
      <c r="C1" s="351"/>
      <c r="D1" s="351"/>
      <c r="E1" s="351"/>
      <c r="F1" s="351"/>
      <c r="G1" s="351"/>
      <c r="H1" s="351"/>
    </row>
    <row r="2" spans="1:15" ht="18" customHeight="1" x14ac:dyDescent="0.25">
      <c r="A2" s="350" t="s">
        <v>384</v>
      </c>
      <c r="B2" s="350"/>
      <c r="C2" s="350"/>
      <c r="D2" s="350"/>
      <c r="E2" s="350"/>
      <c r="F2" s="350"/>
      <c r="G2" s="350"/>
      <c r="H2" s="350"/>
      <c r="N2" s="78" t="s">
        <v>234</v>
      </c>
      <c r="O2" s="145">
        <v>0.2</v>
      </c>
    </row>
    <row r="3" spans="1:15" x14ac:dyDescent="0.25">
      <c r="A3" s="352" t="s">
        <v>371</v>
      </c>
      <c r="B3" s="352"/>
      <c r="C3" s="353"/>
      <c r="D3" s="353"/>
      <c r="E3" s="353"/>
      <c r="F3" s="353"/>
      <c r="G3" s="353"/>
      <c r="H3" s="353"/>
      <c r="O3" s="145"/>
    </row>
    <row r="4" spans="1:15" x14ac:dyDescent="0.25">
      <c r="C4" s="91"/>
      <c r="D4" s="91"/>
      <c r="E4" s="91"/>
      <c r="F4" s="92"/>
      <c r="G4" s="93"/>
    </row>
    <row r="5" spans="1:15" ht="12.75" customHeight="1" x14ac:dyDescent="0.25">
      <c r="A5" s="368" t="s">
        <v>388</v>
      </c>
      <c r="B5" s="249"/>
      <c r="C5" s="357" t="s">
        <v>219</v>
      </c>
      <c r="D5" s="357"/>
      <c r="E5" s="357" t="s">
        <v>220</v>
      </c>
      <c r="F5" s="357"/>
      <c r="G5" s="358" t="s">
        <v>221</v>
      </c>
      <c r="H5" s="356" t="s">
        <v>224</v>
      </c>
      <c r="N5" s="78" t="s">
        <v>222</v>
      </c>
      <c r="O5" s="82">
        <f>Perquisites!P5</f>
        <v>42826</v>
      </c>
    </row>
    <row r="6" spans="1:15" x14ac:dyDescent="0.25">
      <c r="A6" s="368"/>
      <c r="B6" s="250"/>
      <c r="C6" s="246" t="s">
        <v>217</v>
      </c>
      <c r="D6" s="246" t="s">
        <v>218</v>
      </c>
      <c r="E6" s="246" t="s">
        <v>217</v>
      </c>
      <c r="F6" s="246" t="s">
        <v>218</v>
      </c>
      <c r="G6" s="358"/>
      <c r="H6" s="357"/>
      <c r="J6" s="147" t="s">
        <v>238</v>
      </c>
      <c r="K6" s="147" t="s">
        <v>239</v>
      </c>
      <c r="L6" s="147" t="s">
        <v>243</v>
      </c>
      <c r="N6" s="78" t="s">
        <v>223</v>
      </c>
      <c r="O6" s="82">
        <f>DATE(YEAR(O5)+1,3,31)</f>
        <v>43190</v>
      </c>
    </row>
    <row r="7" spans="1:15" x14ac:dyDescent="0.25">
      <c r="A7" s="366"/>
      <c r="B7" s="367"/>
      <c r="C7" s="151"/>
      <c r="D7" s="153"/>
      <c r="E7" s="151"/>
      <c r="F7" s="153"/>
      <c r="G7" s="247">
        <f ca="1">J7+K7</f>
        <v>0</v>
      </c>
      <c r="H7" s="248" t="str">
        <f t="shared" ref="H7:H12" si="0">IF(OR(F7="",D7=""),"",IF(F7-D7&gt;730,"LT","ST"))</f>
        <v/>
      </c>
      <c r="J7" s="148">
        <f ca="1">IF(H7="LT",E7-C7*INDIRECT("'Cost Inflation Index'!C"&amp;ROWS(CostInflationTable[#All]))/VLOOKUP(M7,CostInflationTable[[#All],[Yr begin]:[CII]],2,0),0)</f>
        <v>0</v>
      </c>
      <c r="K7" s="148">
        <f>IF(H7="ST",E7-C7,0)</f>
        <v>0</v>
      </c>
      <c r="L7" s="82">
        <f t="shared" ref="L7:L12" si="1">MAX($O$5,D7)</f>
        <v>42826</v>
      </c>
      <c r="M7" s="78" t="str">
        <f>TEXT(YEAR(D7)-IF(MONTH(D7)&lt;4,1,0),"0")</f>
        <v>1899</v>
      </c>
      <c r="N7" s="164" t="s">
        <v>448</v>
      </c>
      <c r="O7" s="82">
        <v>36982</v>
      </c>
    </row>
    <row r="8" spans="1:15" x14ac:dyDescent="0.25">
      <c r="A8" s="366"/>
      <c r="B8" s="367"/>
      <c r="C8" s="151"/>
      <c r="D8" s="153"/>
      <c r="E8" s="151"/>
      <c r="F8" s="153"/>
      <c r="G8" s="247">
        <f t="shared" ref="G8:G12" ca="1" si="2">J8+K8</f>
        <v>0</v>
      </c>
      <c r="H8" s="248" t="str">
        <f t="shared" si="0"/>
        <v/>
      </c>
      <c r="J8" s="148">
        <f ca="1">IF(H8="LT",E8-C8*INDIRECT("'Cost Inflation Index'!C"&amp;ROWS(CostInflationTable[#All]))/VLOOKUP(M8,CostInflationTable[[#All],[Yr begin]:[CII]],2,0),0)</f>
        <v>0</v>
      </c>
      <c r="K8" s="148">
        <f t="shared" ref="K8:K12" si="3">IF(H8="ST",E8-C8,0)</f>
        <v>0</v>
      </c>
      <c r="L8" s="82">
        <f t="shared" si="1"/>
        <v>42826</v>
      </c>
      <c r="M8" s="78" t="str">
        <f t="shared" ref="M8:M12" si="4">TEXT(YEAR(D8)-IF(MONTH(D8)&lt;4,1,0),"0")</f>
        <v>1899</v>
      </c>
    </row>
    <row r="9" spans="1:15" x14ac:dyDescent="0.25">
      <c r="A9" s="366"/>
      <c r="B9" s="367"/>
      <c r="C9" s="151"/>
      <c r="D9" s="153"/>
      <c r="E9" s="151"/>
      <c r="F9" s="153"/>
      <c r="G9" s="247">
        <f t="shared" ref="G9:G10" ca="1" si="5">J9+K9</f>
        <v>0</v>
      </c>
      <c r="H9" s="248" t="str">
        <f t="shared" si="0"/>
        <v/>
      </c>
      <c r="J9" s="148">
        <f ca="1">IF(H9="LT",E9-C9*INDIRECT("'Cost Inflation Index'!C"&amp;ROWS(CostInflationTable[#All]))/VLOOKUP(M9,CostInflationTable[[#All],[Yr begin]:[CII]],2,0),0)</f>
        <v>0</v>
      </c>
      <c r="K9" s="148">
        <f t="shared" ref="K9:K10" si="6">IF(H9="ST",E9-C9,0)</f>
        <v>0</v>
      </c>
      <c r="L9" s="82">
        <f t="shared" si="1"/>
        <v>42826</v>
      </c>
      <c r="M9" s="78" t="str">
        <f t="shared" ref="M9:M10" si="7">TEXT(YEAR(D9)-IF(MONTH(D9)&lt;4,1,0),"0")</f>
        <v>1899</v>
      </c>
    </row>
    <row r="10" spans="1:15" x14ac:dyDescent="0.25">
      <c r="A10" s="366"/>
      <c r="B10" s="367"/>
      <c r="C10" s="151"/>
      <c r="D10" s="153"/>
      <c r="E10" s="151"/>
      <c r="F10" s="153"/>
      <c r="G10" s="247">
        <f t="shared" ca="1" si="5"/>
        <v>0</v>
      </c>
      <c r="H10" s="248" t="str">
        <f t="shared" si="0"/>
        <v/>
      </c>
      <c r="J10" s="148">
        <f ca="1">IF(H10="LT",E10-C10*INDIRECT("'Cost Inflation Index'!C"&amp;ROWS(CostInflationTable[#All]))/VLOOKUP(M10,CostInflationTable[[#All],[Yr begin]:[CII]],2,0),0)</f>
        <v>0</v>
      </c>
      <c r="K10" s="148">
        <f t="shared" si="6"/>
        <v>0</v>
      </c>
      <c r="L10" s="82">
        <f t="shared" si="1"/>
        <v>42826</v>
      </c>
      <c r="M10" s="78" t="str">
        <f t="shared" si="7"/>
        <v>1899</v>
      </c>
    </row>
    <row r="11" spans="1:15" x14ac:dyDescent="0.25">
      <c r="A11" s="366"/>
      <c r="B11" s="367"/>
      <c r="C11" s="151"/>
      <c r="D11" s="153"/>
      <c r="E11" s="151"/>
      <c r="F11" s="153"/>
      <c r="G11" s="247">
        <f t="shared" ca="1" si="2"/>
        <v>0</v>
      </c>
      <c r="H11" s="248" t="str">
        <f t="shared" si="0"/>
        <v/>
      </c>
      <c r="J11" s="148">
        <f ca="1">IF(H11="LT",E11-C11*INDIRECT("'Cost Inflation Index'!C"&amp;ROWS(CostInflationTable[#All]))/VLOOKUP(M11,CostInflationTable[[#All],[Yr begin]:[CII]],2,0),0)</f>
        <v>0</v>
      </c>
      <c r="K11" s="148">
        <f t="shared" si="3"/>
        <v>0</v>
      </c>
      <c r="L11" s="82">
        <f t="shared" si="1"/>
        <v>42826</v>
      </c>
      <c r="M11" s="78" t="str">
        <f t="shared" si="4"/>
        <v>1899</v>
      </c>
    </row>
    <row r="12" spans="1:15" x14ac:dyDescent="0.25">
      <c r="A12" s="366"/>
      <c r="B12" s="367"/>
      <c r="C12" s="151"/>
      <c r="D12" s="153"/>
      <c r="E12" s="151"/>
      <c r="F12" s="153"/>
      <c r="G12" s="247">
        <f t="shared" ca="1" si="2"/>
        <v>0</v>
      </c>
      <c r="H12" s="248" t="str">
        <f t="shared" si="0"/>
        <v/>
      </c>
      <c r="J12" s="148">
        <f ca="1">IF(H12="LT",E12-C12*INDIRECT("'Cost Inflation Index'!C"&amp;ROWS(CostInflationTable[#All]))/VLOOKUP(M12,CostInflationTable[[#All],[Yr begin]:[CII]],2,0),0)</f>
        <v>0</v>
      </c>
      <c r="K12" s="148">
        <f t="shared" si="3"/>
        <v>0</v>
      </c>
      <c r="L12" s="82">
        <f t="shared" si="1"/>
        <v>42826</v>
      </c>
      <c r="M12" s="78" t="str">
        <f t="shared" si="4"/>
        <v>1899</v>
      </c>
    </row>
    <row r="13" spans="1:15" x14ac:dyDescent="0.25"/>
    <row r="14" spans="1:15" x14ac:dyDescent="0.25">
      <c r="A14" s="365" t="s">
        <v>392</v>
      </c>
      <c r="B14" s="365"/>
      <c r="C14" s="365"/>
      <c r="D14" s="365"/>
      <c r="E14" s="365"/>
      <c r="F14" s="365"/>
      <c r="G14" s="362">
        <f>IF(K14&gt;=0,K14,L14)</f>
        <v>0</v>
      </c>
      <c r="H14" s="363"/>
      <c r="I14" s="154"/>
      <c r="J14" s="149">
        <f ca="1">SUM(J7:J12)</f>
        <v>0</v>
      </c>
      <c r="K14" s="149">
        <f>SUM(K7:K12)</f>
        <v>0</v>
      </c>
      <c r="L14" s="178">
        <f ca="1">IF(J14&gt;0,K14+MIN(J14,ABS(K14)),K14)</f>
        <v>0</v>
      </c>
    </row>
    <row r="15" spans="1:15" x14ac:dyDescent="0.25">
      <c r="A15" s="365" t="s">
        <v>393</v>
      </c>
      <c r="B15" s="365"/>
      <c r="C15" s="365"/>
      <c r="D15" s="365"/>
      <c r="E15" s="365"/>
      <c r="F15" s="365"/>
      <c r="G15" s="362">
        <f ca="1">IF(K14&gt;=0,J14,L15)</f>
        <v>0</v>
      </c>
      <c r="H15" s="363"/>
      <c r="I15" s="154"/>
      <c r="L15" s="178">
        <f ca="1">IF(J14&gt;0,J14-MIN(J14,ABS(K14)),J14)</f>
        <v>0</v>
      </c>
    </row>
    <row r="16" spans="1:15" x14ac:dyDescent="0.25"/>
    <row r="17" spans="1:15" s="138" customFormat="1" ht="18" customHeight="1" x14ac:dyDescent="0.25">
      <c r="A17" s="370" t="s">
        <v>387</v>
      </c>
      <c r="B17" s="371"/>
      <c r="C17" s="371"/>
      <c r="D17" s="371"/>
      <c r="E17" s="371"/>
      <c r="F17" s="372"/>
      <c r="G17" s="373">
        <f ca="1">MAX(G15*O2,0)</f>
        <v>0</v>
      </c>
      <c r="H17" s="374"/>
    </row>
    <row r="18" spans="1:15" x14ac:dyDescent="0.25">
      <c r="A18" s="360"/>
      <c r="B18" s="361"/>
      <c r="C18" s="361"/>
      <c r="D18" s="361"/>
      <c r="E18" s="361"/>
      <c r="F18" s="361"/>
      <c r="G18" s="361"/>
      <c r="H18" s="361"/>
    </row>
    <row r="19" spans="1:15" ht="18" customHeight="1" x14ac:dyDescent="0.25">
      <c r="A19" s="350" t="s">
        <v>385</v>
      </c>
      <c r="B19" s="350"/>
      <c r="C19" s="350"/>
      <c r="D19" s="350"/>
      <c r="E19" s="350"/>
      <c r="F19" s="350"/>
      <c r="G19" s="350"/>
      <c r="H19" s="350"/>
      <c r="N19" s="78" t="s">
        <v>234</v>
      </c>
      <c r="O19" s="145">
        <v>0.2</v>
      </c>
    </row>
    <row r="20" spans="1:15" x14ac:dyDescent="0.25">
      <c r="A20" s="352" t="s">
        <v>386</v>
      </c>
      <c r="B20" s="352"/>
      <c r="C20" s="353"/>
      <c r="D20" s="353"/>
      <c r="E20" s="353"/>
      <c r="F20" s="353"/>
      <c r="G20" s="353"/>
      <c r="H20" s="353"/>
      <c r="O20" s="145"/>
    </row>
    <row r="21" spans="1:15" x14ac:dyDescent="0.25">
      <c r="C21" s="91"/>
      <c r="D21" s="91"/>
      <c r="E21" s="91"/>
      <c r="F21" s="92"/>
      <c r="G21" s="93"/>
    </row>
    <row r="22" spans="1:15" ht="12.75" customHeight="1" x14ac:dyDescent="0.25">
      <c r="A22" s="359" t="s">
        <v>389</v>
      </c>
      <c r="B22" s="358" t="s">
        <v>285</v>
      </c>
      <c r="C22" s="357" t="s">
        <v>219</v>
      </c>
      <c r="D22" s="357"/>
      <c r="E22" s="357" t="s">
        <v>220</v>
      </c>
      <c r="F22" s="357"/>
      <c r="G22" s="358" t="s">
        <v>221</v>
      </c>
      <c r="H22" s="356" t="s">
        <v>224</v>
      </c>
      <c r="O22" s="82"/>
    </row>
    <row r="23" spans="1:15" x14ac:dyDescent="0.25">
      <c r="A23" s="359"/>
      <c r="B23" s="358"/>
      <c r="C23" s="246" t="s">
        <v>217</v>
      </c>
      <c r="D23" s="246" t="s">
        <v>218</v>
      </c>
      <c r="E23" s="246" t="s">
        <v>217</v>
      </c>
      <c r="F23" s="246" t="s">
        <v>218</v>
      </c>
      <c r="G23" s="358"/>
      <c r="H23" s="357"/>
      <c r="J23" s="147" t="s">
        <v>238</v>
      </c>
      <c r="K23" s="147" t="s">
        <v>239</v>
      </c>
      <c r="L23" s="147" t="s">
        <v>243</v>
      </c>
      <c r="O23" s="82"/>
    </row>
    <row r="24" spans="1:15" x14ac:dyDescent="0.25">
      <c r="A24" s="150"/>
      <c r="B24" s="181"/>
      <c r="C24" s="151"/>
      <c r="D24" s="153"/>
      <c r="E24" s="151"/>
      <c r="F24" s="153"/>
      <c r="G24" s="247">
        <f ca="1">J24+K24</f>
        <v>0</v>
      </c>
      <c r="H24" s="248" t="str">
        <f>IF(OR(F24="",D24=""),"",IF(F24-D24&gt;1095,"LT","ST"))</f>
        <v/>
      </c>
      <c r="J24" s="148">
        <f ca="1">IF(H24="LT",B24*E24-C24*B24*INDIRECT("'Cost Inflation Index'!C"&amp;ROWS(CostInflationTable[#All]))/VLOOKUP(M24,CostInflationTable[[#All],[Yr begin]:[CII]],2,0),0)</f>
        <v>0</v>
      </c>
      <c r="K24" s="148">
        <f>IF(H24="ST",E24*B24-C24*B24,0)</f>
        <v>0</v>
      </c>
      <c r="L24" s="82">
        <f t="shared" ref="L24:L25" si="8">MAX($O$5,D24)</f>
        <v>42826</v>
      </c>
      <c r="M24" s="78" t="str">
        <f>TEXT(YEAR(D24)-IF(MONTH(D24)&lt;4,1,0),"0")</f>
        <v>1899</v>
      </c>
    </row>
    <row r="25" spans="1:15" x14ac:dyDescent="0.25">
      <c r="A25" s="150"/>
      <c r="B25" s="181"/>
      <c r="C25" s="151"/>
      <c r="D25" s="153"/>
      <c r="E25" s="151"/>
      <c r="F25" s="153"/>
      <c r="G25" s="247">
        <f t="shared" ref="G25" ca="1" si="9">J25+K25</f>
        <v>0</v>
      </c>
      <c r="H25" s="248" t="str">
        <f t="shared" ref="H25" si="10">IF(OR(F25="",D25=""),"",IF(F25-D25&gt;1095,"LT","ST"))</f>
        <v/>
      </c>
      <c r="J25" s="148">
        <f ca="1">IF(H25="LT",B25*E25-C25*B25*INDIRECT("'Cost Inflation Index'!C"&amp;ROWS(CostInflationTable[#All]))/VLOOKUP(M25,CostInflationTable[[#All],[Yr begin]:[CII]],2,0),0)</f>
        <v>0</v>
      </c>
      <c r="K25" s="148">
        <f t="shared" ref="K25" si="11">IF(H25="ST",E25*B25-C25*B25,0)</f>
        <v>0</v>
      </c>
      <c r="L25" s="82">
        <f t="shared" si="8"/>
        <v>42826</v>
      </c>
      <c r="M25" s="78" t="str">
        <f t="shared" ref="M25" si="12">TEXT(YEAR(D25)-IF(MONTH(D25)&lt;4,1,0),"0")</f>
        <v>1899</v>
      </c>
    </row>
    <row r="26" spans="1:15" x14ac:dyDescent="0.25">
      <c r="A26" s="150"/>
      <c r="B26" s="181"/>
      <c r="C26" s="151"/>
      <c r="D26" s="153"/>
      <c r="E26" s="151"/>
      <c r="F26" s="153"/>
      <c r="G26" s="247">
        <f t="shared" ref="G26:G63" ca="1" si="13">J26+K26</f>
        <v>0</v>
      </c>
      <c r="H26" s="248" t="str">
        <f t="shared" ref="H26:H63" si="14">IF(OR(F26="",D26=""),"",IF(F26-D26&gt;1095,"LT","ST"))</f>
        <v/>
      </c>
      <c r="J26" s="148">
        <f ca="1">IF(H26="LT",B26*E26-C26*B26*INDIRECT("'Cost Inflation Index'!C"&amp;ROWS(CostInflationTable[#All]))/VLOOKUP(M26,CostInflationTable[[#All],[Yr begin]:[CII]],2,0),0)</f>
        <v>0</v>
      </c>
      <c r="K26" s="148">
        <f t="shared" ref="K26:K63" si="15">IF(H26="ST",E26*B26-C26*B26,0)</f>
        <v>0</v>
      </c>
      <c r="L26" s="82">
        <f t="shared" ref="L26:L63" si="16">MAX($O$5,D26)</f>
        <v>42826</v>
      </c>
      <c r="M26" s="78" t="str">
        <f t="shared" ref="M26:M63" si="17">TEXT(YEAR(D26)-IF(MONTH(D26)&lt;4,1,0),"0")</f>
        <v>1899</v>
      </c>
    </row>
    <row r="27" spans="1:15" x14ac:dyDescent="0.25">
      <c r="A27" s="150"/>
      <c r="B27" s="181"/>
      <c r="C27" s="151"/>
      <c r="D27" s="153"/>
      <c r="E27" s="151"/>
      <c r="F27" s="153"/>
      <c r="G27" s="247">
        <f t="shared" ca="1" si="13"/>
        <v>0</v>
      </c>
      <c r="H27" s="248" t="str">
        <f t="shared" si="14"/>
        <v/>
      </c>
      <c r="J27" s="148">
        <f ca="1">IF(H27="LT",B27*E27-C27*B27*INDIRECT("'Cost Inflation Index'!C"&amp;ROWS(CostInflationTable[#All]))/VLOOKUP(M27,CostInflationTable[[#All],[Yr begin]:[CII]],2,0),0)</f>
        <v>0</v>
      </c>
      <c r="K27" s="148">
        <f t="shared" si="15"/>
        <v>0</v>
      </c>
      <c r="L27" s="82">
        <f t="shared" si="16"/>
        <v>42826</v>
      </c>
      <c r="M27" s="78" t="str">
        <f t="shared" si="17"/>
        <v>1899</v>
      </c>
    </row>
    <row r="28" spans="1:15" x14ac:dyDescent="0.25">
      <c r="A28" s="150"/>
      <c r="B28" s="181"/>
      <c r="C28" s="151"/>
      <c r="D28" s="153"/>
      <c r="E28" s="151"/>
      <c r="F28" s="153"/>
      <c r="G28" s="247">
        <f t="shared" ca="1" si="13"/>
        <v>0</v>
      </c>
      <c r="H28" s="248" t="str">
        <f t="shared" si="14"/>
        <v/>
      </c>
      <c r="J28" s="148">
        <f ca="1">IF(H28="LT",B28*E28-C28*B28*INDIRECT("'Cost Inflation Index'!C"&amp;ROWS(CostInflationTable[#All]))/VLOOKUP(M28,CostInflationTable[[#All],[Yr begin]:[CII]],2,0),0)</f>
        <v>0</v>
      </c>
      <c r="K28" s="148">
        <f t="shared" si="15"/>
        <v>0</v>
      </c>
      <c r="L28" s="82">
        <f t="shared" si="16"/>
        <v>42826</v>
      </c>
      <c r="M28" s="78" t="str">
        <f t="shared" si="17"/>
        <v>1899</v>
      </c>
    </row>
    <row r="29" spans="1:15" x14ac:dyDescent="0.25">
      <c r="A29" s="150"/>
      <c r="B29" s="181"/>
      <c r="C29" s="151"/>
      <c r="D29" s="153"/>
      <c r="E29" s="151"/>
      <c r="F29" s="153"/>
      <c r="G29" s="247">
        <f t="shared" ca="1" si="13"/>
        <v>0</v>
      </c>
      <c r="H29" s="248" t="str">
        <f t="shared" si="14"/>
        <v/>
      </c>
      <c r="J29" s="148">
        <f ca="1">IF(H29="LT",B29*E29-C29*B29*INDIRECT("'Cost Inflation Index'!C"&amp;ROWS(CostInflationTable[#All]))/VLOOKUP(M29,CostInflationTable[[#All],[Yr begin]:[CII]],2,0),0)</f>
        <v>0</v>
      </c>
      <c r="K29" s="148">
        <f t="shared" si="15"/>
        <v>0</v>
      </c>
      <c r="L29" s="82">
        <f t="shared" si="16"/>
        <v>42826</v>
      </c>
      <c r="M29" s="78" t="str">
        <f t="shared" si="17"/>
        <v>1899</v>
      </c>
    </row>
    <row r="30" spans="1:15" x14ac:dyDescent="0.25">
      <c r="A30" s="150"/>
      <c r="B30" s="181"/>
      <c r="C30" s="151"/>
      <c r="D30" s="153"/>
      <c r="E30" s="151"/>
      <c r="F30" s="153"/>
      <c r="G30" s="247">
        <f t="shared" ca="1" si="13"/>
        <v>0</v>
      </c>
      <c r="H30" s="248" t="str">
        <f t="shared" si="14"/>
        <v/>
      </c>
      <c r="J30" s="148">
        <f ca="1">IF(H30="LT",B30*E30-C30*B30*INDIRECT("'Cost Inflation Index'!C"&amp;ROWS(CostInflationTable[#All]))/VLOOKUP(M30,CostInflationTable[[#All],[Yr begin]:[CII]],2,0),0)</f>
        <v>0</v>
      </c>
      <c r="K30" s="148">
        <f t="shared" si="15"/>
        <v>0</v>
      </c>
      <c r="L30" s="82">
        <f t="shared" si="16"/>
        <v>42826</v>
      </c>
      <c r="M30" s="78" t="str">
        <f t="shared" si="17"/>
        <v>1899</v>
      </c>
    </row>
    <row r="31" spans="1:15" x14ac:dyDescent="0.25">
      <c r="A31" s="150"/>
      <c r="B31" s="181"/>
      <c r="C31" s="151"/>
      <c r="D31" s="153"/>
      <c r="E31" s="151"/>
      <c r="F31" s="153"/>
      <c r="G31" s="247">
        <f t="shared" ca="1" si="13"/>
        <v>0</v>
      </c>
      <c r="H31" s="248" t="str">
        <f t="shared" si="14"/>
        <v/>
      </c>
      <c r="J31" s="148">
        <f ca="1">IF(H31="LT",B31*E31-C31*B31*INDIRECT("'Cost Inflation Index'!C"&amp;ROWS(CostInflationTable[#All]))/VLOOKUP(M31,CostInflationTable[[#All],[Yr begin]:[CII]],2,0),0)</f>
        <v>0</v>
      </c>
      <c r="K31" s="148">
        <f t="shared" si="15"/>
        <v>0</v>
      </c>
      <c r="L31" s="82">
        <f t="shared" si="16"/>
        <v>42826</v>
      </c>
      <c r="M31" s="78" t="str">
        <f t="shared" si="17"/>
        <v>1899</v>
      </c>
    </row>
    <row r="32" spans="1:15" x14ac:dyDescent="0.25">
      <c r="A32" s="150"/>
      <c r="B32" s="181"/>
      <c r="C32" s="151"/>
      <c r="D32" s="153"/>
      <c r="E32" s="151"/>
      <c r="F32" s="153"/>
      <c r="G32" s="247">
        <f t="shared" ca="1" si="13"/>
        <v>0</v>
      </c>
      <c r="H32" s="248" t="str">
        <f t="shared" si="14"/>
        <v/>
      </c>
      <c r="J32" s="148">
        <f ca="1">IF(H32="LT",B32*E32-C32*B32*INDIRECT("'Cost Inflation Index'!C"&amp;ROWS(CostInflationTable[#All]))/VLOOKUP(M32,CostInflationTable[[#All],[Yr begin]:[CII]],2,0),0)</f>
        <v>0</v>
      </c>
      <c r="K32" s="148">
        <f t="shared" si="15"/>
        <v>0</v>
      </c>
      <c r="L32" s="82">
        <f t="shared" si="16"/>
        <v>42826</v>
      </c>
      <c r="M32" s="78" t="str">
        <f t="shared" si="17"/>
        <v>1899</v>
      </c>
    </row>
    <row r="33" spans="1:13" x14ac:dyDescent="0.25">
      <c r="A33" s="150"/>
      <c r="B33" s="181"/>
      <c r="C33" s="151"/>
      <c r="D33" s="153"/>
      <c r="E33" s="151"/>
      <c r="F33" s="153"/>
      <c r="G33" s="247">
        <f t="shared" ca="1" si="13"/>
        <v>0</v>
      </c>
      <c r="H33" s="248" t="str">
        <f t="shared" si="14"/>
        <v/>
      </c>
      <c r="J33" s="148">
        <f ca="1">IF(H33="LT",B33*E33-C33*B33*INDIRECT("'Cost Inflation Index'!C"&amp;ROWS(CostInflationTable[#All]))/VLOOKUP(M33,CostInflationTable[[#All],[Yr begin]:[CII]],2,0),0)</f>
        <v>0</v>
      </c>
      <c r="K33" s="148">
        <f t="shared" si="15"/>
        <v>0</v>
      </c>
      <c r="L33" s="82">
        <f t="shared" si="16"/>
        <v>42826</v>
      </c>
      <c r="M33" s="78" t="str">
        <f t="shared" si="17"/>
        <v>1899</v>
      </c>
    </row>
    <row r="34" spans="1:13" x14ac:dyDescent="0.25">
      <c r="A34" s="150"/>
      <c r="B34" s="181"/>
      <c r="C34" s="151"/>
      <c r="D34" s="153"/>
      <c r="E34" s="151"/>
      <c r="F34" s="153"/>
      <c r="G34" s="247">
        <f t="shared" ca="1" si="13"/>
        <v>0</v>
      </c>
      <c r="H34" s="248" t="str">
        <f t="shared" si="14"/>
        <v/>
      </c>
      <c r="J34" s="148">
        <f ca="1">IF(H34="LT",B34*E34-C34*B34*INDIRECT("'Cost Inflation Index'!C"&amp;ROWS(CostInflationTable[#All]))/VLOOKUP(M34,CostInflationTable[[#All],[Yr begin]:[CII]],2,0),0)</f>
        <v>0</v>
      </c>
      <c r="K34" s="148">
        <f t="shared" si="15"/>
        <v>0</v>
      </c>
      <c r="L34" s="82">
        <f t="shared" si="16"/>
        <v>42826</v>
      </c>
      <c r="M34" s="78" t="str">
        <f t="shared" si="17"/>
        <v>1899</v>
      </c>
    </row>
    <row r="35" spans="1:13" x14ac:dyDescent="0.25">
      <c r="A35" s="150"/>
      <c r="B35" s="181"/>
      <c r="C35" s="151"/>
      <c r="D35" s="153"/>
      <c r="E35" s="151"/>
      <c r="F35" s="153"/>
      <c r="G35" s="247">
        <f t="shared" ca="1" si="13"/>
        <v>0</v>
      </c>
      <c r="H35" s="248" t="str">
        <f t="shared" si="14"/>
        <v/>
      </c>
      <c r="J35" s="148">
        <f ca="1">IF(H35="LT",B35*E35-C35*B35*INDIRECT("'Cost Inflation Index'!C"&amp;ROWS(CostInflationTable[#All]))/VLOOKUP(M35,CostInflationTable[[#All],[Yr begin]:[CII]],2,0),0)</f>
        <v>0</v>
      </c>
      <c r="K35" s="148">
        <f t="shared" si="15"/>
        <v>0</v>
      </c>
      <c r="L35" s="82">
        <f t="shared" si="16"/>
        <v>42826</v>
      </c>
      <c r="M35" s="78" t="str">
        <f t="shared" si="17"/>
        <v>1899</v>
      </c>
    </row>
    <row r="36" spans="1:13" x14ac:dyDescent="0.25">
      <c r="A36" s="150"/>
      <c r="B36" s="181"/>
      <c r="C36" s="151"/>
      <c r="D36" s="153"/>
      <c r="E36" s="151"/>
      <c r="F36" s="153"/>
      <c r="G36" s="247">
        <f t="shared" ca="1" si="13"/>
        <v>0</v>
      </c>
      <c r="H36" s="248" t="str">
        <f t="shared" si="14"/>
        <v/>
      </c>
      <c r="J36" s="148">
        <f ca="1">IF(H36="LT",B36*E36-C36*B36*INDIRECT("'Cost Inflation Index'!C"&amp;ROWS(CostInflationTable[#All]))/VLOOKUP(M36,CostInflationTable[[#All],[Yr begin]:[CII]],2,0),0)</f>
        <v>0</v>
      </c>
      <c r="K36" s="148">
        <f t="shared" si="15"/>
        <v>0</v>
      </c>
      <c r="L36" s="82">
        <f t="shared" si="16"/>
        <v>42826</v>
      </c>
      <c r="M36" s="78" t="str">
        <f t="shared" si="17"/>
        <v>1899</v>
      </c>
    </row>
    <row r="37" spans="1:13" x14ac:dyDescent="0.25">
      <c r="A37" s="150"/>
      <c r="B37" s="181"/>
      <c r="C37" s="151"/>
      <c r="D37" s="153"/>
      <c r="E37" s="151"/>
      <c r="F37" s="153"/>
      <c r="G37" s="247">
        <f t="shared" ca="1" si="13"/>
        <v>0</v>
      </c>
      <c r="H37" s="248" t="str">
        <f t="shared" si="14"/>
        <v/>
      </c>
      <c r="J37" s="148">
        <f ca="1">IF(H37="LT",B37*E37-C37*B37*INDIRECT("'Cost Inflation Index'!C"&amp;ROWS(CostInflationTable[#All]))/VLOOKUP(M37,CostInflationTable[[#All],[Yr begin]:[CII]],2,0),0)</f>
        <v>0</v>
      </c>
      <c r="K37" s="148">
        <f t="shared" si="15"/>
        <v>0</v>
      </c>
      <c r="L37" s="82">
        <f t="shared" si="16"/>
        <v>42826</v>
      </c>
      <c r="M37" s="78" t="str">
        <f t="shared" si="17"/>
        <v>1899</v>
      </c>
    </row>
    <row r="38" spans="1:13" x14ac:dyDescent="0.25">
      <c r="A38" s="150"/>
      <c r="B38" s="181"/>
      <c r="C38" s="151"/>
      <c r="D38" s="153"/>
      <c r="E38" s="151"/>
      <c r="F38" s="153"/>
      <c r="G38" s="247">
        <f t="shared" ca="1" si="13"/>
        <v>0</v>
      </c>
      <c r="H38" s="248" t="str">
        <f t="shared" si="14"/>
        <v/>
      </c>
      <c r="J38" s="148">
        <f ca="1">IF(H38="LT",B38*E38-C38*B38*INDIRECT("'Cost Inflation Index'!C"&amp;ROWS(CostInflationTable[#All]))/VLOOKUP(M38,CostInflationTable[[#All],[Yr begin]:[CII]],2,0),0)</f>
        <v>0</v>
      </c>
      <c r="K38" s="148">
        <f t="shared" si="15"/>
        <v>0</v>
      </c>
      <c r="L38" s="82">
        <f t="shared" si="16"/>
        <v>42826</v>
      </c>
      <c r="M38" s="78" t="str">
        <f t="shared" si="17"/>
        <v>1899</v>
      </c>
    </row>
    <row r="39" spans="1:13" x14ac:dyDescent="0.25">
      <c r="A39" s="150"/>
      <c r="B39" s="181"/>
      <c r="C39" s="151"/>
      <c r="D39" s="153"/>
      <c r="E39" s="151"/>
      <c r="F39" s="153"/>
      <c r="G39" s="247">
        <f t="shared" ca="1" si="13"/>
        <v>0</v>
      </c>
      <c r="H39" s="248" t="str">
        <f t="shared" si="14"/>
        <v/>
      </c>
      <c r="J39" s="148">
        <f ca="1">IF(H39="LT",B39*E39-C39*B39*INDIRECT("'Cost Inflation Index'!C"&amp;ROWS(CostInflationTable[#All]))/VLOOKUP(M39,CostInflationTable[[#All],[Yr begin]:[CII]],2,0),0)</f>
        <v>0</v>
      </c>
      <c r="K39" s="148">
        <f t="shared" si="15"/>
        <v>0</v>
      </c>
      <c r="L39" s="82">
        <f t="shared" si="16"/>
        <v>42826</v>
      </c>
      <c r="M39" s="78" t="str">
        <f t="shared" si="17"/>
        <v>1899</v>
      </c>
    </row>
    <row r="40" spans="1:13" x14ac:dyDescent="0.25">
      <c r="A40" s="150"/>
      <c r="B40" s="181"/>
      <c r="C40" s="151"/>
      <c r="D40" s="153"/>
      <c r="E40" s="151"/>
      <c r="F40" s="153"/>
      <c r="G40" s="247">
        <f t="shared" ca="1" si="13"/>
        <v>0</v>
      </c>
      <c r="H40" s="248" t="str">
        <f t="shared" si="14"/>
        <v/>
      </c>
      <c r="J40" s="148">
        <f ca="1">IF(H40="LT",B40*E40-C40*B40*INDIRECT("'Cost Inflation Index'!C"&amp;ROWS(CostInflationTable[#All]))/VLOOKUP(M40,CostInflationTable[[#All],[Yr begin]:[CII]],2,0),0)</f>
        <v>0</v>
      </c>
      <c r="K40" s="148">
        <f t="shared" si="15"/>
        <v>0</v>
      </c>
      <c r="L40" s="82">
        <f t="shared" si="16"/>
        <v>42826</v>
      </c>
      <c r="M40" s="78" t="str">
        <f t="shared" si="17"/>
        <v>1899</v>
      </c>
    </row>
    <row r="41" spans="1:13" x14ac:dyDescent="0.25">
      <c r="A41" s="150"/>
      <c r="B41" s="181"/>
      <c r="C41" s="151"/>
      <c r="D41" s="153"/>
      <c r="E41" s="151"/>
      <c r="F41" s="153"/>
      <c r="G41" s="247">
        <f t="shared" ca="1" si="13"/>
        <v>0</v>
      </c>
      <c r="H41" s="248" t="str">
        <f t="shared" si="14"/>
        <v/>
      </c>
      <c r="J41" s="148">
        <f ca="1">IF(H41="LT",B41*E41-C41*B41*INDIRECT("'Cost Inflation Index'!C"&amp;ROWS(CostInflationTable[#All]))/VLOOKUP(M41,CostInflationTable[[#All],[Yr begin]:[CII]],2,0),0)</f>
        <v>0</v>
      </c>
      <c r="K41" s="148">
        <f t="shared" si="15"/>
        <v>0</v>
      </c>
      <c r="L41" s="82">
        <f t="shared" si="16"/>
        <v>42826</v>
      </c>
      <c r="M41" s="78" t="str">
        <f t="shared" si="17"/>
        <v>1899</v>
      </c>
    </row>
    <row r="42" spans="1:13" x14ac:dyDescent="0.25">
      <c r="A42" s="150"/>
      <c r="B42" s="181"/>
      <c r="C42" s="151"/>
      <c r="D42" s="153"/>
      <c r="E42" s="151"/>
      <c r="F42" s="153"/>
      <c r="G42" s="247">
        <f t="shared" ca="1" si="13"/>
        <v>0</v>
      </c>
      <c r="H42" s="248" t="str">
        <f t="shared" si="14"/>
        <v/>
      </c>
      <c r="J42" s="148">
        <f ca="1">IF(H42="LT",B42*E42-C42*B42*INDIRECT("'Cost Inflation Index'!C"&amp;ROWS(CostInflationTable[#All]))/VLOOKUP(M42,CostInflationTable[[#All],[Yr begin]:[CII]],2,0),0)</f>
        <v>0</v>
      </c>
      <c r="K42" s="148">
        <f t="shared" si="15"/>
        <v>0</v>
      </c>
      <c r="L42" s="82">
        <f t="shared" si="16"/>
        <v>42826</v>
      </c>
      <c r="M42" s="78" t="str">
        <f t="shared" si="17"/>
        <v>1899</v>
      </c>
    </row>
    <row r="43" spans="1:13" x14ac:dyDescent="0.25">
      <c r="A43" s="150"/>
      <c r="B43" s="181"/>
      <c r="C43" s="151"/>
      <c r="D43" s="153"/>
      <c r="E43" s="151"/>
      <c r="F43" s="153"/>
      <c r="G43" s="247">
        <f t="shared" ca="1" si="13"/>
        <v>0</v>
      </c>
      <c r="H43" s="248" t="str">
        <f t="shared" si="14"/>
        <v/>
      </c>
      <c r="J43" s="148">
        <f ca="1">IF(H43="LT",B43*E43-C43*B43*INDIRECT("'Cost Inflation Index'!C"&amp;ROWS(CostInflationTable[#All]))/VLOOKUP(M43,CostInflationTable[[#All],[Yr begin]:[CII]],2,0),0)</f>
        <v>0</v>
      </c>
      <c r="K43" s="148">
        <f t="shared" si="15"/>
        <v>0</v>
      </c>
      <c r="L43" s="82">
        <f t="shared" si="16"/>
        <v>42826</v>
      </c>
      <c r="M43" s="78" t="str">
        <f t="shared" si="17"/>
        <v>1899</v>
      </c>
    </row>
    <row r="44" spans="1:13" x14ac:dyDescent="0.25">
      <c r="A44" s="150"/>
      <c r="B44" s="181"/>
      <c r="C44" s="151"/>
      <c r="D44" s="153"/>
      <c r="E44" s="151"/>
      <c r="F44" s="153"/>
      <c r="G44" s="247">
        <f t="shared" ca="1" si="13"/>
        <v>0</v>
      </c>
      <c r="H44" s="248" t="str">
        <f t="shared" si="14"/>
        <v/>
      </c>
      <c r="J44" s="148">
        <f ca="1">IF(H44="LT",B44*E44-C44*B44*INDIRECT("'Cost Inflation Index'!C"&amp;ROWS(CostInflationTable[#All]))/VLOOKUP(M44,CostInflationTable[[#All],[Yr begin]:[CII]],2,0),0)</f>
        <v>0</v>
      </c>
      <c r="K44" s="148">
        <f t="shared" si="15"/>
        <v>0</v>
      </c>
      <c r="L44" s="82">
        <f t="shared" si="16"/>
        <v>42826</v>
      </c>
      <c r="M44" s="78" t="str">
        <f t="shared" si="17"/>
        <v>1899</v>
      </c>
    </row>
    <row r="45" spans="1:13" x14ac:dyDescent="0.25">
      <c r="A45" s="150"/>
      <c r="B45" s="181"/>
      <c r="C45" s="151"/>
      <c r="D45" s="153"/>
      <c r="E45" s="151"/>
      <c r="F45" s="153"/>
      <c r="G45" s="247">
        <f t="shared" ca="1" si="13"/>
        <v>0</v>
      </c>
      <c r="H45" s="248" t="str">
        <f t="shared" si="14"/>
        <v/>
      </c>
      <c r="J45" s="148">
        <f ca="1">IF(H45="LT",B45*E45-C45*B45*INDIRECT("'Cost Inflation Index'!C"&amp;ROWS(CostInflationTable[#All]))/VLOOKUP(M45,CostInflationTable[[#All],[Yr begin]:[CII]],2,0),0)</f>
        <v>0</v>
      </c>
      <c r="K45" s="148">
        <f t="shared" si="15"/>
        <v>0</v>
      </c>
      <c r="L45" s="82">
        <f t="shared" si="16"/>
        <v>42826</v>
      </c>
      <c r="M45" s="78" t="str">
        <f t="shared" si="17"/>
        <v>1899</v>
      </c>
    </row>
    <row r="46" spans="1:13" x14ac:dyDescent="0.25">
      <c r="A46" s="150"/>
      <c r="B46" s="181"/>
      <c r="C46" s="151"/>
      <c r="D46" s="153"/>
      <c r="E46" s="151"/>
      <c r="F46" s="153"/>
      <c r="G46" s="247">
        <f t="shared" ca="1" si="13"/>
        <v>0</v>
      </c>
      <c r="H46" s="248" t="str">
        <f t="shared" si="14"/>
        <v/>
      </c>
      <c r="J46" s="148">
        <f ca="1">IF(H46="LT",B46*E46-C46*B46*INDIRECT("'Cost Inflation Index'!C"&amp;ROWS(CostInflationTable[#All]))/VLOOKUP(M46,CostInflationTable[[#All],[Yr begin]:[CII]],2,0),0)</f>
        <v>0</v>
      </c>
      <c r="K46" s="148">
        <f t="shared" si="15"/>
        <v>0</v>
      </c>
      <c r="L46" s="82">
        <f t="shared" si="16"/>
        <v>42826</v>
      </c>
      <c r="M46" s="78" t="str">
        <f t="shared" si="17"/>
        <v>1899</v>
      </c>
    </row>
    <row r="47" spans="1:13" x14ac:dyDescent="0.25">
      <c r="A47" s="150"/>
      <c r="B47" s="181"/>
      <c r="C47" s="151"/>
      <c r="D47" s="153"/>
      <c r="E47" s="151"/>
      <c r="F47" s="153"/>
      <c r="G47" s="247">
        <f t="shared" ca="1" si="13"/>
        <v>0</v>
      </c>
      <c r="H47" s="248" t="str">
        <f t="shared" si="14"/>
        <v/>
      </c>
      <c r="J47" s="148">
        <f ca="1">IF(H47="LT",B47*E47-C47*B47*INDIRECT("'Cost Inflation Index'!C"&amp;ROWS(CostInflationTable[#All]))/VLOOKUP(M47,CostInflationTable[[#All],[Yr begin]:[CII]],2,0),0)</f>
        <v>0</v>
      </c>
      <c r="K47" s="148">
        <f t="shared" si="15"/>
        <v>0</v>
      </c>
      <c r="L47" s="82">
        <f t="shared" si="16"/>
        <v>42826</v>
      </c>
      <c r="M47" s="78" t="str">
        <f t="shared" si="17"/>
        <v>1899</v>
      </c>
    </row>
    <row r="48" spans="1:13" x14ac:dyDescent="0.25">
      <c r="A48" s="150"/>
      <c r="B48" s="181"/>
      <c r="C48" s="151"/>
      <c r="D48" s="153"/>
      <c r="E48" s="151"/>
      <c r="F48" s="153"/>
      <c r="G48" s="247">
        <f t="shared" ca="1" si="13"/>
        <v>0</v>
      </c>
      <c r="H48" s="248" t="str">
        <f t="shared" si="14"/>
        <v/>
      </c>
      <c r="J48" s="148">
        <f ca="1">IF(H48="LT",B48*E48-C48*B48*INDIRECT("'Cost Inflation Index'!C"&amp;ROWS(CostInflationTable[#All]))/VLOOKUP(M48,CostInflationTable[[#All],[Yr begin]:[CII]],2,0),0)</f>
        <v>0</v>
      </c>
      <c r="K48" s="148">
        <f t="shared" si="15"/>
        <v>0</v>
      </c>
      <c r="L48" s="82">
        <f t="shared" si="16"/>
        <v>42826</v>
      </c>
      <c r="M48" s="78" t="str">
        <f t="shared" si="17"/>
        <v>1899</v>
      </c>
    </row>
    <row r="49" spans="1:13" x14ac:dyDescent="0.25">
      <c r="A49" s="150"/>
      <c r="B49" s="181"/>
      <c r="C49" s="151"/>
      <c r="D49" s="153"/>
      <c r="E49" s="151"/>
      <c r="F49" s="153"/>
      <c r="G49" s="247">
        <f t="shared" ca="1" si="13"/>
        <v>0</v>
      </c>
      <c r="H49" s="248" t="str">
        <f t="shared" si="14"/>
        <v/>
      </c>
      <c r="J49" s="148">
        <f ca="1">IF(H49="LT",B49*E49-C49*B49*INDIRECT("'Cost Inflation Index'!C"&amp;ROWS(CostInflationTable[#All]))/VLOOKUP(M49,CostInflationTable[[#All],[Yr begin]:[CII]],2,0),0)</f>
        <v>0</v>
      </c>
      <c r="K49" s="148">
        <f t="shared" si="15"/>
        <v>0</v>
      </c>
      <c r="L49" s="82">
        <f t="shared" si="16"/>
        <v>42826</v>
      </c>
      <c r="M49" s="78" t="str">
        <f t="shared" si="17"/>
        <v>1899</v>
      </c>
    </row>
    <row r="50" spans="1:13" x14ac:dyDescent="0.25">
      <c r="A50" s="150"/>
      <c r="B50" s="181"/>
      <c r="C50" s="151"/>
      <c r="D50" s="153"/>
      <c r="E50" s="151"/>
      <c r="F50" s="153"/>
      <c r="G50" s="247">
        <f t="shared" ca="1" si="13"/>
        <v>0</v>
      </c>
      <c r="H50" s="248" t="str">
        <f t="shared" si="14"/>
        <v/>
      </c>
      <c r="J50" s="148">
        <f ca="1">IF(H50="LT",B50*E50-C50*B50*INDIRECT("'Cost Inflation Index'!C"&amp;ROWS(CostInflationTable[#All]))/VLOOKUP(M50,CostInflationTable[[#All],[Yr begin]:[CII]],2,0),0)</f>
        <v>0</v>
      </c>
      <c r="K50" s="148">
        <f t="shared" si="15"/>
        <v>0</v>
      </c>
      <c r="L50" s="82">
        <f t="shared" si="16"/>
        <v>42826</v>
      </c>
      <c r="M50" s="78" t="str">
        <f t="shared" si="17"/>
        <v>1899</v>
      </c>
    </row>
    <row r="51" spans="1:13" x14ac:dyDescent="0.25">
      <c r="A51" s="150"/>
      <c r="B51" s="181"/>
      <c r="C51" s="151"/>
      <c r="D51" s="153"/>
      <c r="E51" s="151"/>
      <c r="F51" s="153"/>
      <c r="G51" s="247">
        <f t="shared" ca="1" si="13"/>
        <v>0</v>
      </c>
      <c r="H51" s="248" t="str">
        <f t="shared" si="14"/>
        <v/>
      </c>
      <c r="J51" s="148">
        <f ca="1">IF(H51="LT",B51*E51-C51*B51*INDIRECT("'Cost Inflation Index'!C"&amp;ROWS(CostInflationTable[#All]))/VLOOKUP(M51,CostInflationTable[[#All],[Yr begin]:[CII]],2,0),0)</f>
        <v>0</v>
      </c>
      <c r="K51" s="148">
        <f t="shared" si="15"/>
        <v>0</v>
      </c>
      <c r="L51" s="82">
        <f t="shared" si="16"/>
        <v>42826</v>
      </c>
      <c r="M51" s="78" t="str">
        <f t="shared" si="17"/>
        <v>1899</v>
      </c>
    </row>
    <row r="52" spans="1:13" x14ac:dyDescent="0.25">
      <c r="A52" s="150"/>
      <c r="B52" s="181"/>
      <c r="C52" s="151"/>
      <c r="D52" s="153"/>
      <c r="E52" s="151"/>
      <c r="F52" s="153"/>
      <c r="G52" s="247">
        <f t="shared" ca="1" si="13"/>
        <v>0</v>
      </c>
      <c r="H52" s="248" t="str">
        <f t="shared" si="14"/>
        <v/>
      </c>
      <c r="J52" s="148">
        <f ca="1">IF(H52="LT",B52*E52-C52*B52*INDIRECT("'Cost Inflation Index'!C"&amp;ROWS(CostInflationTable[#All]))/VLOOKUP(M52,CostInflationTable[[#All],[Yr begin]:[CII]],2,0),0)</f>
        <v>0</v>
      </c>
      <c r="K52" s="148">
        <f t="shared" si="15"/>
        <v>0</v>
      </c>
      <c r="L52" s="82">
        <f t="shared" si="16"/>
        <v>42826</v>
      </c>
      <c r="M52" s="78" t="str">
        <f t="shared" si="17"/>
        <v>1899</v>
      </c>
    </row>
    <row r="53" spans="1:13" x14ac:dyDescent="0.25">
      <c r="A53" s="150"/>
      <c r="B53" s="181"/>
      <c r="C53" s="151"/>
      <c r="D53" s="153"/>
      <c r="E53" s="151"/>
      <c r="F53" s="153"/>
      <c r="G53" s="247">
        <f t="shared" ca="1" si="13"/>
        <v>0</v>
      </c>
      <c r="H53" s="248" t="str">
        <f t="shared" si="14"/>
        <v/>
      </c>
      <c r="J53" s="148">
        <f ca="1">IF(H53="LT",B53*E53-C53*B53*INDIRECT("'Cost Inflation Index'!C"&amp;ROWS(CostInflationTable[#All]))/VLOOKUP(M53,CostInflationTable[[#All],[Yr begin]:[CII]],2,0),0)</f>
        <v>0</v>
      </c>
      <c r="K53" s="148">
        <f t="shared" si="15"/>
        <v>0</v>
      </c>
      <c r="L53" s="82">
        <f t="shared" si="16"/>
        <v>42826</v>
      </c>
      <c r="M53" s="78" t="str">
        <f t="shared" si="17"/>
        <v>1899</v>
      </c>
    </row>
    <row r="54" spans="1:13" x14ac:dyDescent="0.25">
      <c r="A54" s="150"/>
      <c r="B54" s="181"/>
      <c r="C54" s="151"/>
      <c r="D54" s="153"/>
      <c r="E54" s="151"/>
      <c r="F54" s="153"/>
      <c r="G54" s="247">
        <f t="shared" ca="1" si="13"/>
        <v>0</v>
      </c>
      <c r="H54" s="248" t="str">
        <f t="shared" si="14"/>
        <v/>
      </c>
      <c r="J54" s="148">
        <f ca="1">IF(H54="LT",B54*E54-C54*B54*INDIRECT("'Cost Inflation Index'!C"&amp;ROWS(CostInflationTable[#All]))/VLOOKUP(M54,CostInflationTable[[#All],[Yr begin]:[CII]],2,0),0)</f>
        <v>0</v>
      </c>
      <c r="K54" s="148">
        <f t="shared" si="15"/>
        <v>0</v>
      </c>
      <c r="L54" s="82">
        <f t="shared" si="16"/>
        <v>42826</v>
      </c>
      <c r="M54" s="78" t="str">
        <f t="shared" si="17"/>
        <v>1899</v>
      </c>
    </row>
    <row r="55" spans="1:13" x14ac:dyDescent="0.25">
      <c r="A55" s="150"/>
      <c r="B55" s="181"/>
      <c r="C55" s="151"/>
      <c r="D55" s="153"/>
      <c r="E55" s="151"/>
      <c r="F55" s="153"/>
      <c r="G55" s="247">
        <f t="shared" ca="1" si="13"/>
        <v>0</v>
      </c>
      <c r="H55" s="248" t="str">
        <f t="shared" si="14"/>
        <v/>
      </c>
      <c r="J55" s="148">
        <f ca="1">IF(H55="LT",B55*E55-C55*B55*INDIRECT("'Cost Inflation Index'!C"&amp;ROWS(CostInflationTable[#All]))/VLOOKUP(M55,CostInflationTable[[#All],[Yr begin]:[CII]],2,0),0)</f>
        <v>0</v>
      </c>
      <c r="K55" s="148">
        <f t="shared" si="15"/>
        <v>0</v>
      </c>
      <c r="L55" s="82">
        <f t="shared" si="16"/>
        <v>42826</v>
      </c>
      <c r="M55" s="78" t="str">
        <f t="shared" si="17"/>
        <v>1899</v>
      </c>
    </row>
    <row r="56" spans="1:13" x14ac:dyDescent="0.25">
      <c r="A56" s="150"/>
      <c r="B56" s="181"/>
      <c r="C56" s="151"/>
      <c r="D56" s="153"/>
      <c r="E56" s="151"/>
      <c r="F56" s="153"/>
      <c r="G56" s="247">
        <f t="shared" ca="1" si="13"/>
        <v>0</v>
      </c>
      <c r="H56" s="248" t="str">
        <f t="shared" si="14"/>
        <v/>
      </c>
      <c r="J56" s="148">
        <f ca="1">IF(H56="LT",B56*E56-C56*B56*INDIRECT("'Cost Inflation Index'!C"&amp;ROWS(CostInflationTable[#All]))/VLOOKUP(M56,CostInflationTable[[#All],[Yr begin]:[CII]],2,0),0)</f>
        <v>0</v>
      </c>
      <c r="K56" s="148">
        <f t="shared" si="15"/>
        <v>0</v>
      </c>
      <c r="L56" s="82">
        <f t="shared" si="16"/>
        <v>42826</v>
      </c>
      <c r="M56" s="78" t="str">
        <f t="shared" si="17"/>
        <v>1899</v>
      </c>
    </row>
    <row r="57" spans="1:13" x14ac:dyDescent="0.25">
      <c r="A57" s="150"/>
      <c r="B57" s="181"/>
      <c r="C57" s="151"/>
      <c r="D57" s="153"/>
      <c r="E57" s="151"/>
      <c r="F57" s="153"/>
      <c r="G57" s="247">
        <f t="shared" ca="1" si="13"/>
        <v>0</v>
      </c>
      <c r="H57" s="248" t="str">
        <f t="shared" si="14"/>
        <v/>
      </c>
      <c r="J57" s="148">
        <f ca="1">IF(H57="LT",B57*E57-C57*B57*INDIRECT("'Cost Inflation Index'!C"&amp;ROWS(CostInflationTable[#All]))/VLOOKUP(M57,CostInflationTable[[#All],[Yr begin]:[CII]],2,0),0)</f>
        <v>0</v>
      </c>
      <c r="K57" s="148">
        <f t="shared" si="15"/>
        <v>0</v>
      </c>
      <c r="L57" s="82">
        <f t="shared" si="16"/>
        <v>42826</v>
      </c>
      <c r="M57" s="78" t="str">
        <f t="shared" si="17"/>
        <v>1899</v>
      </c>
    </row>
    <row r="58" spans="1:13" x14ac:dyDescent="0.25">
      <c r="A58" s="150"/>
      <c r="B58" s="181"/>
      <c r="C58" s="151"/>
      <c r="D58" s="153"/>
      <c r="E58" s="151"/>
      <c r="F58" s="153"/>
      <c r="G58" s="247">
        <f t="shared" ca="1" si="13"/>
        <v>0</v>
      </c>
      <c r="H58" s="248" t="str">
        <f t="shared" si="14"/>
        <v/>
      </c>
      <c r="J58" s="148">
        <f ca="1">IF(H58="LT",B58*E58-C58*B58*INDIRECT("'Cost Inflation Index'!C"&amp;ROWS(CostInflationTable[#All]))/VLOOKUP(M58,CostInflationTable[[#All],[Yr begin]:[CII]],2,0),0)</f>
        <v>0</v>
      </c>
      <c r="K58" s="148">
        <f t="shared" si="15"/>
        <v>0</v>
      </c>
      <c r="L58" s="82">
        <f t="shared" si="16"/>
        <v>42826</v>
      </c>
      <c r="M58" s="78" t="str">
        <f t="shared" si="17"/>
        <v>1899</v>
      </c>
    </row>
    <row r="59" spans="1:13" x14ac:dyDescent="0.25">
      <c r="A59" s="150"/>
      <c r="B59" s="181"/>
      <c r="C59" s="151"/>
      <c r="D59" s="153"/>
      <c r="E59" s="151"/>
      <c r="F59" s="153"/>
      <c r="G59" s="247">
        <f t="shared" ca="1" si="13"/>
        <v>0</v>
      </c>
      <c r="H59" s="248" t="str">
        <f t="shared" si="14"/>
        <v/>
      </c>
      <c r="J59" s="148">
        <f ca="1">IF(H59="LT",B59*E59-C59*B59*INDIRECT("'Cost Inflation Index'!C"&amp;ROWS(CostInflationTable[#All]))/VLOOKUP(M59,CostInflationTable[[#All],[Yr begin]:[CII]],2,0),0)</f>
        <v>0</v>
      </c>
      <c r="K59" s="148">
        <f t="shared" si="15"/>
        <v>0</v>
      </c>
      <c r="L59" s="82">
        <f t="shared" si="16"/>
        <v>42826</v>
      </c>
      <c r="M59" s="78" t="str">
        <f t="shared" si="17"/>
        <v>1899</v>
      </c>
    </row>
    <row r="60" spans="1:13" x14ac:dyDescent="0.25">
      <c r="A60" s="150"/>
      <c r="B60" s="181"/>
      <c r="C60" s="151"/>
      <c r="D60" s="153"/>
      <c r="E60" s="151"/>
      <c r="F60" s="153"/>
      <c r="G60" s="247">
        <f t="shared" ca="1" si="13"/>
        <v>0</v>
      </c>
      <c r="H60" s="248" t="str">
        <f t="shared" si="14"/>
        <v/>
      </c>
      <c r="J60" s="148">
        <f ca="1">IF(H60="LT",B60*E60-C60*B60*INDIRECT("'Cost Inflation Index'!C"&amp;ROWS(CostInflationTable[#All]))/VLOOKUP(M60,CostInflationTable[[#All],[Yr begin]:[CII]],2,0),0)</f>
        <v>0</v>
      </c>
      <c r="K60" s="148">
        <f t="shared" si="15"/>
        <v>0</v>
      </c>
      <c r="L60" s="82">
        <f t="shared" si="16"/>
        <v>42826</v>
      </c>
      <c r="M60" s="78" t="str">
        <f t="shared" si="17"/>
        <v>1899</v>
      </c>
    </row>
    <row r="61" spans="1:13" x14ac:dyDescent="0.25">
      <c r="A61" s="150"/>
      <c r="B61" s="181"/>
      <c r="C61" s="151"/>
      <c r="D61" s="153"/>
      <c r="E61" s="151"/>
      <c r="F61" s="153"/>
      <c r="G61" s="247">
        <f t="shared" ca="1" si="13"/>
        <v>0</v>
      </c>
      <c r="H61" s="248" t="str">
        <f t="shared" si="14"/>
        <v/>
      </c>
      <c r="J61" s="148">
        <f ca="1">IF(H61="LT",B61*E61-C61*B61*INDIRECT("'Cost Inflation Index'!C"&amp;ROWS(CostInflationTable[#All]))/VLOOKUP(M61,CostInflationTable[[#All],[Yr begin]:[CII]],2,0),0)</f>
        <v>0</v>
      </c>
      <c r="K61" s="148">
        <f t="shared" si="15"/>
        <v>0</v>
      </c>
      <c r="L61" s="82">
        <f t="shared" si="16"/>
        <v>42826</v>
      </c>
      <c r="M61" s="78" t="str">
        <f t="shared" si="17"/>
        <v>1899</v>
      </c>
    </row>
    <row r="62" spans="1:13" x14ac:dyDescent="0.25">
      <c r="A62" s="150"/>
      <c r="B62" s="181"/>
      <c r="C62" s="151"/>
      <c r="D62" s="153"/>
      <c r="E62" s="151"/>
      <c r="F62" s="153"/>
      <c r="G62" s="247">
        <f t="shared" ca="1" si="13"/>
        <v>0</v>
      </c>
      <c r="H62" s="248" t="str">
        <f t="shared" si="14"/>
        <v/>
      </c>
      <c r="J62" s="148">
        <f ca="1">IF(H62="LT",B62*E62-C62*B62*INDIRECT("'Cost Inflation Index'!C"&amp;ROWS(CostInflationTable[#All]))/VLOOKUP(M62,CostInflationTable[[#All],[Yr begin]:[CII]],2,0),0)</f>
        <v>0</v>
      </c>
      <c r="K62" s="148">
        <f t="shared" si="15"/>
        <v>0</v>
      </c>
      <c r="L62" s="82">
        <f t="shared" si="16"/>
        <v>42826</v>
      </c>
      <c r="M62" s="78" t="str">
        <f t="shared" si="17"/>
        <v>1899</v>
      </c>
    </row>
    <row r="63" spans="1:13" x14ac:dyDescent="0.25">
      <c r="A63" s="150"/>
      <c r="B63" s="181"/>
      <c r="C63" s="151"/>
      <c r="D63" s="153"/>
      <c r="E63" s="151"/>
      <c r="F63" s="153"/>
      <c r="G63" s="247">
        <f t="shared" ca="1" si="13"/>
        <v>0</v>
      </c>
      <c r="H63" s="248" t="str">
        <f t="shared" si="14"/>
        <v/>
      </c>
      <c r="J63" s="148">
        <f ca="1">IF(H63="LT",B63*E63-C63*B63*INDIRECT("'Cost Inflation Index'!C"&amp;ROWS(CostInflationTable[#All]))/VLOOKUP(M63,CostInflationTable[[#All],[Yr begin]:[CII]],2,0),0)</f>
        <v>0</v>
      </c>
      <c r="K63" s="148">
        <f t="shared" si="15"/>
        <v>0</v>
      </c>
      <c r="L63" s="82">
        <f t="shared" si="16"/>
        <v>42826</v>
      </c>
      <c r="M63" s="78" t="str">
        <f t="shared" si="17"/>
        <v>1899</v>
      </c>
    </row>
    <row r="64" spans="1:13" x14ac:dyDescent="0.25"/>
    <row r="65" spans="1:12" x14ac:dyDescent="0.25">
      <c r="A65" s="365" t="s">
        <v>394</v>
      </c>
      <c r="B65" s="365"/>
      <c r="C65" s="365"/>
      <c r="D65" s="365"/>
      <c r="E65" s="365"/>
      <c r="F65" s="365"/>
      <c r="G65" s="362">
        <f>IF(K65&gt;=0,K65,L65)</f>
        <v>0</v>
      </c>
      <c r="H65" s="363"/>
      <c r="I65" s="154"/>
      <c r="J65" s="149">
        <f ca="1">SUM(J24:J63)</f>
        <v>0</v>
      </c>
      <c r="K65" s="149">
        <f>SUM(K24:K63)</f>
        <v>0</v>
      </c>
      <c r="L65" s="178">
        <f ca="1">IF(J65&gt;0,K65+MIN(J65,ABS(K65)),K65)</f>
        <v>0</v>
      </c>
    </row>
    <row r="66" spans="1:12" x14ac:dyDescent="0.25">
      <c r="A66" s="365" t="s">
        <v>395</v>
      </c>
      <c r="B66" s="365"/>
      <c r="C66" s="365"/>
      <c r="D66" s="365"/>
      <c r="E66" s="365"/>
      <c r="F66" s="365"/>
      <c r="G66" s="362">
        <f ca="1">IF(K65&gt;=0,J65,L66)</f>
        <v>0</v>
      </c>
      <c r="H66" s="363"/>
      <c r="I66" s="154"/>
      <c r="L66" s="178">
        <f ca="1">IF(J65&gt;0,J65-MIN(J65,ABS(K65)),J65)</f>
        <v>0</v>
      </c>
    </row>
    <row r="67" spans="1:12" x14ac:dyDescent="0.25"/>
    <row r="68" spans="1:12" s="138" customFormat="1" ht="18" customHeight="1" x14ac:dyDescent="0.25">
      <c r="A68" s="370" t="s">
        <v>390</v>
      </c>
      <c r="B68" s="371"/>
      <c r="C68" s="371"/>
      <c r="D68" s="371"/>
      <c r="E68" s="371"/>
      <c r="F68" s="372"/>
      <c r="G68" s="373">
        <f ca="1">MAX(G66*O19,0)</f>
        <v>0</v>
      </c>
      <c r="H68" s="374"/>
    </row>
    <row r="69" spans="1:12" x14ac:dyDescent="0.25">
      <c r="A69" s="360" t="str">
        <f>Copyright</f>
        <v>© 1997-2018, Nithyanand Yeswanth (taxcalc@ynithya.com)</v>
      </c>
      <c r="B69" s="361"/>
      <c r="C69" s="361"/>
      <c r="D69" s="361"/>
      <c r="E69" s="361"/>
      <c r="F69" s="361"/>
      <c r="G69" s="361"/>
      <c r="H69" s="361"/>
    </row>
    <row r="70" spans="1:12" x14ac:dyDescent="0.25">
      <c r="A70" s="180"/>
      <c r="B70" s="180"/>
      <c r="C70" s="180"/>
      <c r="D70" s="180"/>
      <c r="E70" s="180"/>
      <c r="F70" s="180"/>
      <c r="G70" s="180"/>
      <c r="H70" s="180"/>
    </row>
    <row r="71" spans="1:12" x14ac:dyDescent="0.25">
      <c r="A71" s="72" t="s">
        <v>179</v>
      </c>
      <c r="B71" s="72"/>
    </row>
    <row r="72" spans="1:12" x14ac:dyDescent="0.25">
      <c r="A72" s="369" t="s">
        <v>374</v>
      </c>
      <c r="B72" s="369"/>
      <c r="C72" s="364"/>
      <c r="D72" s="364"/>
      <c r="E72" s="364"/>
      <c r="F72" s="364"/>
      <c r="G72" s="364"/>
      <c r="H72" s="364"/>
    </row>
    <row r="73" spans="1:12" x14ac:dyDescent="0.25">
      <c r="A73" s="348" t="s">
        <v>382</v>
      </c>
      <c r="B73" s="348"/>
      <c r="C73" s="349"/>
      <c r="D73" s="349"/>
      <c r="E73" s="349"/>
      <c r="F73" s="349"/>
      <c r="G73" s="349"/>
      <c r="H73" s="349"/>
    </row>
    <row r="74" spans="1:12" x14ac:dyDescent="0.25">
      <c r="A74" s="348" t="s">
        <v>381</v>
      </c>
      <c r="B74" s="348"/>
      <c r="C74" s="349"/>
      <c r="D74" s="349"/>
      <c r="E74" s="349"/>
      <c r="F74" s="349"/>
      <c r="G74" s="349"/>
      <c r="H74" s="349"/>
    </row>
    <row r="75" spans="1:12" x14ac:dyDescent="0.25">
      <c r="A75" s="348" t="s">
        <v>380</v>
      </c>
      <c r="B75" s="348"/>
      <c r="C75" s="349"/>
      <c r="D75" s="349"/>
      <c r="E75" s="349"/>
      <c r="F75" s="349"/>
      <c r="G75" s="349"/>
      <c r="H75" s="349"/>
    </row>
    <row r="76" spans="1:12" x14ac:dyDescent="0.25">
      <c r="A76" s="348" t="s">
        <v>383</v>
      </c>
      <c r="B76" s="348"/>
      <c r="C76" s="349"/>
      <c r="D76" s="349"/>
      <c r="E76" s="349"/>
      <c r="F76" s="349"/>
      <c r="G76" s="349"/>
      <c r="H76" s="349"/>
    </row>
    <row r="77" spans="1:12" ht="12.75" customHeight="1" x14ac:dyDescent="0.25">
      <c r="A77" s="177"/>
      <c r="B77" s="179"/>
      <c r="C77" s="112"/>
      <c r="D77" s="112"/>
      <c r="E77" s="112"/>
      <c r="F77" s="113"/>
    </row>
    <row r="78" spans="1:12" hidden="1" x14ac:dyDescent="0.25">
      <c r="A78" s="177"/>
      <c r="B78" s="179"/>
      <c r="C78" s="112"/>
      <c r="D78" s="112"/>
      <c r="E78" s="112"/>
      <c r="F78" s="113"/>
    </row>
    <row r="79" spans="1:12" hidden="1" x14ac:dyDescent="0.25">
      <c r="A79" s="177"/>
      <c r="B79" s="179"/>
      <c r="C79" s="112"/>
      <c r="D79" s="112"/>
      <c r="E79" s="112"/>
      <c r="F79" s="113"/>
    </row>
    <row r="80" spans="1:12" hidden="1" x14ac:dyDescent="0.25">
      <c r="A80" s="177"/>
      <c r="B80" s="179"/>
      <c r="C80" s="112"/>
      <c r="D80" s="112"/>
      <c r="E80" s="112"/>
      <c r="F80" s="113"/>
    </row>
    <row r="81" spans="1:6" hidden="1" x14ac:dyDescent="0.25">
      <c r="A81" s="177"/>
      <c r="B81" s="179"/>
      <c r="C81" s="112"/>
      <c r="D81" s="112"/>
      <c r="E81" s="112"/>
      <c r="F81" s="113"/>
    </row>
    <row r="82" spans="1:6" hidden="1" x14ac:dyDescent="0.25">
      <c r="A82" s="177"/>
      <c r="B82" s="179"/>
      <c r="C82" s="112"/>
      <c r="D82" s="112"/>
      <c r="E82" s="112"/>
      <c r="F82" s="113"/>
    </row>
    <row r="83" spans="1:6" hidden="1" x14ac:dyDescent="0.25">
      <c r="A83" s="115"/>
      <c r="B83" s="115"/>
      <c r="C83" s="112"/>
      <c r="D83" s="112"/>
      <c r="E83" s="112"/>
      <c r="F83" s="113"/>
    </row>
    <row r="84" spans="1:6" hidden="1" x14ac:dyDescent="0.25">
      <c r="A84" s="115"/>
      <c r="B84" s="115"/>
      <c r="C84" s="112"/>
      <c r="D84" s="112"/>
      <c r="E84" s="112"/>
      <c r="F84" s="113"/>
    </row>
    <row r="85" spans="1:6" hidden="1" x14ac:dyDescent="0.25">
      <c r="A85" s="115"/>
      <c r="B85" s="115"/>
      <c r="C85" s="112"/>
      <c r="D85" s="112"/>
      <c r="E85" s="112"/>
      <c r="F85" s="113"/>
    </row>
    <row r="86" spans="1:6" hidden="1" x14ac:dyDescent="0.25">
      <c r="A86" s="115"/>
      <c r="B86" s="115"/>
      <c r="C86" s="112"/>
      <c r="D86" s="112"/>
      <c r="E86" s="112"/>
      <c r="F86" s="113"/>
    </row>
    <row r="87" spans="1:6" hidden="1" x14ac:dyDescent="0.25">
      <c r="A87" s="115"/>
      <c r="B87" s="115"/>
      <c r="C87" s="112"/>
      <c r="D87" s="112"/>
      <c r="E87" s="112"/>
    </row>
    <row r="88" spans="1:6" hidden="1" x14ac:dyDescent="0.25">
      <c r="A88" s="115"/>
      <c r="B88" s="115"/>
      <c r="C88" s="112"/>
      <c r="D88" s="112"/>
      <c r="E88" s="112"/>
    </row>
    <row r="89" spans="1:6" hidden="1" x14ac:dyDescent="0.25">
      <c r="A89" s="115"/>
      <c r="B89" s="115"/>
      <c r="C89" s="112"/>
      <c r="D89" s="112"/>
      <c r="E89" s="112"/>
    </row>
    <row r="90" spans="1:6" hidden="1" x14ac:dyDescent="0.25">
      <c r="A90" s="115"/>
      <c r="B90" s="115"/>
      <c r="C90" s="112"/>
      <c r="D90" s="112"/>
      <c r="E90" s="112"/>
    </row>
    <row r="91" spans="1:6" hidden="1" x14ac:dyDescent="0.25">
      <c r="A91" s="115"/>
      <c r="B91" s="115"/>
      <c r="C91" s="112"/>
      <c r="D91" s="112"/>
      <c r="E91" s="112"/>
    </row>
    <row r="92" spans="1:6" hidden="1" x14ac:dyDescent="0.25">
      <c r="A92" s="115"/>
      <c r="B92" s="115"/>
      <c r="C92" s="112"/>
      <c r="D92" s="112"/>
      <c r="E92" s="112"/>
    </row>
    <row r="93" spans="1:6" hidden="1" x14ac:dyDescent="0.25">
      <c r="A93" s="115"/>
      <c r="B93" s="115"/>
      <c r="C93" s="112"/>
      <c r="D93" s="112"/>
      <c r="E93" s="112"/>
    </row>
    <row r="94" spans="1:6" hidden="1" x14ac:dyDescent="0.25">
      <c r="A94" s="115"/>
      <c r="B94" s="115"/>
      <c r="C94" s="112"/>
      <c r="D94" s="112"/>
      <c r="E94" s="112"/>
    </row>
    <row r="95" spans="1:6" hidden="1" x14ac:dyDescent="0.25">
      <c r="A95" s="115"/>
      <c r="B95" s="115"/>
      <c r="C95" s="112"/>
      <c r="D95" s="112"/>
      <c r="E95" s="112"/>
    </row>
    <row r="96" spans="1:6" hidden="1" x14ac:dyDescent="0.25">
      <c r="A96" s="115"/>
      <c r="B96" s="115"/>
      <c r="C96" s="112"/>
      <c r="D96" s="112"/>
      <c r="E96" s="112"/>
    </row>
    <row r="97" spans="1:5" hidden="1" x14ac:dyDescent="0.25">
      <c r="A97" s="112"/>
      <c r="B97" s="112"/>
      <c r="C97" s="112"/>
      <c r="D97" s="112"/>
      <c r="E97" s="112"/>
    </row>
    <row r="98" spans="1:5" hidden="1" x14ac:dyDescent="0.25">
      <c r="A98" s="112"/>
      <c r="B98" s="112"/>
      <c r="C98" s="112"/>
      <c r="D98" s="112"/>
      <c r="E98" s="112"/>
    </row>
    <row r="99" spans="1:5" hidden="1" x14ac:dyDescent="0.25">
      <c r="A99" s="112"/>
      <c r="B99" s="112"/>
      <c r="C99" s="112"/>
      <c r="D99" s="112"/>
      <c r="E99" s="112"/>
    </row>
    <row r="100" spans="1:5" hidden="1" x14ac:dyDescent="0.25"/>
  </sheetData>
  <sheetProtection algorithmName="SHA-512" hashValue="YaiSK0SeGJiw60sosdbYk/by3WczlW4OJVFB2s5B+6nfRGHN6DXq85WE/pQuaZQEvWeSasl+lQ/m13LIUwxZmA==" saltValue="F6aVodpzqK3TP6DTM83vVg==" spinCount="100000" sheet="1" scenarios="1"/>
  <mergeCells count="41">
    <mergeCell ref="E22:F22"/>
    <mergeCell ref="G22:G23"/>
    <mergeCell ref="H22:H23"/>
    <mergeCell ref="A65:F65"/>
    <mergeCell ref="G65:H65"/>
    <mergeCell ref="B22:B23"/>
    <mergeCell ref="A66:F66"/>
    <mergeCell ref="G66:H66"/>
    <mergeCell ref="A68:F68"/>
    <mergeCell ref="G68:H68"/>
    <mergeCell ref="A69:H69"/>
    <mergeCell ref="A72:H72"/>
    <mergeCell ref="A76:H76"/>
    <mergeCell ref="A14:F14"/>
    <mergeCell ref="G14:H14"/>
    <mergeCell ref="A15:F15"/>
    <mergeCell ref="G15:H15"/>
    <mergeCell ref="A73:H73"/>
    <mergeCell ref="A74:H74"/>
    <mergeCell ref="A75:H75"/>
    <mergeCell ref="A17:F17"/>
    <mergeCell ref="G17:H17"/>
    <mergeCell ref="A18:H18"/>
    <mergeCell ref="A19:H19"/>
    <mergeCell ref="A20:H20"/>
    <mergeCell ref="A22:A23"/>
    <mergeCell ref="C22:D22"/>
    <mergeCell ref="A11:B11"/>
    <mergeCell ref="A12:B12"/>
    <mergeCell ref="A1:H1"/>
    <mergeCell ref="A2:H2"/>
    <mergeCell ref="A3:H3"/>
    <mergeCell ref="A5:A6"/>
    <mergeCell ref="C5:D5"/>
    <mergeCell ref="E5:F5"/>
    <mergeCell ref="G5:G6"/>
    <mergeCell ref="H5:H6"/>
    <mergeCell ref="A7:B7"/>
    <mergeCell ref="A8:B8"/>
    <mergeCell ref="A9:B9"/>
    <mergeCell ref="A10:B10"/>
  </mergeCells>
  <conditionalFormatting sqref="A1:B1">
    <cfRule type="cellIs" dxfId="5" priority="1" stopIfTrue="1" operator="equal">
      <formula>"PLEASE ENTER YOUR NAME HERE"</formula>
    </cfRule>
  </conditionalFormatting>
  <dataValidations count="5">
    <dataValidation type="date" allowBlank="1" showInputMessage="1" showErrorMessage="1" errorTitle="Invalid Date!" error="Purchase Date should not be beyond current financial year. Also dates before 1-Apr-2001 not allowed as base year for index is changed" sqref="D24:D63 D8:D12">
      <formula1>$O$7</formula1>
      <formula2>$O$6</formula2>
    </dataValidation>
    <dataValidation type="decimal" allowBlank="1" showInputMessage="1" showErrorMessage="1" errorTitle="Invalid Price!" error="Enter only positive numbers" sqref="E24:E63 C24:C63 E7:E12 C7:C12">
      <formula1>0</formula1>
      <formula2>100000000</formula2>
    </dataValidation>
    <dataValidation allowBlank="1" showErrorMessage="1" errorTitle="Invalid Input!" error="Please enter a positive number for loan amount!" sqref="A24:B63 A7:A12 G24:H63 G7:H12"/>
    <dataValidation type="date" allowBlank="1" showInputMessage="1" showErrorMessage="1" errorTitle="Invalid Date!" error="Selling Date should be after Purchase Date and within current financial year" sqref="F24:F63 F7:F12">
      <formula1>L7</formula1>
      <formula2>$O$6</formula2>
    </dataValidation>
    <dataValidation type="date" allowBlank="1" showInputMessage="1" showErrorMessage="1" errorTitle="Invalid Date!" error="Purchase Date should not be beyond current financial year. Also dates before 1-Apr-2001 not allowed as base year for index is changed" sqref="D7">
      <formula1>$O$7</formula1>
      <formula2>$O$6</formula2>
    </dataValidation>
  </dataValidations>
  <printOptions horizontalCentered="1"/>
  <pageMargins left="0.4" right="0.4" top="0.85" bottom="0.75" header="0.5" footer="0.5"/>
  <pageSetup paperSize="9" scale="89"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20.0)&amp;R&amp;"Tahoma,Regular"© 1997-2018, Nithyanand Yeswanth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sqref="A1:C37"/>
    </sheetView>
  </sheetViews>
  <sheetFormatPr defaultRowHeight="12.75" x14ac:dyDescent="0.25"/>
  <cols>
    <col min="1" max="1" width="17.5" style="165" customWidth="1"/>
    <col min="2" max="2" width="15.1640625" style="165" customWidth="1"/>
    <col min="3" max="16384" width="9.33203125" style="165"/>
  </cols>
  <sheetData>
    <row r="1" spans="1:3" x14ac:dyDescent="0.25">
      <c r="A1" s="252" t="s">
        <v>299</v>
      </c>
      <c r="B1" s="252" t="s">
        <v>370</v>
      </c>
      <c r="C1" s="252" t="s">
        <v>439</v>
      </c>
    </row>
    <row r="2" spans="1:3" x14ac:dyDescent="0.25">
      <c r="A2" s="166" t="s">
        <v>300</v>
      </c>
      <c r="B2" s="166" t="str">
        <f>LEFT(A2,4)</f>
        <v>1981</v>
      </c>
      <c r="C2" s="166">
        <v>100</v>
      </c>
    </row>
    <row r="3" spans="1:3" x14ac:dyDescent="0.25">
      <c r="A3" s="166" t="s">
        <v>301</v>
      </c>
      <c r="B3" s="166" t="str">
        <f t="shared" ref="B3:B37" si="0">LEFT(A3,4)</f>
        <v>1982</v>
      </c>
      <c r="C3" s="166">
        <v>109</v>
      </c>
    </row>
    <row r="4" spans="1:3" x14ac:dyDescent="0.25">
      <c r="A4" s="166" t="s">
        <v>302</v>
      </c>
      <c r="B4" s="166" t="str">
        <f t="shared" si="0"/>
        <v>1983</v>
      </c>
      <c r="C4" s="166">
        <v>116</v>
      </c>
    </row>
    <row r="5" spans="1:3" x14ac:dyDescent="0.25">
      <c r="A5" s="166" t="s">
        <v>303</v>
      </c>
      <c r="B5" s="166" t="str">
        <f t="shared" si="0"/>
        <v>1984</v>
      </c>
      <c r="C5" s="166">
        <v>125</v>
      </c>
    </row>
    <row r="6" spans="1:3" x14ac:dyDescent="0.25">
      <c r="A6" s="166" t="s">
        <v>304</v>
      </c>
      <c r="B6" s="166" t="str">
        <f t="shared" si="0"/>
        <v>1985</v>
      </c>
      <c r="C6" s="166">
        <v>133</v>
      </c>
    </row>
    <row r="7" spans="1:3" x14ac:dyDescent="0.25">
      <c r="A7" s="166" t="s">
        <v>305</v>
      </c>
      <c r="B7" s="166" t="str">
        <f t="shared" si="0"/>
        <v>1986</v>
      </c>
      <c r="C7" s="166">
        <v>140</v>
      </c>
    </row>
    <row r="8" spans="1:3" x14ac:dyDescent="0.25">
      <c r="A8" s="166" t="s">
        <v>306</v>
      </c>
      <c r="B8" s="166" t="str">
        <f t="shared" si="0"/>
        <v>1987</v>
      </c>
      <c r="C8" s="166">
        <v>150</v>
      </c>
    </row>
    <row r="9" spans="1:3" x14ac:dyDescent="0.25">
      <c r="A9" s="166" t="s">
        <v>307</v>
      </c>
      <c r="B9" s="166" t="str">
        <f t="shared" si="0"/>
        <v>1988</v>
      </c>
      <c r="C9" s="166">
        <v>161</v>
      </c>
    </row>
    <row r="10" spans="1:3" x14ac:dyDescent="0.25">
      <c r="A10" s="166" t="s">
        <v>308</v>
      </c>
      <c r="B10" s="166" t="str">
        <f t="shared" si="0"/>
        <v>1989</v>
      </c>
      <c r="C10" s="166">
        <v>172</v>
      </c>
    </row>
    <row r="11" spans="1:3" x14ac:dyDescent="0.25">
      <c r="A11" s="166" t="s">
        <v>309</v>
      </c>
      <c r="B11" s="166" t="str">
        <f t="shared" si="0"/>
        <v>1990</v>
      </c>
      <c r="C11" s="166">
        <v>182</v>
      </c>
    </row>
    <row r="12" spans="1:3" x14ac:dyDescent="0.25">
      <c r="A12" s="166" t="s">
        <v>310</v>
      </c>
      <c r="B12" s="166" t="str">
        <f t="shared" si="0"/>
        <v>1991</v>
      </c>
      <c r="C12" s="166">
        <v>199</v>
      </c>
    </row>
    <row r="13" spans="1:3" x14ac:dyDescent="0.25">
      <c r="A13" s="166" t="s">
        <v>311</v>
      </c>
      <c r="B13" s="166" t="str">
        <f t="shared" si="0"/>
        <v>1992</v>
      </c>
      <c r="C13" s="166">
        <v>223</v>
      </c>
    </row>
    <row r="14" spans="1:3" x14ac:dyDescent="0.25">
      <c r="A14" s="166" t="s">
        <v>312</v>
      </c>
      <c r="B14" s="166" t="str">
        <f t="shared" si="0"/>
        <v>1993</v>
      </c>
      <c r="C14" s="166">
        <v>244</v>
      </c>
    </row>
    <row r="15" spans="1:3" x14ac:dyDescent="0.25">
      <c r="A15" s="166" t="s">
        <v>313</v>
      </c>
      <c r="B15" s="166" t="str">
        <f t="shared" si="0"/>
        <v>1994</v>
      </c>
      <c r="C15" s="166">
        <v>259</v>
      </c>
    </row>
    <row r="16" spans="1:3" x14ac:dyDescent="0.25">
      <c r="A16" s="166" t="s">
        <v>314</v>
      </c>
      <c r="B16" s="166" t="str">
        <f t="shared" si="0"/>
        <v>1995</v>
      </c>
      <c r="C16" s="166">
        <v>281</v>
      </c>
    </row>
    <row r="17" spans="1:3" x14ac:dyDescent="0.25">
      <c r="A17" s="166" t="s">
        <v>315</v>
      </c>
      <c r="B17" s="166" t="str">
        <f t="shared" si="0"/>
        <v>1996</v>
      </c>
      <c r="C17" s="166">
        <v>305</v>
      </c>
    </row>
    <row r="18" spans="1:3" x14ac:dyDescent="0.25">
      <c r="A18" s="166" t="s">
        <v>316</v>
      </c>
      <c r="B18" s="166" t="str">
        <f t="shared" si="0"/>
        <v>1997</v>
      </c>
      <c r="C18" s="166">
        <v>331</v>
      </c>
    </row>
    <row r="19" spans="1:3" x14ac:dyDescent="0.25">
      <c r="A19" s="166" t="s">
        <v>317</v>
      </c>
      <c r="B19" s="166" t="str">
        <f t="shared" si="0"/>
        <v>1998</v>
      </c>
      <c r="C19" s="166">
        <v>351</v>
      </c>
    </row>
    <row r="20" spans="1:3" x14ac:dyDescent="0.25">
      <c r="A20" s="166" t="s">
        <v>330</v>
      </c>
      <c r="B20" s="166" t="str">
        <f t="shared" si="0"/>
        <v>1999</v>
      </c>
      <c r="C20" s="166">
        <v>389</v>
      </c>
    </row>
    <row r="21" spans="1:3" x14ac:dyDescent="0.25">
      <c r="A21" s="166" t="s">
        <v>331</v>
      </c>
      <c r="B21" s="166" t="str">
        <f t="shared" si="0"/>
        <v>2000</v>
      </c>
      <c r="C21" s="166">
        <v>406</v>
      </c>
    </row>
    <row r="22" spans="1:3" x14ac:dyDescent="0.25">
      <c r="A22" s="166" t="s">
        <v>318</v>
      </c>
      <c r="B22" s="166" t="str">
        <f t="shared" si="0"/>
        <v>2001</v>
      </c>
      <c r="C22" s="166">
        <v>426</v>
      </c>
    </row>
    <row r="23" spans="1:3" x14ac:dyDescent="0.25">
      <c r="A23" s="166" t="s">
        <v>319</v>
      </c>
      <c r="B23" s="166" t="str">
        <f t="shared" si="0"/>
        <v>2002</v>
      </c>
      <c r="C23" s="166">
        <v>447</v>
      </c>
    </row>
    <row r="24" spans="1:3" x14ac:dyDescent="0.25">
      <c r="A24" s="166" t="s">
        <v>320</v>
      </c>
      <c r="B24" s="166" t="str">
        <f t="shared" si="0"/>
        <v>2003</v>
      </c>
      <c r="C24" s="166">
        <v>463</v>
      </c>
    </row>
    <row r="25" spans="1:3" x14ac:dyDescent="0.25">
      <c r="A25" s="166" t="s">
        <v>321</v>
      </c>
      <c r="B25" s="166" t="str">
        <f t="shared" si="0"/>
        <v>2004</v>
      </c>
      <c r="C25" s="166">
        <v>480</v>
      </c>
    </row>
    <row r="26" spans="1:3" x14ac:dyDescent="0.25">
      <c r="A26" s="166" t="s">
        <v>322</v>
      </c>
      <c r="B26" s="166" t="str">
        <f t="shared" si="0"/>
        <v>2005</v>
      </c>
      <c r="C26" s="166">
        <v>497</v>
      </c>
    </row>
    <row r="27" spans="1:3" x14ac:dyDescent="0.25">
      <c r="A27" s="166" t="s">
        <v>323</v>
      </c>
      <c r="B27" s="166" t="str">
        <f t="shared" si="0"/>
        <v>2006</v>
      </c>
      <c r="C27" s="166">
        <v>519</v>
      </c>
    </row>
    <row r="28" spans="1:3" x14ac:dyDescent="0.25">
      <c r="A28" s="166" t="s">
        <v>324</v>
      </c>
      <c r="B28" s="166" t="str">
        <f t="shared" si="0"/>
        <v>2007</v>
      </c>
      <c r="C28" s="166">
        <v>551</v>
      </c>
    </row>
    <row r="29" spans="1:3" x14ac:dyDescent="0.25">
      <c r="A29" s="166" t="s">
        <v>325</v>
      </c>
      <c r="B29" s="166" t="str">
        <f t="shared" si="0"/>
        <v>2008</v>
      </c>
      <c r="C29" s="166">
        <v>582</v>
      </c>
    </row>
    <row r="30" spans="1:3" x14ac:dyDescent="0.25">
      <c r="A30" s="166" t="s">
        <v>326</v>
      </c>
      <c r="B30" s="166" t="str">
        <f t="shared" si="0"/>
        <v>2009</v>
      </c>
      <c r="C30" s="166">
        <v>632</v>
      </c>
    </row>
    <row r="31" spans="1:3" x14ac:dyDescent="0.25">
      <c r="A31" s="166" t="s">
        <v>327</v>
      </c>
      <c r="B31" s="166" t="str">
        <f t="shared" si="0"/>
        <v>2010</v>
      </c>
      <c r="C31" s="166">
        <v>711</v>
      </c>
    </row>
    <row r="32" spans="1:3" x14ac:dyDescent="0.25">
      <c r="A32" s="166" t="s">
        <v>328</v>
      </c>
      <c r="B32" s="166" t="str">
        <f t="shared" si="0"/>
        <v>2011</v>
      </c>
      <c r="C32" s="166">
        <v>785</v>
      </c>
    </row>
    <row r="33" spans="1:3" x14ac:dyDescent="0.25">
      <c r="A33" s="166" t="s">
        <v>329</v>
      </c>
      <c r="B33" s="166" t="str">
        <f t="shared" si="0"/>
        <v>2012</v>
      </c>
      <c r="C33" s="166">
        <v>852</v>
      </c>
    </row>
    <row r="34" spans="1:3" x14ac:dyDescent="0.25">
      <c r="A34" s="166" t="s">
        <v>333</v>
      </c>
      <c r="B34" s="166" t="str">
        <f t="shared" si="0"/>
        <v>2013</v>
      </c>
      <c r="C34" s="166">
        <v>939</v>
      </c>
    </row>
    <row r="35" spans="1:3" x14ac:dyDescent="0.25">
      <c r="A35" s="166" t="s">
        <v>369</v>
      </c>
      <c r="B35" s="166" t="str">
        <f t="shared" si="0"/>
        <v>2014</v>
      </c>
      <c r="C35" s="166">
        <v>1024</v>
      </c>
    </row>
    <row r="36" spans="1:3" x14ac:dyDescent="0.25">
      <c r="A36" s="166" t="s">
        <v>423</v>
      </c>
      <c r="B36" s="166" t="str">
        <f t="shared" si="0"/>
        <v>2015</v>
      </c>
      <c r="C36" s="166">
        <v>1081</v>
      </c>
    </row>
    <row r="37" spans="1:3" x14ac:dyDescent="0.25">
      <c r="A37" s="166" t="s">
        <v>434</v>
      </c>
      <c r="B37" s="166" t="str">
        <f t="shared" si="0"/>
        <v>2016</v>
      </c>
      <c r="C37" s="166">
        <v>1125</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Instructions</vt:lpstr>
      <vt:lpstr>IT 2017-18</vt:lpstr>
      <vt:lpstr>Perquisites</vt:lpstr>
      <vt:lpstr>NSC Accrued Interest</vt:lpstr>
      <vt:lpstr>Capital Gains - Equity</vt:lpstr>
      <vt:lpstr>Cap Gains - Property&amp;Debt MF</vt:lpstr>
      <vt:lpstr>Cost Inflation Index</vt:lpstr>
      <vt:lpstr>Copyright</vt:lpstr>
      <vt:lpstr>'Cap Gains - Property&amp;Debt MF'!Print_Area</vt:lpstr>
      <vt:lpstr>'Capital Gains - Equity'!Print_Area</vt:lpstr>
      <vt:lpstr>Instructions!Print_Area</vt:lpstr>
      <vt:lpstr>'IT 2017-18'!Print_Area</vt:lpstr>
      <vt:lpstr>'NSC Accrued Interest'!Print_Area</vt:lpstr>
      <vt:lpstr>Perquisites!Print_Area</vt:lpstr>
      <vt:lpstr>'Cap Gains - Property&amp;Debt MF'!Print_Titles</vt:lpstr>
      <vt:lpstr>'Capital Gains - Equity'!Print_Titles</vt:lpstr>
      <vt:lpstr>Instructions!Print_Titles</vt:lpstr>
      <vt:lpstr>'IT 2017-18'!Print_Titles</vt:lpstr>
      <vt:lpstr>VerNo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Calculator for FY 2017-18</dc:title>
  <dc:subject>Income Tax Calculator</dc:subject>
  <dc:creator>Nithyanand Yeswanth</dc:creator>
  <cp:keywords>Income, Tax, India, Indian, Calculator</cp:keywords>
  <dc:description>Nithyanand Yeswanth_x000d_
Bangalore, INDIA_x000d_
e-mail: taxcalc@ynithya.com</dc:description>
  <cp:lastModifiedBy>Atul Tegar</cp:lastModifiedBy>
  <cp:lastPrinted>2017-05-01T15:04:30Z</cp:lastPrinted>
  <dcterms:created xsi:type="dcterms:W3CDTF">2007-03-03T14:46:42Z</dcterms:created>
  <dcterms:modified xsi:type="dcterms:W3CDTF">2018-02-28T10:24:40Z</dcterms:modified>
  <cp:category>Tax</cp:category>
</cp:coreProperties>
</file>