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Default Extension="emf" ContentType="image/x-emf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6735" windowHeight="5100"/>
  </bookViews>
  <sheets>
    <sheet name="Instructions" sheetId="6" r:id="rId1"/>
    <sheet name="Entry" sheetId="4" r:id="rId2"/>
    <sheet name="Expense" sheetId="5" r:id="rId3"/>
    <sheet name="Calc" sheetId="1" r:id="rId4"/>
    <sheet name="Sheet3" sheetId="3" state="hidden" r:id="rId5"/>
    <sheet name="Lookup" sheetId="2" r:id="rId6"/>
  </sheets>
  <definedNames>
    <definedName name="_xlnm._FilterDatabase" localSheetId="3" hidden="1">Calc!$C$62:$E$78</definedName>
    <definedName name="_xlnm._FilterDatabase" localSheetId="2" hidden="1">Expense!$B$3:$J$55</definedName>
    <definedName name="_xlnm._FilterDatabase" localSheetId="5" hidden="1">Lookup!$B$2:$B$52</definedName>
    <definedName name="accounts">Lookup!$E$3:$E$8</definedName>
    <definedName name="Expense">Lookup!$A$2:$A$60</definedName>
    <definedName name="Month">Lookup!$F$2:$F$32</definedName>
    <definedName name="paymode">Lookup!$D$3:$D$5</definedName>
    <definedName name="Piedata">OFFSET(Calc!$Z$63,0,0,COUNT(Calc!$Z$63:$Z$77),1)</definedName>
    <definedName name="Piedata_act">OFFSET(Calc!$AE$63,0,0,COUNT(Calc!$AE$63:$AE$77),1)</definedName>
    <definedName name="Pielabel">OFFSET(Calc!$AA$63,0,0,COUNTA(Calc!$AA$63:$AA$77),1)</definedName>
    <definedName name="Pielabel_act">OFFSET(Calc!$AF$63,0,0,COUNTA(Calc!$AF$63:$AF$77),1)</definedName>
  </definedNames>
  <calcPr calcId="125725"/>
</workbook>
</file>

<file path=xl/calcChain.xml><?xml version="1.0" encoding="utf-8"?>
<calcChain xmlns="http://schemas.openxmlformats.org/spreadsheetml/2006/main">
  <c r="C21" i="5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B10" i="3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E1" i="1"/>
  <c r="E54"/>
  <c r="F54"/>
  <c r="G54"/>
  <c r="D63"/>
  <c r="E65"/>
  <c r="AC65" s="1"/>
  <c r="E67"/>
  <c r="AC67" s="1"/>
  <c r="E69"/>
  <c r="AC69" s="1"/>
  <c r="E71"/>
  <c r="AC71" s="1"/>
  <c r="E73"/>
  <c r="AC73" s="1"/>
  <c r="E75"/>
  <c r="AC75" s="1"/>
  <c r="C77"/>
  <c r="E77" s="1"/>
  <c r="AC77" s="1"/>
  <c r="M1" i="5"/>
  <c r="J4" s="1"/>
  <c r="K4"/>
  <c r="L4"/>
  <c r="J5"/>
  <c r="K5"/>
  <c r="L5"/>
  <c r="K6"/>
  <c r="L6"/>
  <c r="K7"/>
  <c r="L7"/>
  <c r="K8"/>
  <c r="L8"/>
  <c r="K9"/>
  <c r="L9"/>
  <c r="C10"/>
  <c r="J10"/>
  <c r="K10"/>
  <c r="L10"/>
  <c r="C11"/>
  <c r="K11"/>
  <c r="L11"/>
  <c r="C12"/>
  <c r="K12"/>
  <c r="L12"/>
  <c r="J13"/>
  <c r="K13"/>
  <c r="L13"/>
  <c r="J14"/>
  <c r="K14"/>
  <c r="L14"/>
  <c r="K15"/>
  <c r="L15"/>
  <c r="K16"/>
  <c r="L16"/>
  <c r="J17"/>
  <c r="K17"/>
  <c r="L17"/>
  <c r="K18"/>
  <c r="L18"/>
  <c r="K19"/>
  <c r="L19"/>
  <c r="J20"/>
  <c r="K20"/>
  <c r="L20"/>
  <c r="J21"/>
  <c r="K21"/>
  <c r="L21"/>
  <c r="J22"/>
  <c r="K22"/>
  <c r="L22"/>
  <c r="J23"/>
  <c r="K23"/>
  <c r="L23"/>
  <c r="J24"/>
  <c r="K24"/>
  <c r="L24"/>
  <c r="J25"/>
  <c r="K25"/>
  <c r="L25"/>
  <c r="J26"/>
  <c r="K26"/>
  <c r="L26"/>
  <c r="J27"/>
  <c r="K27"/>
  <c r="L27"/>
  <c r="J28"/>
  <c r="K28"/>
  <c r="L28"/>
  <c r="J29"/>
  <c r="K29"/>
  <c r="L29"/>
  <c r="J30"/>
  <c r="K30"/>
  <c r="L30"/>
  <c r="J31"/>
  <c r="K31"/>
  <c r="L31"/>
  <c r="J32"/>
  <c r="K32"/>
  <c r="L32"/>
  <c r="J33"/>
  <c r="K33"/>
  <c r="L33"/>
  <c r="J34"/>
  <c r="K34"/>
  <c r="L34"/>
  <c r="J35"/>
  <c r="K35"/>
  <c r="J36"/>
  <c r="K36"/>
  <c r="J37"/>
  <c r="K37"/>
  <c r="J38"/>
  <c r="K38"/>
  <c r="J39"/>
  <c r="K39"/>
  <c r="J40"/>
  <c r="K40"/>
  <c r="J41"/>
  <c r="K41"/>
  <c r="J42"/>
  <c r="K42"/>
  <c r="J43"/>
  <c r="K43"/>
  <c r="L43"/>
  <c r="J44"/>
  <c r="K44"/>
  <c r="L44"/>
  <c r="J45"/>
  <c r="K45"/>
  <c r="L45"/>
  <c r="J46"/>
  <c r="K46"/>
  <c r="L46"/>
  <c r="J47"/>
  <c r="K47"/>
  <c r="L47"/>
  <c r="J48"/>
  <c r="K48"/>
  <c r="L48"/>
  <c r="J49"/>
  <c r="K49"/>
  <c r="L49"/>
  <c r="J50"/>
  <c r="K50"/>
  <c r="J51"/>
  <c r="K51"/>
  <c r="L51"/>
  <c r="E52"/>
  <c r="F52"/>
  <c r="F53"/>
  <c r="G5" i="4"/>
  <c r="E3" i="2"/>
  <c r="G6" i="4"/>
  <c r="E4" i="2"/>
  <c r="E7" i="4"/>
  <c r="F7"/>
  <c r="G11"/>
  <c r="E5" i="2"/>
  <c r="G12" i="4"/>
  <c r="E6" i="2"/>
  <c r="E13" i="4"/>
  <c r="G17"/>
  <c r="E7" i="2"/>
  <c r="G18" i="4"/>
  <c r="E8" i="2"/>
  <c r="F19" i="4"/>
  <c r="D31" i="6"/>
  <c r="C11" i="1"/>
  <c r="C31" s="1"/>
  <c r="C10"/>
  <c r="C9"/>
  <c r="C29" s="1"/>
  <c r="C8"/>
  <c r="C6"/>
  <c r="F26" s="1"/>
  <c r="A9" i="2"/>
  <c r="C7" i="1"/>
  <c r="E7" s="1"/>
  <c r="A10" i="2"/>
  <c r="C15" i="5"/>
  <c r="C16"/>
  <c r="C17"/>
  <c r="C18"/>
  <c r="C19"/>
  <c r="C20"/>
  <c r="C4"/>
  <c r="E66" i="1" s="1"/>
  <c r="AC66" s="1"/>
  <c r="C5" i="5"/>
  <c r="C6"/>
  <c r="C7"/>
  <c r="C8"/>
  <c r="C9"/>
  <c r="C13"/>
  <c r="C14"/>
  <c r="D8" i="1"/>
  <c r="F8" s="1"/>
  <c r="D28"/>
  <c r="F28"/>
  <c r="C28"/>
  <c r="E28"/>
  <c r="D39"/>
  <c r="D53"/>
  <c r="G53" s="1"/>
  <c r="D10"/>
  <c r="D30"/>
  <c r="F30"/>
  <c r="C30"/>
  <c r="E30"/>
  <c r="D41"/>
  <c r="G41" s="1"/>
  <c r="C27"/>
  <c r="D38"/>
  <c r="F38" s="1"/>
  <c r="D27"/>
  <c r="D6"/>
  <c r="D26"/>
  <c r="E6"/>
  <c r="F6" s="1"/>
  <c r="E26"/>
  <c r="D9"/>
  <c r="E29"/>
  <c r="D29"/>
  <c r="D11"/>
  <c r="F11" s="1"/>
  <c r="E31"/>
  <c r="D31"/>
  <c r="E41"/>
  <c r="F41"/>
  <c r="D45"/>
  <c r="D50" s="1"/>
  <c r="E53"/>
  <c r="F53"/>
  <c r="E63"/>
  <c r="E64"/>
  <c r="AC64" s="1"/>
  <c r="D67"/>
  <c r="X67" s="1"/>
  <c r="E68"/>
  <c r="AC68" s="1"/>
  <c r="D71"/>
  <c r="X71" s="1"/>
  <c r="E72"/>
  <c r="AC72" s="1"/>
  <c r="D75"/>
  <c r="X75" s="1"/>
  <c r="E76"/>
  <c r="AC76" s="1"/>
  <c r="F9"/>
  <c r="D32"/>
  <c r="F10"/>
  <c r="E39"/>
  <c r="G39"/>
  <c r="F39"/>
  <c r="G28"/>
  <c r="G8" s="1"/>
  <c r="F45"/>
  <c r="E45"/>
  <c r="H39"/>
  <c r="J6" i="5"/>
  <c r="J16"/>
  <c r="J11"/>
  <c r="J7"/>
  <c r="J9" l="1"/>
  <c r="J12"/>
  <c r="J18"/>
  <c r="J8"/>
  <c r="J19"/>
  <c r="F50" i="1"/>
  <c r="G50"/>
  <c r="E50"/>
  <c r="X63"/>
  <c r="E12"/>
  <c r="H53"/>
  <c r="G26"/>
  <c r="G6" s="1"/>
  <c r="H41"/>
  <c r="G45"/>
  <c r="H45" s="1"/>
  <c r="AC63"/>
  <c r="D64"/>
  <c r="X64" s="1"/>
  <c r="D68"/>
  <c r="X68" s="1"/>
  <c r="D72"/>
  <c r="X72" s="1"/>
  <c r="D76"/>
  <c r="X76" s="1"/>
  <c r="D77"/>
  <c r="X77" s="1"/>
  <c r="D66"/>
  <c r="X66" s="1"/>
  <c r="D70"/>
  <c r="X70" s="1"/>
  <c r="D74"/>
  <c r="X74" s="1"/>
  <c r="E74"/>
  <c r="AC74" s="1"/>
  <c r="D73"/>
  <c r="X73" s="1"/>
  <c r="E70"/>
  <c r="AC70" s="1"/>
  <c r="AD67" s="1"/>
  <c r="D69"/>
  <c r="X69" s="1"/>
  <c r="D65"/>
  <c r="X65" s="1"/>
  <c r="G38"/>
  <c r="E38"/>
  <c r="H38" s="1"/>
  <c r="D46"/>
  <c r="F31"/>
  <c r="G31" s="1"/>
  <c r="G11" s="1"/>
  <c r="D42"/>
  <c r="F29"/>
  <c r="G29" s="1"/>
  <c r="G9" s="1"/>
  <c r="D40"/>
  <c r="D37"/>
  <c r="C26"/>
  <c r="F27"/>
  <c r="F32" s="1"/>
  <c r="D7"/>
  <c r="D12" s="1"/>
  <c r="E27"/>
  <c r="E32" s="1"/>
  <c r="AD72"/>
  <c r="AD71"/>
  <c r="AD70"/>
  <c r="AD63"/>
  <c r="AD73"/>
  <c r="G30"/>
  <c r="G10" s="1"/>
  <c r="F55" i="5"/>
  <c r="H50" i="1"/>
  <c r="J15" i="5"/>
  <c r="H54" i="1"/>
  <c r="M84" a="1"/>
  <c r="M84" s="1"/>
  <c r="D84" s="1"/>
  <c r="AD69" l="1"/>
  <c r="AD75"/>
  <c r="Y73"/>
  <c r="Y74"/>
  <c r="Y77"/>
  <c r="Y76"/>
  <c r="Y66"/>
  <c r="Y71"/>
  <c r="Y65"/>
  <c r="Y70"/>
  <c r="Y63"/>
  <c r="Y69"/>
  <c r="Y68"/>
  <c r="Y72"/>
  <c r="Y64"/>
  <c r="Y75"/>
  <c r="Y67"/>
  <c r="AA71" s="1"/>
  <c r="AA63"/>
  <c r="F7"/>
  <c r="F12" s="1"/>
  <c r="E37"/>
  <c r="F37"/>
  <c r="G37"/>
  <c r="D44"/>
  <c r="E40"/>
  <c r="F40"/>
  <c r="G40"/>
  <c r="D47"/>
  <c r="G42"/>
  <c r="F42"/>
  <c r="E42"/>
  <c r="H42" s="1"/>
  <c r="G46"/>
  <c r="D51"/>
  <c r="E46"/>
  <c r="F46"/>
  <c r="G27"/>
  <c r="G7" s="1"/>
  <c r="G12" s="1"/>
  <c r="AD68"/>
  <c r="AD65"/>
  <c r="AD74"/>
  <c r="AD64"/>
  <c r="AE65" s="1"/>
  <c r="AD77"/>
  <c r="AD76"/>
  <c r="AD66"/>
  <c r="E78"/>
  <c r="D78"/>
  <c r="AE72"/>
  <c r="G32"/>
  <c r="AF73"/>
  <c r="E84"/>
  <c r="M85"/>
  <c r="E85" s="1"/>
  <c r="Z77" l="1"/>
  <c r="AE70"/>
  <c r="AA69"/>
  <c r="AA67"/>
  <c r="Z68"/>
  <c r="AE74"/>
  <c r="AE63"/>
  <c r="AF76"/>
  <c r="Z67"/>
  <c r="Z70"/>
  <c r="D85"/>
  <c r="AE66"/>
  <c r="AF71"/>
  <c r="AF65"/>
  <c r="AF77"/>
  <c r="AE69"/>
  <c r="AE76"/>
  <c r="AE64"/>
  <c r="E51"/>
  <c r="F51"/>
  <c r="G51"/>
  <c r="H37"/>
  <c r="G43"/>
  <c r="D52"/>
  <c r="G47"/>
  <c r="F47"/>
  <c r="E47"/>
  <c r="H47" s="1"/>
  <c r="G44"/>
  <c r="D49"/>
  <c r="E44"/>
  <c r="F44"/>
  <c r="F48" s="1"/>
  <c r="AF68"/>
  <c r="AF72"/>
  <c r="AF63"/>
  <c r="H40"/>
  <c r="H43" s="1"/>
  <c r="E43"/>
  <c r="Z74"/>
  <c r="AA75"/>
  <c r="Z64"/>
  <c r="Z72"/>
  <c r="Z71"/>
  <c r="AA73"/>
  <c r="Z73"/>
  <c r="AA70"/>
  <c r="Z76"/>
  <c r="AF74"/>
  <c r="AE73"/>
  <c r="AE68"/>
  <c r="AE71"/>
  <c r="AF64"/>
  <c r="AF69"/>
  <c r="AE67"/>
  <c r="AF67"/>
  <c r="AF70"/>
  <c r="AE77"/>
  <c r="AE75"/>
  <c r="AF75"/>
  <c r="AF66"/>
  <c r="H46"/>
  <c r="F43"/>
  <c r="Z66"/>
  <c r="AA77"/>
  <c r="Z65"/>
  <c r="AA72"/>
  <c r="AA65"/>
  <c r="AA64"/>
  <c r="AA66"/>
  <c r="AA76"/>
  <c r="Z69"/>
  <c r="Z75"/>
  <c r="AA74"/>
  <c r="Z63"/>
  <c r="AA68"/>
  <c r="M86"/>
  <c r="D86" s="1"/>
  <c r="M87" l="1"/>
  <c r="M88" s="1"/>
  <c r="G49"/>
  <c r="E49"/>
  <c r="F49"/>
  <c r="H44"/>
  <c r="H48" s="1"/>
  <c r="E48"/>
  <c r="E52"/>
  <c r="F52"/>
  <c r="G52"/>
  <c r="H51"/>
  <c r="G48"/>
  <c r="E86"/>
  <c r="E87"/>
  <c r="D87"/>
  <c r="E55" l="1"/>
  <c r="E56" s="1"/>
  <c r="H49"/>
  <c r="H55" s="1"/>
  <c r="H56" s="1"/>
  <c r="H52"/>
  <c r="F55"/>
  <c r="F56" s="1"/>
  <c r="G55"/>
  <c r="G56" s="1"/>
  <c r="E88"/>
  <c r="E89" s="1"/>
  <c r="D88"/>
  <c r="D89" s="1"/>
  <c r="C88"/>
</calcChain>
</file>

<file path=xl/sharedStrings.xml><?xml version="1.0" encoding="utf-8"?>
<sst xmlns="http://schemas.openxmlformats.org/spreadsheetml/2006/main" count="373" uniqueCount="192">
  <si>
    <t>HOUSING</t>
  </si>
  <si>
    <t>Actual Cost</t>
  </si>
  <si>
    <t>Paid from Account</t>
  </si>
  <si>
    <t>Opening Balance</t>
  </si>
  <si>
    <t>Projected Balance</t>
  </si>
  <si>
    <t>Status</t>
  </si>
  <si>
    <t>Mortgage or rent</t>
  </si>
  <si>
    <t>Electricity</t>
  </si>
  <si>
    <t>Gas</t>
  </si>
  <si>
    <t>Water and sewer</t>
  </si>
  <si>
    <t>Cable</t>
  </si>
  <si>
    <t>Waste removal</t>
  </si>
  <si>
    <t>Maintenance or repairs</t>
  </si>
  <si>
    <t>Supplies</t>
  </si>
  <si>
    <t>ENTERTAINMENT</t>
  </si>
  <si>
    <t>Video/DVD</t>
  </si>
  <si>
    <t>CDs</t>
  </si>
  <si>
    <t>Movies</t>
  </si>
  <si>
    <t>Concerts</t>
  </si>
  <si>
    <t>Sporting events</t>
  </si>
  <si>
    <t>TRANSPORTATION</t>
  </si>
  <si>
    <t>Vehicle payment</t>
  </si>
  <si>
    <t>Bus/taxi fare</t>
  </si>
  <si>
    <t>Licensing</t>
  </si>
  <si>
    <t>Fuel</t>
  </si>
  <si>
    <t>Maintenance</t>
  </si>
  <si>
    <t>LOANS</t>
  </si>
  <si>
    <t>Personal</t>
  </si>
  <si>
    <t>Student</t>
  </si>
  <si>
    <t>INSURANCE</t>
  </si>
  <si>
    <t>Health</t>
  </si>
  <si>
    <t>TAXES</t>
  </si>
  <si>
    <t>FOOD</t>
  </si>
  <si>
    <t>Groceries</t>
  </si>
  <si>
    <t>Dining out</t>
  </si>
  <si>
    <t>Retirement account</t>
  </si>
  <si>
    <t>PETS</t>
  </si>
  <si>
    <t>Medical</t>
  </si>
  <si>
    <t>GIFTS AND DONATIONS</t>
  </si>
  <si>
    <t>Hair/nails</t>
  </si>
  <si>
    <t>Clothing</t>
  </si>
  <si>
    <t>Dry cleaning</t>
  </si>
  <si>
    <t>Health club</t>
  </si>
  <si>
    <t>Organization dues or fees</t>
  </si>
  <si>
    <t>LEGAL</t>
  </si>
  <si>
    <t>Category</t>
  </si>
  <si>
    <t>Expense head</t>
  </si>
  <si>
    <t>Home Insurance</t>
  </si>
  <si>
    <t>Insurance Transportation</t>
  </si>
  <si>
    <t>Life Insurance</t>
  </si>
  <si>
    <t>Savings a/c 1</t>
  </si>
  <si>
    <t>Savings a/c 2</t>
  </si>
  <si>
    <t>SAVINGS/INVESTMENT</t>
  </si>
  <si>
    <t>PERSONAL</t>
  </si>
  <si>
    <t>Expenses for the month of</t>
  </si>
  <si>
    <t>Due Date</t>
  </si>
  <si>
    <t>Mode of Payment</t>
  </si>
  <si>
    <t>EMI-Vehicle 1</t>
  </si>
  <si>
    <t>EMI-Vehicle 2</t>
  </si>
  <si>
    <t>Investment a/c 1</t>
  </si>
  <si>
    <t>Servant</t>
  </si>
  <si>
    <t>Phone - Mobile</t>
  </si>
  <si>
    <t>Phone-Landline</t>
  </si>
  <si>
    <t>Mutual Funds</t>
  </si>
  <si>
    <t>School Fee</t>
  </si>
  <si>
    <t>School Transport</t>
  </si>
  <si>
    <t>CHILDRENS EDU</t>
  </si>
  <si>
    <t>Laundry</t>
  </si>
  <si>
    <t>Children's Insurance</t>
  </si>
  <si>
    <t>Mode</t>
  </si>
  <si>
    <t>Direct Debit/ECS</t>
  </si>
  <si>
    <t>Cheque</t>
  </si>
  <si>
    <t>Cash</t>
  </si>
  <si>
    <t>Done</t>
  </si>
  <si>
    <t>Pending</t>
  </si>
  <si>
    <t>Total</t>
  </si>
  <si>
    <t>TOTAL</t>
  </si>
  <si>
    <t>Weeknum</t>
  </si>
  <si>
    <t>Week 1</t>
  </si>
  <si>
    <t>Week 2</t>
  </si>
  <si>
    <t>Week 3</t>
  </si>
  <si>
    <t>Week 4</t>
  </si>
  <si>
    <t>Projected</t>
  </si>
  <si>
    <t>Actual</t>
  </si>
  <si>
    <t>Fixed/Recurring Deposit a/c</t>
  </si>
  <si>
    <t>Account</t>
  </si>
  <si>
    <t>Month Total</t>
  </si>
  <si>
    <t>Totals</t>
  </si>
  <si>
    <t>Totals - Pending</t>
  </si>
  <si>
    <t>Totals with Pending</t>
  </si>
  <si>
    <t>Enter names of Savings account and Bank (only if different from income account)</t>
  </si>
  <si>
    <t>Name</t>
  </si>
  <si>
    <t>Income amount</t>
  </si>
  <si>
    <t>Enter Income details:-</t>
  </si>
  <si>
    <t>Credit Limit</t>
  </si>
  <si>
    <t>Accounts</t>
  </si>
  <si>
    <t>Available Bal</t>
  </si>
  <si>
    <t>Current Balance</t>
  </si>
  <si>
    <t>Income</t>
  </si>
  <si>
    <t>Payments by Status</t>
  </si>
  <si>
    <t>Cash Total</t>
  </si>
  <si>
    <t>Cheque Total</t>
  </si>
  <si>
    <t>Direct Debit/ECS Total</t>
  </si>
  <si>
    <t>GRAND TOTAL</t>
  </si>
  <si>
    <t>Assumptions &amp; Instructions :-</t>
  </si>
  <si>
    <t>Distribution by category</t>
  </si>
  <si>
    <t>Break up by status and mode of payment</t>
  </si>
  <si>
    <t>Week No</t>
  </si>
  <si>
    <t>Sl No</t>
  </si>
  <si>
    <t>Hospital Expenses</t>
  </si>
  <si>
    <t>School Expenses</t>
  </si>
  <si>
    <t>Gift Expenses</t>
  </si>
  <si>
    <t>News Paper/Magazine/Journal</t>
  </si>
  <si>
    <t>Miscellaneous-housing</t>
  </si>
  <si>
    <t>Miscellaneous-Personal</t>
  </si>
  <si>
    <t>Expense By Week</t>
  </si>
  <si>
    <t>Expense Head</t>
  </si>
  <si>
    <t>Month</t>
  </si>
  <si>
    <t>Partial-Done</t>
  </si>
  <si>
    <t>Bank Name</t>
  </si>
  <si>
    <t>Enter Bank and Credit card details</t>
  </si>
  <si>
    <t>Enter Expenses for the Month</t>
  </si>
  <si>
    <t>Enter names of Credit card holders and Bank (use suffix like VISA/Master to differentiate)</t>
  </si>
  <si>
    <t>Calculation and Analysis Sheet</t>
  </si>
  <si>
    <t>Back to Instruction Page</t>
  </si>
  <si>
    <t>Back to Income and Bank Entry</t>
  </si>
  <si>
    <t>Add New Expense Head</t>
  </si>
  <si>
    <t>HDFC</t>
  </si>
  <si>
    <t>CITI</t>
  </si>
  <si>
    <t>ICICI</t>
  </si>
  <si>
    <t>SBI</t>
  </si>
  <si>
    <t>Vegetables &amp; Fruits</t>
  </si>
  <si>
    <t>Children's Coaching/Extra curricular</t>
  </si>
  <si>
    <t>Internet Charges</t>
  </si>
  <si>
    <t>Dairy Products (Milk, Curd..)</t>
  </si>
  <si>
    <t>Summary by account</t>
  </si>
  <si>
    <t>Summary of account by Payment status</t>
  </si>
  <si>
    <t>Break up by payment mode, account type and status</t>
  </si>
  <si>
    <t>Expense distibution by head</t>
  </si>
  <si>
    <t>Projected vs Actual by week</t>
  </si>
  <si>
    <t>Completed - Actual</t>
  </si>
  <si>
    <t>Temporary data</t>
  </si>
  <si>
    <t>Summary By Account</t>
  </si>
  <si>
    <t>Last Updated</t>
  </si>
  <si>
    <t>Bank Account and Income details</t>
  </si>
  <si>
    <t>Expense entry sheet</t>
  </si>
  <si>
    <t>Expense Head - Master</t>
  </si>
  <si>
    <t>* IA prefix denotes Income account</t>
  </si>
  <si>
    <t>** CC prefix denotes Credit Card</t>
  </si>
  <si>
    <t>*** SB Prefix denotes Savings Bank account</t>
  </si>
  <si>
    <t>Identifier *</t>
  </si>
  <si>
    <t>Identifier **</t>
  </si>
  <si>
    <t>Identifier ***</t>
  </si>
  <si>
    <r>
      <t xml:space="preserve">This Expense template is designed for a household with a maximum of </t>
    </r>
    <r>
      <rPr>
        <b/>
        <sz val="11"/>
        <color indexed="8"/>
        <rFont val="Calibri"/>
        <family val="2"/>
      </rPr>
      <t>2 income, 2 credit cards and 2 savings accounts</t>
    </r>
  </si>
  <si>
    <r>
      <t>Cheque payment</t>
    </r>
    <r>
      <rPr>
        <sz val="11"/>
        <color theme="1"/>
        <rFont val="Calibri"/>
        <family val="2"/>
        <scheme val="minor"/>
      </rPr>
      <t xml:space="preserve"> mode for credit cards will display an</t>
    </r>
    <r>
      <rPr>
        <b/>
        <sz val="11"/>
        <color indexed="8"/>
        <rFont val="Calibri"/>
        <family val="2"/>
      </rPr>
      <t xml:space="preserve"> invalid</t>
    </r>
    <r>
      <rPr>
        <sz val="11"/>
        <color theme="1"/>
        <rFont val="Calibri"/>
        <family val="2"/>
        <scheme val="minor"/>
      </rPr>
      <t xml:space="preserve"> mode of payment</t>
    </r>
  </si>
  <si>
    <r>
      <t xml:space="preserve">This is a </t>
    </r>
    <r>
      <rPr>
        <b/>
        <sz val="11"/>
        <color indexed="8"/>
        <rFont val="Calibri"/>
        <family val="2"/>
      </rPr>
      <t>currency neutral</t>
    </r>
    <r>
      <rPr>
        <sz val="11"/>
        <color theme="1"/>
        <rFont val="Calibri"/>
        <family val="2"/>
        <scheme val="minor"/>
      </rPr>
      <t xml:space="preserve"> file, please enter amounts in local currency</t>
    </r>
  </si>
  <si>
    <r>
      <t xml:space="preserve">Enter expenses in the </t>
    </r>
    <r>
      <rPr>
        <b/>
        <i/>
        <sz val="11"/>
        <color indexed="8"/>
        <rFont val="Calibri"/>
        <family val="2"/>
      </rPr>
      <t xml:space="preserve">"Expense" </t>
    </r>
    <r>
      <rPr>
        <sz val="11"/>
        <color theme="1"/>
        <rFont val="Calibri"/>
        <family val="2"/>
        <scheme val="minor"/>
      </rPr>
      <t>sheet by selecting the relevant Expense Head</t>
    </r>
  </si>
  <si>
    <r>
      <t xml:space="preserve">Enter </t>
    </r>
    <r>
      <rPr>
        <sz val="11"/>
        <color theme="1"/>
        <rFont val="Calibri"/>
        <family val="2"/>
        <scheme val="minor"/>
      </rPr>
      <t xml:space="preserve">data only in cells highlighted in </t>
    </r>
    <r>
      <rPr>
        <b/>
        <i/>
        <sz val="11"/>
        <rFont val="Calibri"/>
        <family val="2"/>
      </rPr>
      <t>"Light Turquoise"</t>
    </r>
    <r>
      <rPr>
        <sz val="11"/>
        <color theme="1"/>
        <rFont val="Calibri"/>
        <family val="2"/>
        <scheme val="minor"/>
      </rPr>
      <t xml:space="preserve"> Color (Entry Sheet), In the expense sheet the </t>
    </r>
    <r>
      <rPr>
        <b/>
        <i/>
        <sz val="11"/>
        <color indexed="8"/>
        <rFont val="Calibri"/>
        <family val="2"/>
      </rPr>
      <t>"Category"</t>
    </r>
    <r>
      <rPr>
        <sz val="11"/>
        <color theme="1"/>
        <rFont val="Calibri"/>
        <family val="2"/>
        <scheme val="minor"/>
      </rPr>
      <t xml:space="preserve"> column is autopopulated</t>
    </r>
  </si>
  <si>
    <r>
      <t xml:space="preserve">To start calculation for new month, clear all the </t>
    </r>
    <r>
      <rPr>
        <b/>
        <i/>
        <sz val="11"/>
        <color indexed="8"/>
        <rFont val="Calibri"/>
        <family val="2"/>
      </rPr>
      <t>"Light Turquoise"</t>
    </r>
    <r>
      <rPr>
        <sz val="11"/>
        <color theme="1"/>
        <rFont val="Calibri"/>
        <family val="2"/>
        <scheme val="minor"/>
      </rPr>
      <t xml:space="preserve"> entries in </t>
    </r>
    <r>
      <rPr>
        <b/>
        <i/>
        <sz val="11"/>
        <color indexed="8"/>
        <rFont val="Calibri"/>
        <family val="2"/>
      </rPr>
      <t>"Entry"</t>
    </r>
    <r>
      <rPr>
        <sz val="11"/>
        <color theme="1"/>
        <rFont val="Calibri"/>
        <family val="2"/>
        <scheme val="minor"/>
      </rPr>
      <t xml:space="preserve"> Sheet, Cells. </t>
    </r>
    <r>
      <rPr>
        <b/>
        <sz val="11"/>
        <color indexed="8"/>
        <rFont val="Calibri"/>
        <family val="2"/>
      </rPr>
      <t>B4:I51</t>
    </r>
    <r>
      <rPr>
        <sz val="11"/>
        <color theme="1"/>
        <rFont val="Calibri"/>
        <family val="2"/>
        <scheme val="minor"/>
      </rPr>
      <t xml:space="preserve"> in </t>
    </r>
    <r>
      <rPr>
        <b/>
        <sz val="11"/>
        <color indexed="8"/>
        <rFont val="Calibri"/>
        <family val="2"/>
      </rPr>
      <t>"Expense"</t>
    </r>
    <r>
      <rPr>
        <sz val="11"/>
        <color theme="1"/>
        <rFont val="Calibri"/>
        <family val="2"/>
        <scheme val="minor"/>
      </rPr>
      <t xml:space="preserve"> Sheet (except Col:C)</t>
    </r>
  </si>
  <si>
    <t>)</t>
  </si>
  <si>
    <r>
      <t xml:space="preserve">If you want to add a </t>
    </r>
    <r>
      <rPr>
        <b/>
        <i/>
        <sz val="11"/>
        <color indexed="8"/>
        <rFont val="Calibri"/>
        <family val="2"/>
      </rPr>
      <t>new Expense Head</t>
    </r>
    <r>
      <rPr>
        <sz val="11"/>
        <color theme="1"/>
        <rFont val="Calibri"/>
        <family val="2"/>
        <scheme val="minor"/>
      </rPr>
      <t>, you can add it in the lookup sheet cell A58 onwards with a relevant category in Col B, if you add a new expense category, please add in Col C</t>
    </r>
  </si>
  <si>
    <t>Monthly Expense calculator</t>
  </si>
  <si>
    <t>CC-CITI-Karthik-Master</t>
  </si>
  <si>
    <t>Cheque payment by Credi card</t>
  </si>
  <si>
    <r>
      <t>displays "</t>
    </r>
    <r>
      <rPr>
        <b/>
        <sz val="11"/>
        <color indexed="10"/>
        <rFont val="Calibri"/>
        <family val="2"/>
      </rPr>
      <t>** Invalid mode of Payment</t>
    </r>
    <r>
      <rPr>
        <sz val="11"/>
        <color theme="1"/>
        <rFont val="Calibri"/>
        <family val="2"/>
        <scheme val="minor"/>
      </rPr>
      <t>" in Col L</t>
    </r>
  </si>
  <si>
    <t>Days for 
Payment</t>
  </si>
  <si>
    <t>John</t>
  </si>
  <si>
    <t>Jenny</t>
  </si>
  <si>
    <t>John-Master</t>
  </si>
  <si>
    <t>IA-HDFC-John</t>
  </si>
  <si>
    <t>IA-CITI-Jenny</t>
  </si>
  <si>
    <t>Todays Date</t>
  </si>
  <si>
    <t>CC-CITI-John-Master</t>
  </si>
  <si>
    <t>CC-CITI-John-Master-Payment</t>
  </si>
  <si>
    <t>CC-CITI-Jenny</t>
  </si>
  <si>
    <t>Today's Date</t>
  </si>
  <si>
    <t>*</t>
  </si>
  <si>
    <t>* Projected balance of credit card is denoted in negative for account balance</t>
  </si>
  <si>
    <r>
      <t xml:space="preserve">Enter the </t>
    </r>
    <r>
      <rPr>
        <b/>
        <sz val="11"/>
        <color indexed="8"/>
        <rFont val="Calibri"/>
        <family val="2"/>
      </rPr>
      <t>actual cost</t>
    </r>
    <r>
      <rPr>
        <sz val="11"/>
        <color theme="1"/>
        <rFont val="Calibri"/>
        <family val="2"/>
        <scheme val="minor"/>
      </rPr>
      <t xml:space="preserve"> in the </t>
    </r>
    <r>
      <rPr>
        <b/>
        <i/>
        <sz val="11"/>
        <color indexed="8"/>
        <rFont val="Calibri"/>
        <family val="2"/>
      </rPr>
      <t>"Expense Sheet"</t>
    </r>
    <r>
      <rPr>
        <sz val="11"/>
        <color theme="1"/>
        <rFont val="Calibri"/>
        <family val="2"/>
        <scheme val="minor"/>
      </rPr>
      <t xml:space="preserve"> only after the expense has been incurred</t>
    </r>
  </si>
  <si>
    <t>Projected 
/ Budgetted Cost</t>
  </si>
  <si>
    <t>Housing</t>
  </si>
  <si>
    <t>Entertainment</t>
  </si>
  <si>
    <t>Loans</t>
  </si>
  <si>
    <t>Food</t>
  </si>
  <si>
    <t>Transportation</t>
  </si>
  <si>
    <t>Insurance</t>
  </si>
  <si>
    <t>Savings/Investment</t>
  </si>
  <si>
    <t>Childrens Edu</t>
  </si>
  <si>
    <t>Taxes</t>
  </si>
  <si>
    <t>Pets</t>
  </si>
  <si>
    <t>Gifts And Donations</t>
  </si>
  <si>
    <t>Legal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</si>
</sst>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5" formatCode="[$-409]d\-mmm\-yy;@"/>
    <numFmt numFmtId="166" formatCode="[$-409]mmm\-yy;@"/>
    <numFmt numFmtId="169" formatCode="0.0"/>
  </numFmts>
  <fonts count="20">
    <font>
      <sz val="11"/>
      <color theme="1"/>
      <name val="Calibri"/>
      <family val="2"/>
      <scheme val="minor"/>
    </font>
    <font>
      <b/>
      <sz val="14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b/>
      <i/>
      <sz val="11"/>
      <color indexed="8"/>
      <name val="Calibri"/>
      <family val="2"/>
    </font>
    <font>
      <b/>
      <i/>
      <sz val="11"/>
      <name val="Calibri"/>
      <family val="2"/>
    </font>
    <font>
      <i/>
      <sz val="11"/>
      <color indexed="10"/>
      <name val="Calibri"/>
      <family val="2"/>
    </font>
    <font>
      <sz val="8"/>
      <name val="Calibri"/>
      <family val="2"/>
    </font>
    <font>
      <sz val="16"/>
      <name val="Calibri"/>
      <family val="2"/>
    </font>
    <font>
      <b/>
      <sz val="11"/>
      <name val="Calibri"/>
      <family val="2"/>
    </font>
    <font>
      <sz val="9"/>
      <name val="Verndana"/>
    </font>
    <font>
      <sz val="9"/>
      <color indexed="9"/>
      <name val="Verndana"/>
    </font>
    <font>
      <b/>
      <sz val="16"/>
      <name val="Calibri"/>
      <family val="2"/>
    </font>
    <font>
      <b/>
      <sz val="12"/>
      <name val="Calibri"/>
      <family val="2"/>
    </font>
    <font>
      <b/>
      <sz val="16"/>
      <color indexed="8"/>
      <name val="Calibri"/>
      <family val="2"/>
    </font>
    <font>
      <b/>
      <sz val="11"/>
      <color indexed="10"/>
      <name val="Calibri"/>
      <family val="2"/>
    </font>
    <font>
      <u/>
      <sz val="11"/>
      <color theme="1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9" fontId="2" fillId="0" borderId="0" applyFont="0" applyFill="0" applyBorder="0" applyAlignment="0" applyProtection="0"/>
  </cellStyleXfs>
  <cellXfs count="184">
    <xf numFmtId="0" fontId="0" fillId="0" borderId="0" xfId="0"/>
    <xf numFmtId="165" fontId="0" fillId="0" borderId="0" xfId="0" applyNumberFormat="1"/>
    <xf numFmtId="17" fontId="0" fillId="0" borderId="0" xfId="0" applyNumberFormat="1"/>
    <xf numFmtId="0" fontId="0" fillId="0" borderId="0" xfId="0" applyAlignment="1">
      <alignment horizontal="center"/>
    </xf>
    <xf numFmtId="0" fontId="7" fillId="0" borderId="0" xfId="0" applyFont="1"/>
    <xf numFmtId="0" fontId="5" fillId="2" borderId="1" xfId="0" applyFont="1" applyFill="1" applyBorder="1" applyAlignment="1" applyProtection="1">
      <alignment horizontal="center"/>
      <protection locked="0"/>
    </xf>
    <xf numFmtId="165" fontId="5" fillId="2" borderId="1" xfId="0" applyNumberFormat="1" applyFont="1" applyFill="1" applyBorder="1" applyAlignment="1" applyProtection="1">
      <alignment horizontal="center"/>
      <protection locked="0"/>
    </xf>
    <xf numFmtId="0" fontId="9" fillId="0" borderId="0" xfId="0" applyFont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65" fontId="0" fillId="0" borderId="1" xfId="0" applyNumberFormat="1" applyBorder="1" applyProtection="1">
      <protection locked="0"/>
    </xf>
    <xf numFmtId="0" fontId="5" fillId="3" borderId="1" xfId="0" applyFont="1" applyFill="1" applyBorder="1" applyProtection="1">
      <protection locked="0"/>
    </xf>
    <xf numFmtId="165" fontId="5" fillId="3" borderId="1" xfId="0" applyNumberFormat="1" applyFont="1" applyFill="1" applyBorder="1" applyProtection="1">
      <protection locked="0"/>
    </xf>
    <xf numFmtId="43" fontId="5" fillId="3" borderId="1" xfId="0" applyNumberFormat="1" applyFont="1" applyFill="1" applyBorder="1" applyProtection="1">
      <protection locked="0"/>
    </xf>
    <xf numFmtId="43" fontId="5" fillId="3" borderId="1" xfId="1" applyFont="1" applyFill="1" applyBorder="1" applyProtection="1">
      <protection locked="0"/>
    </xf>
    <xf numFmtId="0" fontId="5" fillId="0" borderId="1" xfId="0" applyFont="1" applyBorder="1" applyProtection="1">
      <protection locked="0"/>
    </xf>
    <xf numFmtId="165" fontId="5" fillId="0" borderId="1" xfId="0" applyNumberFormat="1" applyFont="1" applyBorder="1" applyProtection="1">
      <protection locked="0"/>
    </xf>
    <xf numFmtId="43" fontId="5" fillId="0" borderId="1" xfId="0" applyNumberFormat="1" applyFont="1" applyBorder="1" applyProtection="1">
      <protection locked="0"/>
    </xf>
    <xf numFmtId="0" fontId="5" fillId="2" borderId="1" xfId="0" applyFont="1" applyFill="1" applyBorder="1" applyAlignment="1" applyProtection="1">
      <alignment horizontal="center"/>
    </xf>
    <xf numFmtId="0" fontId="0" fillId="0" borderId="1" xfId="0" applyBorder="1" applyProtection="1"/>
    <xf numFmtId="0" fontId="5" fillId="3" borderId="1" xfId="0" applyFont="1" applyFill="1" applyBorder="1" applyProtection="1"/>
    <xf numFmtId="0" fontId="5" fillId="0" borderId="1" xfId="0" applyFont="1" applyBorder="1" applyProtection="1"/>
    <xf numFmtId="0" fontId="0" fillId="0" borderId="0" xfId="0" applyProtection="1"/>
    <xf numFmtId="0" fontId="3" fillId="0" borderId="0" xfId="0" applyFont="1" applyProtection="1"/>
    <xf numFmtId="0" fontId="0" fillId="0" borderId="2" xfId="0" applyBorder="1" applyProtection="1">
      <protection locked="0"/>
    </xf>
    <xf numFmtId="165" fontId="0" fillId="0" borderId="3" xfId="0" applyNumberFormat="1" applyBorder="1" applyProtection="1">
      <protection locked="0"/>
    </xf>
    <xf numFmtId="43" fontId="2" fillId="0" borderId="3" xfId="1" applyFont="1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165" fontId="0" fillId="0" borderId="5" xfId="0" applyNumberFormat="1" applyBorder="1" applyProtection="1">
      <protection locked="0"/>
    </xf>
    <xf numFmtId="43" fontId="2" fillId="0" borderId="5" xfId="1" applyFont="1" applyBorder="1" applyProtection="1">
      <protection locked="0"/>
    </xf>
    <xf numFmtId="0" fontId="0" fillId="0" borderId="5" xfId="0" applyBorder="1" applyProtection="1">
      <protection locked="0"/>
    </xf>
    <xf numFmtId="0" fontId="19" fillId="0" borderId="0" xfId="2" applyAlignment="1" applyProtection="1">
      <protection locked="0"/>
    </xf>
    <xf numFmtId="0" fontId="0" fillId="4" borderId="3" xfId="0" applyFill="1" applyBorder="1" applyProtection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0" xfId="0" applyFill="1" applyBorder="1"/>
    <xf numFmtId="0" fontId="0" fillId="5" borderId="10" xfId="0" applyFill="1" applyBorder="1"/>
    <xf numFmtId="0" fontId="19" fillId="5" borderId="0" xfId="2" applyFill="1" applyBorder="1" applyAlignment="1" applyProtection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0" borderId="14" xfId="0" applyBorder="1" applyProtection="1">
      <protection locked="0"/>
    </xf>
    <xf numFmtId="0" fontId="0" fillId="0" borderId="15" xfId="0" applyBorder="1" applyProtection="1">
      <protection locked="0"/>
    </xf>
    <xf numFmtId="169" fontId="0" fillId="5" borderId="9" xfId="0" applyNumberFormat="1" applyFill="1" applyBorder="1"/>
    <xf numFmtId="0" fontId="19" fillId="0" borderId="0" xfId="2" applyAlignment="1" applyProtection="1">
      <protection locked="0"/>
    </xf>
    <xf numFmtId="0" fontId="5" fillId="0" borderId="0" xfId="0" applyFont="1"/>
    <xf numFmtId="0" fontId="19" fillId="5" borderId="0" xfId="2" applyFill="1" applyBorder="1" applyAlignment="1" applyProtection="1"/>
    <xf numFmtId="0" fontId="7" fillId="5" borderId="0" xfId="0" applyFont="1" applyFill="1" applyBorder="1" applyAlignment="1">
      <alignment horizontal="center"/>
    </xf>
    <xf numFmtId="0" fontId="7" fillId="5" borderId="12" xfId="0" applyFont="1" applyFill="1" applyBorder="1" applyAlignment="1">
      <alignment horizontal="right"/>
    </xf>
    <xf numFmtId="165" fontId="7" fillId="5" borderId="12" xfId="0" applyNumberFormat="1" applyFont="1" applyFill="1" applyBorder="1"/>
    <xf numFmtId="0" fontId="0" fillId="4" borderId="3" xfId="0" applyFill="1" applyBorder="1" applyAlignment="1" applyProtection="1">
      <alignment horizontal="center"/>
    </xf>
    <xf numFmtId="0" fontId="5" fillId="3" borderId="1" xfId="0" applyFont="1" applyFill="1" applyBorder="1" applyAlignment="1" applyProtection="1">
      <alignment horizontal="center"/>
    </xf>
    <xf numFmtId="0" fontId="0" fillId="0" borderId="1" xfId="0" applyBorder="1" applyAlignment="1" applyProtection="1">
      <alignment horizontal="center"/>
    </xf>
    <xf numFmtId="0" fontId="5" fillId="0" borderId="1" xfId="0" applyFont="1" applyBorder="1" applyAlignment="1" applyProtection="1">
      <alignment horizontal="center"/>
    </xf>
    <xf numFmtId="0" fontId="0" fillId="0" borderId="0" xfId="0" applyAlignment="1" applyProtection="1">
      <alignment horizontal="center"/>
    </xf>
    <xf numFmtId="0" fontId="5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19" fillId="0" borderId="0" xfId="2" applyFill="1" applyBorder="1" applyAlignment="1" applyProtection="1"/>
    <xf numFmtId="0" fontId="19" fillId="0" borderId="12" xfId="2" applyFill="1" applyBorder="1" applyAlignment="1" applyProtection="1"/>
    <xf numFmtId="0" fontId="6" fillId="0" borderId="0" xfId="0" applyFont="1" applyProtection="1"/>
    <xf numFmtId="0" fontId="15" fillId="0" borderId="0" xfId="0" applyFont="1" applyAlignment="1" applyProtection="1">
      <alignment horizontal="centerContinuous"/>
    </xf>
    <xf numFmtId="0" fontId="6" fillId="0" borderId="0" xfId="0" applyFont="1" applyAlignment="1" applyProtection="1">
      <alignment horizontal="centerContinuous"/>
    </xf>
    <xf numFmtId="166" fontId="15" fillId="0" borderId="0" xfId="0" applyNumberFormat="1" applyFont="1" applyAlignment="1" applyProtection="1">
      <alignment horizontal="center"/>
    </xf>
    <xf numFmtId="0" fontId="6" fillId="0" borderId="0" xfId="0" applyFont="1" applyFill="1" applyProtection="1"/>
    <xf numFmtId="0" fontId="6" fillId="0" borderId="6" xfId="0" applyFont="1" applyBorder="1" applyProtection="1"/>
    <xf numFmtId="0" fontId="11" fillId="0" borderId="7" xfId="0" applyFont="1" applyBorder="1" applyProtection="1"/>
    <xf numFmtId="0" fontId="6" fillId="0" borderId="7" xfId="0" applyFont="1" applyBorder="1" applyProtection="1"/>
    <xf numFmtId="166" fontId="11" fillId="0" borderId="7" xfId="0" applyNumberFormat="1" applyFont="1" applyBorder="1" applyAlignment="1" applyProtection="1">
      <alignment horizontal="center"/>
    </xf>
    <xf numFmtId="0" fontId="6" fillId="0" borderId="8" xfId="0" applyFont="1" applyBorder="1" applyProtection="1"/>
    <xf numFmtId="0" fontId="6" fillId="0" borderId="9" xfId="0" applyFont="1" applyBorder="1" applyProtection="1"/>
    <xf numFmtId="0" fontId="6" fillId="0" borderId="0" xfId="0" applyFont="1" applyBorder="1" applyProtection="1"/>
    <xf numFmtId="165" fontId="6" fillId="0" borderId="0" xfId="0" applyNumberFormat="1" applyFont="1" applyBorder="1" applyProtection="1"/>
    <xf numFmtId="0" fontId="6" fillId="0" borderId="10" xfId="0" applyFont="1" applyBorder="1" applyProtection="1"/>
    <xf numFmtId="0" fontId="16" fillId="0" borderId="0" xfId="0" applyFont="1" applyBorder="1" applyProtection="1"/>
    <xf numFmtId="0" fontId="12" fillId="6" borderId="1" xfId="0" applyFont="1" applyFill="1" applyBorder="1" applyAlignment="1" applyProtection="1">
      <alignment horizontal="center" vertical="center"/>
    </xf>
    <xf numFmtId="0" fontId="12" fillId="0" borderId="0" xfId="0" applyFont="1" applyBorder="1" applyAlignment="1" applyProtection="1">
      <alignment horizontal="center" vertical="center"/>
    </xf>
    <xf numFmtId="0" fontId="6" fillId="0" borderId="1" xfId="0" applyFont="1" applyBorder="1" applyProtection="1"/>
    <xf numFmtId="43" fontId="6" fillId="0" borderId="1" xfId="1" applyFont="1" applyBorder="1" applyProtection="1"/>
    <xf numFmtId="43" fontId="6" fillId="0" borderId="1" xfId="0" applyNumberFormat="1" applyFont="1" applyBorder="1" applyProtection="1"/>
    <xf numFmtId="43" fontId="6" fillId="0" borderId="0" xfId="0" applyNumberFormat="1" applyFont="1" applyBorder="1" applyProtection="1"/>
    <xf numFmtId="9" fontId="6" fillId="0" borderId="0" xfId="3" applyFont="1" applyBorder="1" applyProtection="1"/>
    <xf numFmtId="0" fontId="6" fillId="7" borderId="1" xfId="0" applyFont="1" applyFill="1" applyBorder="1" applyProtection="1"/>
    <xf numFmtId="43" fontId="6" fillId="7" borderId="1" xfId="1" applyFont="1" applyFill="1" applyBorder="1" applyProtection="1"/>
    <xf numFmtId="43" fontId="6" fillId="7" borderId="1" xfId="0" applyNumberFormat="1" applyFont="1" applyFill="1" applyBorder="1" applyProtection="1"/>
    <xf numFmtId="0" fontId="12" fillId="6" borderId="1" xfId="0" applyFont="1" applyFill="1" applyBorder="1" applyProtection="1"/>
    <xf numFmtId="43" fontId="12" fillId="6" borderId="1" xfId="1" applyFont="1" applyFill="1" applyBorder="1" applyProtection="1"/>
    <xf numFmtId="43" fontId="12" fillId="0" borderId="0" xfId="1" applyFont="1" applyBorder="1" applyProtection="1"/>
    <xf numFmtId="0" fontId="19" fillId="0" borderId="0" xfId="2" applyAlignment="1" applyProtection="1"/>
    <xf numFmtId="0" fontId="6" fillId="0" borderId="11" xfId="0" applyFont="1" applyBorder="1" applyProtection="1"/>
    <xf numFmtId="0" fontId="6" fillId="0" borderId="12" xfId="0" applyFont="1" applyBorder="1" applyProtection="1"/>
    <xf numFmtId="165" fontId="6" fillId="0" borderId="12" xfId="0" applyNumberFormat="1" applyFont="1" applyBorder="1" applyProtection="1"/>
    <xf numFmtId="43" fontId="6" fillId="0" borderId="12" xfId="0" applyNumberFormat="1" applyFont="1" applyBorder="1" applyProtection="1"/>
    <xf numFmtId="0" fontId="6" fillId="0" borderId="13" xfId="0" applyFont="1" applyBorder="1" applyProtection="1"/>
    <xf numFmtId="165" fontId="6" fillId="0" borderId="0" xfId="0" applyNumberFormat="1" applyFont="1" applyProtection="1"/>
    <xf numFmtId="43" fontId="6" fillId="0" borderId="0" xfId="0" applyNumberFormat="1" applyFont="1" applyProtection="1"/>
    <xf numFmtId="165" fontId="6" fillId="0" borderId="7" xfId="0" applyNumberFormat="1" applyFont="1" applyBorder="1" applyProtection="1"/>
    <xf numFmtId="43" fontId="6" fillId="0" borderId="7" xfId="0" applyNumberFormat="1" applyFont="1" applyBorder="1" applyProtection="1"/>
    <xf numFmtId="0" fontId="12" fillId="4" borderId="1" xfId="0" applyFont="1" applyFill="1" applyBorder="1" applyProtection="1"/>
    <xf numFmtId="0" fontId="12" fillId="4" borderId="1" xfId="0" applyFont="1" applyFill="1" applyBorder="1" applyAlignment="1" applyProtection="1">
      <alignment horizontal="center"/>
    </xf>
    <xf numFmtId="165" fontId="12" fillId="4" borderId="1" xfId="0" applyNumberFormat="1" applyFont="1" applyFill="1" applyBorder="1" applyAlignment="1" applyProtection="1">
      <alignment horizontal="center"/>
    </xf>
    <xf numFmtId="0" fontId="6" fillId="5" borderId="1" xfId="0" applyFont="1" applyFill="1" applyBorder="1" applyProtection="1"/>
    <xf numFmtId="43" fontId="6" fillId="5" borderId="1" xfId="1" applyFont="1" applyFill="1" applyBorder="1" applyProtection="1"/>
    <xf numFmtId="43" fontId="6" fillId="5" borderId="1" xfId="0" applyNumberFormat="1" applyFont="1" applyFill="1" applyBorder="1" applyProtection="1"/>
    <xf numFmtId="43" fontId="12" fillId="4" borderId="1" xfId="1" applyFont="1" applyFill="1" applyBorder="1" applyProtection="1"/>
    <xf numFmtId="0" fontId="12" fillId="3" borderId="16" xfId="0" applyFont="1" applyFill="1" applyBorder="1" applyAlignment="1" applyProtection="1">
      <alignment horizontal="center"/>
    </xf>
    <xf numFmtId="0" fontId="12" fillId="3" borderId="17" xfId="0" applyFont="1" applyFill="1" applyBorder="1" applyAlignment="1" applyProtection="1">
      <alignment horizontal="center"/>
    </xf>
    <xf numFmtId="165" fontId="12" fillId="3" borderId="17" xfId="0" applyNumberFormat="1" applyFont="1" applyFill="1" applyBorder="1" applyAlignment="1" applyProtection="1">
      <alignment horizontal="center"/>
    </xf>
    <xf numFmtId="0" fontId="12" fillId="3" borderId="18" xfId="0" applyFont="1" applyFill="1" applyBorder="1" applyAlignment="1" applyProtection="1">
      <alignment horizontal="center"/>
    </xf>
    <xf numFmtId="0" fontId="3" fillId="0" borderId="9" xfId="0" applyFont="1" applyFill="1" applyBorder="1" applyProtection="1"/>
    <xf numFmtId="0" fontId="6" fillId="0" borderId="19" xfId="0" applyFont="1" applyBorder="1" applyProtection="1"/>
    <xf numFmtId="43" fontId="6" fillId="0" borderId="19" xfId="1" applyFont="1" applyBorder="1" applyProtection="1"/>
    <xf numFmtId="43" fontId="6" fillId="0" borderId="20" xfId="0" applyNumberFormat="1" applyFont="1" applyBorder="1" applyProtection="1"/>
    <xf numFmtId="0" fontId="3" fillId="0" borderId="9" xfId="0" applyFont="1" applyBorder="1" applyProtection="1"/>
    <xf numFmtId="0" fontId="6" fillId="0" borderId="21" xfId="0" applyFont="1" applyBorder="1" applyProtection="1"/>
    <xf numFmtId="43" fontId="6" fillId="0" borderId="21" xfId="1" applyFont="1" applyBorder="1" applyProtection="1"/>
    <xf numFmtId="43" fontId="12" fillId="8" borderId="17" xfId="1" applyFont="1" applyFill="1" applyBorder="1" applyProtection="1"/>
    <xf numFmtId="43" fontId="12" fillId="8" borderId="18" xfId="1" applyFont="1" applyFill="1" applyBorder="1" applyProtection="1"/>
    <xf numFmtId="0" fontId="3" fillId="0" borderId="6" xfId="0" applyFont="1" applyBorder="1" applyProtection="1"/>
    <xf numFmtId="0" fontId="6" fillId="0" borderId="22" xfId="0" applyFont="1" applyBorder="1" applyProtection="1"/>
    <xf numFmtId="43" fontId="6" fillId="0" borderId="22" xfId="1" applyFont="1" applyBorder="1" applyProtection="1"/>
    <xf numFmtId="43" fontId="12" fillId="9" borderId="17" xfId="1" applyFont="1" applyFill="1" applyBorder="1" applyProtection="1"/>
    <xf numFmtId="43" fontId="12" fillId="9" borderId="18" xfId="1" applyFont="1" applyFill="1" applyBorder="1" applyProtection="1"/>
    <xf numFmtId="0" fontId="12" fillId="6" borderId="1" xfId="0" applyFont="1" applyFill="1" applyBorder="1" applyAlignment="1" applyProtection="1">
      <alignment horizontal="center"/>
    </xf>
    <xf numFmtId="0" fontId="3" fillId="0" borderId="0" xfId="0" applyFont="1" applyFill="1" applyBorder="1" applyProtection="1"/>
    <xf numFmtId="0" fontId="6" fillId="0" borderId="1" xfId="0" applyNumberFormat="1" applyFont="1" applyBorder="1" applyProtection="1"/>
    <xf numFmtId="0" fontId="14" fillId="0" borderId="0" xfId="0" applyFont="1" applyFill="1" applyBorder="1" applyAlignment="1" applyProtection="1">
      <alignment vertical="top" wrapText="1"/>
    </xf>
    <xf numFmtId="0" fontId="12" fillId="9" borderId="1" xfId="0" applyFont="1" applyFill="1" applyBorder="1" applyProtection="1"/>
    <xf numFmtId="43" fontId="12" fillId="9" borderId="1" xfId="1" applyFont="1" applyFill="1" applyBorder="1" applyProtection="1"/>
    <xf numFmtId="0" fontId="6" fillId="0" borderId="0" xfId="0" applyFont="1" applyFill="1" applyBorder="1" applyProtection="1"/>
    <xf numFmtId="0" fontId="0" fillId="0" borderId="0" xfId="0" applyFill="1" applyBorder="1" applyProtection="1"/>
    <xf numFmtId="0" fontId="13" fillId="0" borderId="0" xfId="0" applyFont="1" applyFill="1" applyBorder="1" applyAlignment="1" applyProtection="1">
      <alignment vertical="top" wrapText="1"/>
    </xf>
    <xf numFmtId="0" fontId="12" fillId="0" borderId="0" xfId="0" applyFont="1" applyFill="1" applyBorder="1" applyAlignment="1" applyProtection="1">
      <alignment horizontal="center"/>
    </xf>
    <xf numFmtId="0" fontId="16" fillId="0" borderId="0" xfId="0" applyFont="1" applyBorder="1" applyProtection="1">
      <protection locked="0"/>
    </xf>
    <xf numFmtId="0" fontId="6" fillId="0" borderId="1" xfId="0" applyFont="1" applyBorder="1" applyProtection="1">
      <protection locked="0"/>
    </xf>
    <xf numFmtId="43" fontId="6" fillId="0" borderId="19" xfId="1" applyFont="1" applyBorder="1" applyProtection="1">
      <protection locked="0"/>
    </xf>
    <xf numFmtId="0" fontId="17" fillId="0" borderId="0" xfId="0" applyFont="1"/>
    <xf numFmtId="0" fontId="5" fillId="2" borderId="1" xfId="0" applyFont="1" applyFill="1" applyBorder="1" applyAlignment="1" applyProtection="1">
      <alignment horizontal="center" wrapText="1"/>
    </xf>
    <xf numFmtId="0" fontId="5" fillId="0" borderId="0" xfId="0" applyFont="1" applyProtection="1"/>
    <xf numFmtId="0" fontId="0" fillId="0" borderId="0" xfId="0" applyFill="1" applyProtection="1"/>
    <xf numFmtId="0" fontId="7" fillId="0" borderId="0" xfId="0" applyFont="1" applyProtection="1"/>
    <xf numFmtId="0" fontId="4" fillId="10" borderId="23" xfId="0" applyFont="1" applyFill="1" applyBorder="1" applyAlignment="1" applyProtection="1">
      <alignment horizontal="center"/>
    </xf>
    <xf numFmtId="0" fontId="4" fillId="10" borderId="24" xfId="0" applyFont="1" applyFill="1" applyBorder="1" applyAlignment="1" applyProtection="1">
      <alignment horizontal="center"/>
    </xf>
    <xf numFmtId="0" fontId="4" fillId="10" borderId="25" xfId="0" applyFont="1" applyFill="1" applyBorder="1" applyAlignment="1" applyProtection="1">
      <alignment horizontal="center"/>
    </xf>
    <xf numFmtId="0" fontId="4" fillId="10" borderId="26" xfId="0" applyFont="1" applyFill="1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2" borderId="28" xfId="0" applyFill="1" applyBorder="1" applyProtection="1"/>
    <xf numFmtId="0" fontId="0" fillId="0" borderId="29" xfId="0" applyBorder="1" applyAlignment="1" applyProtection="1">
      <alignment horizontal="center"/>
    </xf>
    <xf numFmtId="43" fontId="4" fillId="10" borderId="30" xfId="0" applyNumberFormat="1" applyFont="1" applyFill="1" applyBorder="1" applyProtection="1"/>
    <xf numFmtId="43" fontId="4" fillId="10" borderId="31" xfId="0" applyNumberFormat="1" applyFont="1" applyFill="1" applyBorder="1" applyProtection="1"/>
    <xf numFmtId="0" fontId="5" fillId="2" borderId="32" xfId="0" applyFont="1" applyFill="1" applyBorder="1" applyProtection="1"/>
    <xf numFmtId="43" fontId="0" fillId="0" borderId="0" xfId="0" applyNumberFormat="1" applyProtection="1"/>
    <xf numFmtId="0" fontId="0" fillId="2" borderId="33" xfId="0" applyFill="1" applyBorder="1" applyProtection="1"/>
    <xf numFmtId="0" fontId="4" fillId="2" borderId="24" xfId="0" applyFont="1" applyFill="1" applyBorder="1" applyAlignment="1" applyProtection="1">
      <alignment horizontal="center"/>
    </xf>
    <xf numFmtId="43" fontId="2" fillId="2" borderId="34" xfId="1" applyFont="1" applyFill="1" applyBorder="1" applyProtection="1"/>
    <xf numFmtId="43" fontId="2" fillId="2" borderId="35" xfId="1" applyFont="1" applyFill="1" applyBorder="1" applyProtection="1"/>
    <xf numFmtId="43" fontId="4" fillId="2" borderId="30" xfId="0" applyNumberFormat="1" applyFont="1" applyFill="1" applyBorder="1" applyProtection="1"/>
    <xf numFmtId="165" fontId="0" fillId="0" borderId="0" xfId="0" applyNumberFormat="1" applyProtection="1"/>
    <xf numFmtId="43" fontId="2" fillId="0" borderId="0" xfId="1" applyFont="1" applyProtection="1"/>
    <xf numFmtId="0" fontId="0" fillId="5" borderId="34" xfId="0" applyFill="1" applyBorder="1" applyProtection="1">
      <protection locked="0"/>
    </xf>
    <xf numFmtId="43" fontId="2" fillId="5" borderId="34" xfId="1" applyFont="1" applyFill="1" applyBorder="1" applyProtection="1">
      <protection locked="0"/>
    </xf>
    <xf numFmtId="43" fontId="2" fillId="5" borderId="36" xfId="1" applyFont="1" applyFill="1" applyBorder="1" applyProtection="1">
      <protection locked="0"/>
    </xf>
    <xf numFmtId="0" fontId="0" fillId="5" borderId="35" xfId="0" applyFill="1" applyBorder="1" applyProtection="1">
      <protection locked="0"/>
    </xf>
    <xf numFmtId="43" fontId="2" fillId="5" borderId="35" xfId="1" applyFont="1" applyFill="1" applyBorder="1" applyProtection="1">
      <protection locked="0"/>
    </xf>
    <xf numFmtId="43" fontId="2" fillId="5" borderId="37" xfId="1" applyFont="1" applyFill="1" applyBorder="1" applyProtection="1">
      <protection locked="0"/>
    </xf>
    <xf numFmtId="0" fontId="4" fillId="2" borderId="25" xfId="0" applyFont="1" applyFill="1" applyBorder="1" applyAlignment="1" applyProtection="1">
      <alignment horizontal="center"/>
    </xf>
    <xf numFmtId="43" fontId="2" fillId="2" borderId="36" xfId="1" applyFont="1" applyFill="1" applyBorder="1" applyProtection="1"/>
    <xf numFmtId="43" fontId="2" fillId="2" borderId="37" xfId="1" applyFont="1" applyFill="1" applyBorder="1" applyProtection="1"/>
    <xf numFmtId="43" fontId="4" fillId="2" borderId="31" xfId="0" applyNumberFormat="1" applyFont="1" applyFill="1" applyBorder="1" applyProtection="1"/>
    <xf numFmtId="165" fontId="5" fillId="0" borderId="0" xfId="0" applyNumberFormat="1" applyFont="1" applyAlignment="1" applyProtection="1">
      <alignment horizontal="left"/>
      <protection locked="0"/>
    </xf>
    <xf numFmtId="0" fontId="7" fillId="5" borderId="0" xfId="0" applyFont="1" applyFill="1" applyBorder="1" applyAlignment="1">
      <alignment horizontal="right"/>
    </xf>
    <xf numFmtId="165" fontId="7" fillId="5" borderId="0" xfId="0" applyNumberFormat="1" applyFont="1" applyFill="1" applyBorder="1" applyAlignment="1">
      <alignment horizontal="right"/>
    </xf>
    <xf numFmtId="0" fontId="6" fillId="0" borderId="9" xfId="0" applyFont="1" applyBorder="1" applyAlignment="1" applyProtection="1">
      <alignment horizontal="right"/>
    </xf>
    <xf numFmtId="0" fontId="5" fillId="2" borderId="1" xfId="0" applyFont="1" applyFill="1" applyBorder="1" applyAlignment="1" applyProtection="1">
      <alignment horizontal="center" wrapText="1"/>
      <protection locked="0"/>
    </xf>
    <xf numFmtId="166" fontId="4" fillId="11" borderId="1" xfId="0" applyNumberFormat="1" applyFont="1" applyFill="1" applyBorder="1" applyAlignment="1" applyProtection="1">
      <alignment horizontal="center"/>
      <protection locked="0"/>
    </xf>
    <xf numFmtId="0" fontId="4" fillId="10" borderId="38" xfId="0" applyFont="1" applyFill="1" applyBorder="1" applyAlignment="1" applyProtection="1">
      <alignment horizontal="center"/>
    </xf>
    <xf numFmtId="0" fontId="4" fillId="10" borderId="39" xfId="0" applyFont="1" applyFill="1" applyBorder="1" applyAlignment="1" applyProtection="1">
      <alignment horizontal="center"/>
    </xf>
    <xf numFmtId="0" fontId="4" fillId="10" borderId="40" xfId="0" applyFont="1" applyFill="1" applyBorder="1" applyAlignment="1" applyProtection="1">
      <alignment horizontal="center"/>
    </xf>
    <xf numFmtId="0" fontId="12" fillId="9" borderId="41" xfId="0" applyFont="1" applyFill="1" applyBorder="1" applyAlignment="1" applyProtection="1">
      <alignment horizontal="center"/>
    </xf>
    <xf numFmtId="0" fontId="12" fillId="9" borderId="42" xfId="0" applyFont="1" applyFill="1" applyBorder="1" applyAlignment="1" applyProtection="1">
      <alignment horizontal="center"/>
    </xf>
    <xf numFmtId="0" fontId="8" fillId="8" borderId="41" xfId="0" applyFont="1" applyFill="1" applyBorder="1" applyAlignment="1" applyProtection="1">
      <alignment horizontal="right"/>
    </xf>
    <xf numFmtId="0" fontId="8" fillId="8" borderId="42" xfId="0" applyFont="1" applyFill="1" applyBorder="1" applyAlignment="1" applyProtection="1">
      <alignment horizontal="right"/>
    </xf>
  </cellXfs>
  <cellStyles count="4">
    <cellStyle name="Comma" xfId="1" builtinId="3"/>
    <cellStyle name="Hyperlink" xfId="2" builtinId="8"/>
    <cellStyle name="Normal" xfId="0" builtinId="0"/>
    <cellStyle name="Percent" xfId="3" builtinId="5"/>
  </cellStyles>
  <dxfs count="5">
    <dxf>
      <font>
        <color theme="0"/>
      </font>
    </dxf>
    <dxf>
      <font>
        <color theme="0"/>
      </font>
    </dxf>
    <dxf>
      <font>
        <color rgb="FFFF0000"/>
      </font>
    </dxf>
    <dxf>
      <font>
        <condense val="0"/>
        <extend val="0"/>
        <color indexed="10"/>
      </font>
    </dxf>
    <dxf>
      <font>
        <b val="0"/>
        <i val="0"/>
        <color indexed="10"/>
        <name val="Cambria"/>
        <scheme val="none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b="1"/>
            </a:pPr>
            <a:r>
              <a:rPr lang="en-US" b="1"/>
              <a:t>Category Distribution - Projected</a:t>
            </a:r>
          </a:p>
        </c:rich>
      </c:tx>
      <c:layout>
        <c:manualLayout>
          <c:xMode val="edge"/>
          <c:yMode val="edge"/>
          <c:x val="0.23269149464425054"/>
          <c:y val="1.7407336278087191E-2"/>
        </c:manualLayout>
      </c:layout>
      <c:spPr>
        <a:noFill/>
        <a:ln w="25400">
          <a:noFill/>
        </a:ln>
      </c:spPr>
    </c:title>
    <c:view3D>
      <c:rotX val="40"/>
      <c:perspective val="30"/>
    </c:view3D>
    <c:plotArea>
      <c:layout>
        <c:manualLayout>
          <c:layoutTarget val="inner"/>
          <c:xMode val="edge"/>
          <c:yMode val="edge"/>
          <c:x val="0.19751725036920645"/>
          <c:y val="0.23674039966148536"/>
          <c:w val="0.50055741531922182"/>
          <c:h val="0.48392522871980093"/>
        </c:manualLayout>
      </c:layout>
      <c:pie3DChart>
        <c:varyColors val="1"/>
        <c:ser>
          <c:idx val="0"/>
          <c:order val="0"/>
          <c:tx>
            <c:strRef>
              <c:f>Calc!$D$62</c:f>
              <c:strCache>
                <c:ptCount val="1"/>
                <c:pt idx="0">
                  <c:v>Projected</c:v>
                </c:pt>
              </c:strCache>
            </c:strRef>
          </c:tx>
          <c:dPt>
            <c:idx val="0"/>
          </c:dPt>
          <c:dPt>
            <c:idx val="1"/>
          </c:dPt>
          <c:dPt>
            <c:idx val="2"/>
          </c:dPt>
          <c:dPt>
            <c:idx val="3"/>
          </c:dPt>
          <c:dPt>
            <c:idx val="4"/>
          </c:dPt>
          <c:dPt>
            <c:idx val="5"/>
          </c:dPt>
          <c:dPt>
            <c:idx val="6"/>
          </c:dPt>
          <c:dPt>
            <c:idx val="7"/>
          </c:dPt>
          <c:dPt>
            <c:idx val="8"/>
          </c:dPt>
          <c:dLbls>
            <c:dLbl>
              <c:idx val="0"/>
              <c:layout/>
              <c:dLblPos val="bestFit"/>
              <c:showLegendKey val="1"/>
              <c:showCatName val="1"/>
              <c:showPercent val="1"/>
            </c:dLbl>
            <c:dLbl>
              <c:idx val="8"/>
              <c:layout/>
              <c:dLblPos val="bestFit"/>
              <c:showLegendKey val="1"/>
              <c:showCatName val="1"/>
              <c:showPercent val="1"/>
            </c:dLbl>
            <c:dLbl>
              <c:idx val="11"/>
              <c:layout>
                <c:manualLayout>
                  <c:xMode val="edge"/>
                  <c:yMode val="edge"/>
                  <c:x val="0.7034860972053929"/>
                  <c:y val="9.3999864571472122E-2"/>
                </c:manualLayout>
              </c:layout>
              <c:dLblPos val="bestFit"/>
              <c:showLegendKey val="1"/>
              <c:showCatName val="1"/>
              <c:showPercent val="1"/>
            </c:dLbl>
            <c:numFmt formatCode="0%" sourceLinked="0"/>
            <c:spPr>
              <a:noFill/>
              <a:ln w="25400">
                <a:noFill/>
              </a:ln>
            </c:spPr>
            <c:showLegendKey val="1"/>
            <c:showCatName val="1"/>
            <c:showPercent val="1"/>
            <c:showLeaderLines val="1"/>
          </c:dLbls>
          <c:cat>
            <c:strRef>
              <c:f>[0]!Pielabel</c:f>
              <c:strCache>
                <c:ptCount val="15"/>
                <c:pt idx="0">
                  <c:v>Housing</c:v>
                </c:pt>
                <c:pt idx="1">
                  <c:v>Entertainment</c:v>
                </c:pt>
                <c:pt idx="2">
                  <c:v>Personal</c:v>
                </c:pt>
                <c:pt idx="3">
                  <c:v>Loans</c:v>
                </c:pt>
                <c:pt idx="4">
                  <c:v>Food</c:v>
                </c:pt>
                <c:pt idx="5">
                  <c:v>Transportation</c:v>
                </c:pt>
                <c:pt idx="6">
                  <c:v>Insurance</c:v>
                </c:pt>
                <c:pt idx="7">
                  <c:v>Savings/Investment</c:v>
                </c:pt>
                <c:pt idx="8">
                  <c:v>Childrens Edu</c:v>
                </c:pt>
                <c:pt idx="9">
                  <c:v>#NUM!</c:v>
                </c:pt>
                <c:pt idx="10">
                  <c:v>#NUM!</c:v>
                </c:pt>
                <c:pt idx="11">
                  <c:v>#NUM!</c:v>
                </c:pt>
                <c:pt idx="12">
                  <c:v>#NUM!</c:v>
                </c:pt>
                <c:pt idx="13">
                  <c:v>#NUM!</c:v>
                </c:pt>
                <c:pt idx="14">
                  <c:v>#NUM!</c:v>
                </c:pt>
              </c:strCache>
            </c:strRef>
          </c:cat>
          <c:val>
            <c:numRef>
              <c:f>[0]!Piedata</c:f>
              <c:numCache>
                <c:formatCode>General</c:formatCode>
                <c:ptCount val="9"/>
                <c:pt idx="0">
                  <c:v>7800</c:v>
                </c:pt>
                <c:pt idx="1">
                  <c:v>300</c:v>
                </c:pt>
                <c:pt idx="2">
                  <c:v>3900</c:v>
                </c:pt>
                <c:pt idx="3">
                  <c:v>6000</c:v>
                </c:pt>
                <c:pt idx="4">
                  <c:v>2000</c:v>
                </c:pt>
                <c:pt idx="5">
                  <c:v>1000</c:v>
                </c:pt>
                <c:pt idx="6">
                  <c:v>5000</c:v>
                </c:pt>
                <c:pt idx="7">
                  <c:v>8000</c:v>
                </c:pt>
                <c:pt idx="8">
                  <c:v>5000</c:v>
                </c:pt>
              </c:numCache>
            </c:numRef>
          </c:val>
        </c:ser>
        <c:dLbls>
          <c:showLegendKey val="1"/>
          <c:showCatName val="1"/>
          <c:showPercent val="1"/>
        </c:dLbls>
      </c:pie3DChart>
      <c:spPr>
        <a:noFill/>
        <a:ln w="25400">
          <a:noFill/>
        </a:ln>
      </c:spPr>
    </c:plotArea>
    <c:plotVisOnly val="1"/>
    <c:dispBlanksAs val="zero"/>
  </c:chart>
  <c:txPr>
    <a:bodyPr/>
    <a:lstStyle/>
    <a:p>
      <a:pPr>
        <a:defRPr sz="9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Expense by Mode and Status</a:t>
            </a:r>
          </a:p>
        </c:rich>
      </c:tx>
      <c:layout/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2775344136477984"/>
          <c:y val="0.16867469879518071"/>
          <c:w val="0.66519895331316392"/>
          <c:h val="0.58433734939759041"/>
        </c:manualLayout>
      </c:layout>
      <c:barChart>
        <c:barDir val="col"/>
        <c:grouping val="clustered"/>
        <c:ser>
          <c:idx val="0"/>
          <c:order val="0"/>
          <c:tx>
            <c:strRef>
              <c:f>Calc!$E$36</c:f>
              <c:strCache>
                <c:ptCount val="1"/>
                <c:pt idx="0">
                  <c:v>Done</c:v>
                </c:pt>
              </c:strCache>
            </c:strRef>
          </c:tx>
          <c:cat>
            <c:strRef>
              <c:f>(Calc!$C$39,Calc!$C$45,Calc!$C$51,Calc!$C$56)</c:f>
              <c:strCache>
                <c:ptCount val="4"/>
                <c:pt idx="0">
                  <c:v>Cash</c:v>
                </c:pt>
                <c:pt idx="1">
                  <c:v>Cheque</c:v>
                </c:pt>
                <c:pt idx="2">
                  <c:v>Direct Debit/ECS</c:v>
                </c:pt>
                <c:pt idx="3">
                  <c:v>GRAND TOTAL</c:v>
                </c:pt>
              </c:strCache>
            </c:strRef>
          </c:cat>
          <c:val>
            <c:numRef>
              <c:f>(Calc!$E$43,Calc!$E$48,Calc!$E$55,Calc!$E$56)</c:f>
              <c:numCache>
                <c:formatCode>_(* #,##0.00_);_(* \(#,##0.00\);_(* "-"??_);_(@_)</c:formatCode>
                <c:ptCount val="4"/>
                <c:pt idx="0">
                  <c:v>300</c:v>
                </c:pt>
                <c:pt idx="1">
                  <c:v>5500</c:v>
                </c:pt>
                <c:pt idx="2">
                  <c:v>7800</c:v>
                </c:pt>
                <c:pt idx="3">
                  <c:v>13600</c:v>
                </c:pt>
              </c:numCache>
            </c:numRef>
          </c:val>
        </c:ser>
        <c:ser>
          <c:idx val="1"/>
          <c:order val="1"/>
          <c:tx>
            <c:strRef>
              <c:f>Calc!$G$36</c:f>
              <c:strCache>
                <c:ptCount val="1"/>
                <c:pt idx="0">
                  <c:v>Pending</c:v>
                </c:pt>
              </c:strCache>
            </c:strRef>
          </c:tx>
          <c:cat>
            <c:strRef>
              <c:f>(Calc!$C$39,Calc!$C$45,Calc!$C$51,Calc!$C$56)</c:f>
              <c:strCache>
                <c:ptCount val="4"/>
                <c:pt idx="0">
                  <c:v>Cash</c:v>
                </c:pt>
                <c:pt idx="1">
                  <c:v>Cheque</c:v>
                </c:pt>
                <c:pt idx="2">
                  <c:v>Direct Debit/ECS</c:v>
                </c:pt>
                <c:pt idx="3">
                  <c:v>GRAND TOTAL</c:v>
                </c:pt>
              </c:strCache>
            </c:strRef>
          </c:cat>
          <c:val>
            <c:numRef>
              <c:f>(Calc!$G$43,Calc!$G$48,Calc!$G$55,Calc!$G$56)</c:f>
              <c:numCache>
                <c:formatCode>_(* #,##0.00_);_(* \(#,##0.00\);_(* "-"??_);_(@_)</c:formatCode>
                <c:ptCount val="4"/>
                <c:pt idx="0">
                  <c:v>6000</c:v>
                </c:pt>
                <c:pt idx="1">
                  <c:v>10000</c:v>
                </c:pt>
                <c:pt idx="2">
                  <c:v>6400</c:v>
                </c:pt>
                <c:pt idx="3">
                  <c:v>22400</c:v>
                </c:pt>
              </c:numCache>
            </c:numRef>
          </c:val>
        </c:ser>
        <c:ser>
          <c:idx val="2"/>
          <c:order val="2"/>
          <c:tx>
            <c:strRef>
              <c:f>Calc!$F$36</c:f>
              <c:strCache>
                <c:ptCount val="1"/>
                <c:pt idx="0">
                  <c:v>Partial-Done</c:v>
                </c:pt>
              </c:strCache>
            </c:strRef>
          </c:tx>
          <c:spPr>
            <a:solidFill>
              <a:srgbClr val="00FF00"/>
            </a:solidFill>
            <a:ln w="12700">
              <a:solidFill>
                <a:srgbClr val="000000"/>
              </a:solidFill>
              <a:prstDash val="solid"/>
            </a:ln>
          </c:spPr>
          <c:val>
            <c:numRef>
              <c:f>(Calc!$F$43,Calc!$F$48,Calc!$F$55,Calc!$F$56)</c:f>
              <c:numCache>
                <c:formatCode>_(* #,##0.00_);_(* \(#,##0.00\);_(*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800</c:v>
                </c:pt>
                <c:pt idx="3">
                  <c:v>800</c:v>
                </c:pt>
              </c:numCache>
            </c:numRef>
          </c:val>
        </c:ser>
        <c:axId val="75933952"/>
        <c:axId val="75939840"/>
      </c:barChart>
      <c:catAx>
        <c:axId val="75933952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5939840"/>
        <c:crosses val="autoZero"/>
        <c:auto val="1"/>
        <c:lblAlgn val="ctr"/>
        <c:lblOffset val="100"/>
      </c:catAx>
      <c:valAx>
        <c:axId val="75939840"/>
        <c:scaling>
          <c:orientation val="minMax"/>
        </c:scaling>
        <c:axPos val="l"/>
        <c:majorGridlines>
          <c:spPr>
            <a:ln w="3175">
              <a:solidFill>
                <a:srgbClr val="333333"/>
              </a:solidFill>
              <a:prstDash val="sysDash"/>
            </a:ln>
          </c:spPr>
        </c:majorGridlines>
        <c:numFmt formatCode="#,##0" sourceLinked="0"/>
        <c:tickLblPos val="nextTo"/>
        <c:spPr>
          <a:ln w="3175">
            <a:solidFill>
              <a:srgbClr val="FFFFFF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5933952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26872259672576898"/>
          <c:y val="0.9216866073558988"/>
          <c:w val="0.37665237888429409"/>
          <c:h val="6.0240992603197374E-2"/>
        </c:manualLayout>
      </c:layout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</c:chart>
  <c:txPr>
    <a:bodyPr/>
    <a:lstStyle/>
    <a:p>
      <a:pPr>
        <a:defRPr sz="8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" l="0.7" r="0.7" t="0.75" header="0.3" footer="0.3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b="1"/>
            </a:pPr>
            <a:r>
              <a:rPr lang="en-US" b="1"/>
              <a:t>Category Distribution-Actual</a:t>
            </a:r>
          </a:p>
        </c:rich>
      </c:tx>
      <c:layout>
        <c:manualLayout>
          <c:xMode val="edge"/>
          <c:yMode val="edge"/>
          <c:x val="0.25935828877005346"/>
          <c:y val="1.7543859649122806E-2"/>
        </c:manualLayout>
      </c:layout>
      <c:spPr>
        <a:noFill/>
        <a:ln w="25400">
          <a:noFill/>
        </a:ln>
      </c:spPr>
    </c:title>
    <c:view3D>
      <c:rotX val="40"/>
      <c:perspective val="30"/>
    </c:view3D>
    <c:plotArea>
      <c:layout>
        <c:manualLayout>
          <c:layoutTarget val="inner"/>
          <c:xMode val="edge"/>
          <c:yMode val="edge"/>
          <c:x val="0.19786096256684493"/>
          <c:y val="0.23859730879012059"/>
          <c:w val="0.49465240641711228"/>
          <c:h val="0.48772096943862886"/>
        </c:manualLayout>
      </c:layout>
      <c:pie3DChart>
        <c:varyColors val="1"/>
        <c:ser>
          <c:idx val="0"/>
          <c:order val="0"/>
          <c:tx>
            <c:strRef>
              <c:f>Calc!$E$62</c:f>
              <c:strCache>
                <c:ptCount val="1"/>
                <c:pt idx="0">
                  <c:v>Completed - Actual</c:v>
                </c:pt>
              </c:strCache>
            </c:strRef>
          </c:tx>
          <c:dPt>
            <c:idx val="0"/>
          </c:dPt>
          <c:dPt>
            <c:idx val="1"/>
          </c:dPt>
          <c:dPt>
            <c:idx val="2"/>
          </c:dPt>
          <c:dPt>
            <c:idx val="3"/>
          </c:dPt>
          <c:dPt>
            <c:idx val="4"/>
          </c:dPt>
          <c:dLbls>
            <c:dLbl>
              <c:idx val="0"/>
              <c:layout/>
              <c:dLblPos val="bestFit"/>
              <c:showLegendKey val="1"/>
              <c:showCatName val="1"/>
              <c:showPercent val="1"/>
            </c:dLbl>
            <c:dLbl>
              <c:idx val="8"/>
              <c:layout>
                <c:manualLayout>
                  <c:xMode val="edge"/>
                  <c:yMode val="edge"/>
                  <c:x val="0.4197860962566845"/>
                  <c:y val="8.0702030914305486E-2"/>
                </c:manualLayout>
              </c:layout>
              <c:dLblPos val="bestFit"/>
              <c:showLegendKey val="1"/>
              <c:showCatName val="1"/>
              <c:showPercent val="1"/>
            </c:dLbl>
            <c:dLbl>
              <c:idx val="11"/>
              <c:layout>
                <c:manualLayout>
                  <c:xMode val="edge"/>
                  <c:yMode val="edge"/>
                  <c:x val="0.69518716577540107"/>
                  <c:y val="9.4737166725489055E-2"/>
                </c:manualLayout>
              </c:layout>
              <c:dLblPos val="bestFit"/>
              <c:showLegendKey val="1"/>
              <c:showCatName val="1"/>
              <c:showPercent val="1"/>
            </c:dLbl>
            <c:numFmt formatCode="0%" sourceLinked="0"/>
            <c:spPr>
              <a:noFill/>
              <a:ln w="25400">
                <a:noFill/>
              </a:ln>
            </c:spPr>
            <c:showLegendKey val="1"/>
            <c:showCatName val="1"/>
            <c:showPercent val="1"/>
            <c:showLeaderLines val="1"/>
          </c:dLbls>
          <c:cat>
            <c:strRef>
              <c:f>[0]!Pielabel_act</c:f>
              <c:strCache>
                <c:ptCount val="15"/>
                <c:pt idx="0">
                  <c:v>Housing</c:v>
                </c:pt>
                <c:pt idx="1">
                  <c:v>Loans</c:v>
                </c:pt>
                <c:pt idx="2">
                  <c:v>Food</c:v>
                </c:pt>
                <c:pt idx="3">
                  <c:v>Transportation</c:v>
                </c:pt>
                <c:pt idx="4">
                  <c:v>Childrens Edu</c:v>
                </c:pt>
                <c:pt idx="5">
                  <c:v>#NUM!</c:v>
                </c:pt>
                <c:pt idx="6">
                  <c:v>#NUM!</c:v>
                </c:pt>
                <c:pt idx="7">
                  <c:v>#NUM!</c:v>
                </c:pt>
                <c:pt idx="8">
                  <c:v>#NUM!</c:v>
                </c:pt>
                <c:pt idx="9">
                  <c:v>#NUM!</c:v>
                </c:pt>
                <c:pt idx="10">
                  <c:v>#NUM!</c:v>
                </c:pt>
                <c:pt idx="11">
                  <c:v>#NUM!</c:v>
                </c:pt>
                <c:pt idx="12">
                  <c:v>#NUM!</c:v>
                </c:pt>
                <c:pt idx="13">
                  <c:v>#NUM!</c:v>
                </c:pt>
                <c:pt idx="14">
                  <c:v>#NUM!</c:v>
                </c:pt>
              </c:strCache>
            </c:strRef>
          </c:cat>
          <c:val>
            <c:numRef>
              <c:f>[0]!Piedata_act</c:f>
              <c:numCache>
                <c:formatCode>General</c:formatCode>
                <c:ptCount val="5"/>
                <c:pt idx="0">
                  <c:v>7600</c:v>
                </c:pt>
                <c:pt idx="1">
                  <c:v>1000</c:v>
                </c:pt>
                <c:pt idx="2">
                  <c:v>500</c:v>
                </c:pt>
                <c:pt idx="3">
                  <c:v>800</c:v>
                </c:pt>
                <c:pt idx="4">
                  <c:v>5000</c:v>
                </c:pt>
              </c:numCache>
            </c:numRef>
          </c:val>
        </c:ser>
        <c:dLbls>
          <c:showLegendKey val="1"/>
          <c:showCatName val="1"/>
          <c:showPercent val="1"/>
        </c:dLbls>
      </c:pie3DChart>
      <c:spPr>
        <a:noFill/>
        <a:ln w="25400">
          <a:noFill/>
        </a:ln>
      </c:spPr>
    </c:plotArea>
    <c:plotVisOnly val="1"/>
    <c:dispBlanksAs val="zero"/>
  </c:chart>
  <c:txPr>
    <a:bodyPr/>
    <a:lstStyle/>
    <a:p>
      <a:pPr>
        <a:defRPr sz="9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Expense by Mode and Status</a:t>
            </a:r>
          </a:p>
        </c:rich>
      </c:tx>
      <c:layout/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1788641285254076"/>
          <c:y val="0.16715542521994134"/>
          <c:w val="0.67683061172234604"/>
          <c:h val="0.58944281524926689"/>
        </c:manualLayout>
      </c:layout>
      <c:barChart>
        <c:barDir val="col"/>
        <c:grouping val="clustered"/>
        <c:ser>
          <c:idx val="0"/>
          <c:order val="0"/>
          <c:tx>
            <c:strRef>
              <c:f>Calc!$D$83</c:f>
              <c:strCache>
                <c:ptCount val="1"/>
                <c:pt idx="0">
                  <c:v>Projected</c:v>
                </c:pt>
              </c:strCache>
            </c:strRef>
          </c:tx>
          <c:cat>
            <c:strRef>
              <c:f>Calc!$C$84:$C$89</c:f>
              <c:strCache>
                <c:ptCount val="6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Month Total</c:v>
                </c:pt>
              </c:strCache>
            </c:strRef>
          </c:cat>
          <c:val>
            <c:numRef>
              <c:f>Calc!$D$84:$D$89</c:f>
              <c:numCache>
                <c:formatCode>_(* #,##0.00_);_(* \(#,##0.00\);_(* "-"??_);_(@_)</c:formatCode>
                <c:ptCount val="6"/>
                <c:pt idx="0">
                  <c:v>11800</c:v>
                </c:pt>
                <c:pt idx="1">
                  <c:v>5000</c:v>
                </c:pt>
                <c:pt idx="2">
                  <c:v>3800</c:v>
                </c:pt>
                <c:pt idx="3">
                  <c:v>13100</c:v>
                </c:pt>
                <c:pt idx="4">
                  <c:v>5300</c:v>
                </c:pt>
                <c:pt idx="5">
                  <c:v>39000</c:v>
                </c:pt>
              </c:numCache>
            </c:numRef>
          </c:val>
        </c:ser>
        <c:ser>
          <c:idx val="1"/>
          <c:order val="1"/>
          <c:tx>
            <c:strRef>
              <c:f>Calc!$E$83</c:f>
              <c:strCache>
                <c:ptCount val="1"/>
                <c:pt idx="0">
                  <c:v>Actual</c:v>
                </c:pt>
              </c:strCache>
            </c:strRef>
          </c:tx>
          <c:val>
            <c:numRef>
              <c:f>Calc!$E$84:$E$89</c:f>
              <c:numCache>
                <c:formatCode>_(* #,##0.00_);_(* \(#,##0.00\);_(* "-"??_);_(@_)</c:formatCode>
                <c:ptCount val="6"/>
                <c:pt idx="0">
                  <c:v>11800</c:v>
                </c:pt>
                <c:pt idx="1">
                  <c:v>0</c:v>
                </c:pt>
                <c:pt idx="2">
                  <c:v>1300</c:v>
                </c:pt>
                <c:pt idx="3">
                  <c:v>0</c:v>
                </c:pt>
                <c:pt idx="4">
                  <c:v>1800</c:v>
                </c:pt>
                <c:pt idx="5">
                  <c:v>14900</c:v>
                </c:pt>
              </c:numCache>
            </c:numRef>
          </c:val>
        </c:ser>
        <c:axId val="76393088"/>
        <c:axId val="76403072"/>
      </c:barChart>
      <c:catAx>
        <c:axId val="76393088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6403072"/>
        <c:crosses val="autoZero"/>
        <c:auto val="1"/>
        <c:lblAlgn val="ctr"/>
        <c:lblOffset val="100"/>
      </c:catAx>
      <c:valAx>
        <c:axId val="76403072"/>
        <c:scaling>
          <c:orientation val="minMax"/>
        </c:scaling>
        <c:axPos val="l"/>
        <c:majorGridlines>
          <c:spPr>
            <a:ln w="3175">
              <a:solidFill>
                <a:srgbClr val="333333"/>
              </a:solidFill>
              <a:prstDash val="sysDash"/>
            </a:ln>
          </c:spPr>
        </c:majorGridlines>
        <c:numFmt formatCode="#,##0" sourceLinked="0"/>
        <c:tickLblPos val="nextTo"/>
        <c:spPr>
          <a:ln w="3175">
            <a:solidFill>
              <a:srgbClr val="FFFFFF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6393088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34349657512323156"/>
          <c:y val="0.92375366568914952"/>
          <c:w val="0.22154514222307581"/>
          <c:h val="5.8651026392961825E-2"/>
        </c:manualLayout>
      </c:layout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</c:chart>
  <c:txPr>
    <a:bodyPr/>
    <a:lstStyle/>
    <a:p>
      <a:pPr>
        <a:defRPr sz="8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" l="0.7" r="0.7" t="0.75" header="0.3" footer="0.3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100"/>
              <a:t>Income vs Expense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Income</c:v>
          </c:tx>
          <c:cat>
            <c:strRef>
              <c:f>Calc!$C$6:$C$12</c:f>
              <c:strCache>
                <c:ptCount val="7"/>
                <c:pt idx="0">
                  <c:v>IA-HDFC-John</c:v>
                </c:pt>
                <c:pt idx="1">
                  <c:v>IA-CITI-Jenny</c:v>
                </c:pt>
                <c:pt idx="2">
                  <c:v>CC-CITI-John-Master</c:v>
                </c:pt>
                <c:pt idx="3">
                  <c:v>CC-CITI-Jenny</c:v>
                </c:pt>
                <c:pt idx="4">
                  <c:v>SB-ICICI-John</c:v>
                </c:pt>
                <c:pt idx="5">
                  <c:v>SB-SBI-Jenny</c:v>
                </c:pt>
                <c:pt idx="6">
                  <c:v>TOTAL</c:v>
                </c:pt>
              </c:strCache>
            </c:strRef>
          </c:cat>
          <c:val>
            <c:numRef>
              <c:f>Calc!$E$6:$E$12</c:f>
              <c:numCache>
                <c:formatCode>_(* #,##0.00_);_(* \(#,##0.00\);_(* "-"??_);_(@_)</c:formatCode>
                <c:ptCount val="7"/>
                <c:pt idx="0">
                  <c:v>30000</c:v>
                </c:pt>
                <c:pt idx="1">
                  <c:v>22000</c:v>
                </c:pt>
                <c:pt idx="6">
                  <c:v>52000</c:v>
                </c:pt>
              </c:numCache>
            </c:numRef>
          </c:val>
        </c:ser>
        <c:ser>
          <c:idx val="1"/>
          <c:order val="1"/>
          <c:tx>
            <c:v>Expense</c:v>
          </c:tx>
          <c:val>
            <c:numRef>
              <c:f>Calc!$G$26:$G$32</c:f>
              <c:numCache>
                <c:formatCode>_(* #,##0.00_);_(* \(#,##0.00\);_(* "-"??_);_(@_)</c:formatCode>
                <c:ptCount val="7"/>
                <c:pt idx="0">
                  <c:v>22900</c:v>
                </c:pt>
                <c:pt idx="1">
                  <c:v>10900</c:v>
                </c:pt>
                <c:pt idx="2">
                  <c:v>3000</c:v>
                </c:pt>
                <c:pt idx="3">
                  <c:v>500</c:v>
                </c:pt>
                <c:pt idx="4">
                  <c:v>0</c:v>
                </c:pt>
                <c:pt idx="5">
                  <c:v>0</c:v>
                </c:pt>
                <c:pt idx="6">
                  <c:v>37300</c:v>
                </c:pt>
              </c:numCache>
            </c:numRef>
          </c:val>
        </c:ser>
        <c:axId val="76479872"/>
        <c:axId val="76481664"/>
      </c:barChart>
      <c:catAx>
        <c:axId val="76479872"/>
        <c:scaling>
          <c:orientation val="minMax"/>
        </c:scaling>
        <c:axPos val="b"/>
        <c:numFmt formatCode="General" sourceLinked="1"/>
        <c:majorTickMark val="none"/>
        <c:tickLblPos val="nextTo"/>
        <c:crossAx val="76481664"/>
        <c:crosses val="autoZero"/>
        <c:auto val="1"/>
        <c:lblAlgn val="ctr"/>
        <c:lblOffset val="100"/>
      </c:catAx>
      <c:valAx>
        <c:axId val="76481664"/>
        <c:scaling>
          <c:orientation val="minMax"/>
        </c:scaling>
        <c:axPos val="l"/>
        <c:majorGridlines>
          <c:spPr>
            <a:ln>
              <a:prstDash val="sysDash"/>
            </a:ln>
          </c:spPr>
        </c:majorGridlines>
        <c:numFmt formatCode="_(* #,##0.00_);_(* \(#,##0.00\);_(* &quot;-&quot;??_);_(@_)" sourceLinked="1"/>
        <c:majorTickMark val="none"/>
        <c:tickLblPos val="nextTo"/>
        <c:spPr>
          <a:ln>
            <a:noFill/>
          </a:ln>
        </c:spPr>
        <c:crossAx val="76479872"/>
        <c:crosses val="autoZero"/>
        <c:crossBetween val="between"/>
      </c:valAx>
      <c:spPr>
        <a:noFill/>
        <a:ln>
          <a:noFill/>
        </a:ln>
      </c:spPr>
    </c:plotArea>
    <c:legend>
      <c:legendPos val="r"/>
      <c:layout/>
    </c:legend>
    <c:plotVisOnly val="1"/>
    <c:dispBlanksAs val="gap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Done</c:v>
          </c:tx>
          <c:cat>
            <c:strRef>
              <c:f>Calc!$C$26:$C$32</c:f>
              <c:strCache>
                <c:ptCount val="7"/>
                <c:pt idx="0">
                  <c:v>IA-HDFC-John</c:v>
                </c:pt>
                <c:pt idx="1">
                  <c:v>IA-CITI-Jenny</c:v>
                </c:pt>
                <c:pt idx="2">
                  <c:v>CC-CITI-John-Master</c:v>
                </c:pt>
                <c:pt idx="3">
                  <c:v>CC-CITI-Jenny</c:v>
                </c:pt>
                <c:pt idx="4">
                  <c:v>SB-ICICI-John</c:v>
                </c:pt>
                <c:pt idx="5">
                  <c:v>SB-SBI-Jenny</c:v>
                </c:pt>
                <c:pt idx="6">
                  <c:v>TOTAL</c:v>
                </c:pt>
              </c:strCache>
            </c:strRef>
          </c:cat>
          <c:val>
            <c:numRef>
              <c:f>Calc!$D$26:$D$32</c:f>
              <c:numCache>
                <c:formatCode>_(* #,##0.00_);_(* \(#,##0.00\);_(* "-"??_);_(@_)</c:formatCode>
                <c:ptCount val="7"/>
                <c:pt idx="0">
                  <c:v>6500</c:v>
                </c:pt>
                <c:pt idx="1">
                  <c:v>7100</c:v>
                </c:pt>
                <c:pt idx="2">
                  <c:v>0</c:v>
                </c:pt>
                <c:pt idx="3">
                  <c:v>500</c:v>
                </c:pt>
                <c:pt idx="4">
                  <c:v>0</c:v>
                </c:pt>
                <c:pt idx="5">
                  <c:v>0</c:v>
                </c:pt>
                <c:pt idx="6">
                  <c:v>14100</c:v>
                </c:pt>
              </c:numCache>
            </c:numRef>
          </c:val>
        </c:ser>
        <c:ser>
          <c:idx val="1"/>
          <c:order val="1"/>
          <c:tx>
            <c:strRef>
              <c:f>Calc!$E$25</c:f>
              <c:strCache>
                <c:ptCount val="1"/>
                <c:pt idx="0">
                  <c:v>Partial-Done</c:v>
                </c:pt>
              </c:strCache>
            </c:strRef>
          </c:tx>
          <c:cat>
            <c:strRef>
              <c:f>Calc!$C$26:$C$32</c:f>
              <c:strCache>
                <c:ptCount val="7"/>
                <c:pt idx="0">
                  <c:v>IA-HDFC-John</c:v>
                </c:pt>
                <c:pt idx="1">
                  <c:v>IA-CITI-Jenny</c:v>
                </c:pt>
                <c:pt idx="2">
                  <c:v>CC-CITI-John-Master</c:v>
                </c:pt>
                <c:pt idx="3">
                  <c:v>CC-CITI-Jenny</c:v>
                </c:pt>
                <c:pt idx="4">
                  <c:v>SB-ICICI-John</c:v>
                </c:pt>
                <c:pt idx="5">
                  <c:v>SB-SBI-Jenny</c:v>
                </c:pt>
                <c:pt idx="6">
                  <c:v>TOTAL</c:v>
                </c:pt>
              </c:strCache>
            </c:strRef>
          </c:cat>
          <c:val>
            <c:numRef>
              <c:f>Calc!$E$26:$E$32</c:f>
              <c:numCache>
                <c:formatCode>_(* #,##0.00_);_(* \(#,##0.00\);_(* "-"??_);_(@_)</c:formatCode>
                <c:ptCount val="7"/>
                <c:pt idx="0">
                  <c:v>0</c:v>
                </c:pt>
                <c:pt idx="1">
                  <c:v>800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800</c:v>
                </c:pt>
              </c:numCache>
            </c:numRef>
          </c:val>
        </c:ser>
        <c:ser>
          <c:idx val="2"/>
          <c:order val="2"/>
          <c:tx>
            <c:strRef>
              <c:f>Calc!$F$25</c:f>
              <c:strCache>
                <c:ptCount val="1"/>
                <c:pt idx="0">
                  <c:v>Pending</c:v>
                </c:pt>
              </c:strCache>
            </c:strRef>
          </c:tx>
          <c:cat>
            <c:strRef>
              <c:f>Calc!$C$26:$C$32</c:f>
              <c:strCache>
                <c:ptCount val="7"/>
                <c:pt idx="0">
                  <c:v>IA-HDFC-John</c:v>
                </c:pt>
                <c:pt idx="1">
                  <c:v>IA-CITI-Jenny</c:v>
                </c:pt>
                <c:pt idx="2">
                  <c:v>CC-CITI-John-Master</c:v>
                </c:pt>
                <c:pt idx="3">
                  <c:v>CC-CITI-Jenny</c:v>
                </c:pt>
                <c:pt idx="4">
                  <c:v>SB-ICICI-John</c:v>
                </c:pt>
                <c:pt idx="5">
                  <c:v>SB-SBI-Jenny</c:v>
                </c:pt>
                <c:pt idx="6">
                  <c:v>TOTAL</c:v>
                </c:pt>
              </c:strCache>
            </c:strRef>
          </c:cat>
          <c:val>
            <c:numRef>
              <c:f>Calc!$F$26:$F$32</c:f>
              <c:numCache>
                <c:formatCode>_(* #,##0.00_);_(* \(#,##0.00\);_(* "-"??_);_(@_)</c:formatCode>
                <c:ptCount val="7"/>
                <c:pt idx="0">
                  <c:v>16400</c:v>
                </c:pt>
                <c:pt idx="1">
                  <c:v>3000</c:v>
                </c:pt>
                <c:pt idx="2">
                  <c:v>3000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22400</c:v>
                </c:pt>
              </c:numCache>
            </c:numRef>
          </c:val>
        </c:ser>
        <c:axId val="81608064"/>
        <c:axId val="81618816"/>
      </c:barChart>
      <c:catAx>
        <c:axId val="81608064"/>
        <c:scaling>
          <c:orientation val="minMax"/>
        </c:scaling>
        <c:axPos val="b"/>
        <c:tickLblPos val="nextTo"/>
        <c:crossAx val="81618816"/>
        <c:crosses val="autoZero"/>
        <c:auto val="1"/>
        <c:lblAlgn val="ctr"/>
        <c:lblOffset val="100"/>
      </c:catAx>
      <c:valAx>
        <c:axId val="81618816"/>
        <c:scaling>
          <c:orientation val="minMax"/>
        </c:scaling>
        <c:axPos val="l"/>
        <c:majorGridlines>
          <c:spPr>
            <a:ln>
              <a:prstDash val="sysDash"/>
            </a:ln>
          </c:spPr>
        </c:majorGridlines>
        <c:numFmt formatCode="_(* #,##0.00_);_(* \(#,##0.00\);_(* &quot;-&quot;??_);_(@_)" sourceLinked="1"/>
        <c:tickLblPos val="nextTo"/>
        <c:spPr>
          <a:ln>
            <a:noFill/>
          </a:ln>
        </c:spPr>
        <c:crossAx val="8160806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.xml"/><Relationship Id="rId3" Type="http://schemas.openxmlformats.org/officeDocument/2006/relationships/image" Target="../media/image2.emf"/><Relationship Id="rId7" Type="http://schemas.openxmlformats.org/officeDocument/2006/relationships/chart" Target="../charts/chart4.xml"/><Relationship Id="rId2" Type="http://schemas.openxmlformats.org/officeDocument/2006/relationships/image" Target="../media/image1.emf"/><Relationship Id="rId1" Type="http://schemas.openxmlformats.org/officeDocument/2006/relationships/chart" Target="../charts/chart1.xml"/><Relationship Id="rId6" Type="http://schemas.openxmlformats.org/officeDocument/2006/relationships/chart" Target="../charts/chart3.xml"/><Relationship Id="rId5" Type="http://schemas.openxmlformats.org/officeDocument/2006/relationships/chart" Target="../charts/chart2.xml"/><Relationship Id="rId4" Type="http://schemas.openxmlformats.org/officeDocument/2006/relationships/image" Target="../media/image3.emf"/><Relationship Id="rId9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400050</xdr:colOff>
      <xdr:row>61</xdr:row>
      <xdr:rowOff>47625</xdr:rowOff>
    </xdr:from>
    <xdr:to>
      <xdr:col>9</xdr:col>
      <xdr:colOff>723900</xdr:colOff>
      <xdr:row>75</xdr:row>
      <xdr:rowOff>114300</xdr:rowOff>
    </xdr:to>
    <xdr:graphicFrame macro="">
      <xdr:nvGraphicFramePr>
        <xdr:cNvPr id="1487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723900</xdr:colOff>
      <xdr:row>38</xdr:row>
      <xdr:rowOff>38100</xdr:rowOff>
    </xdr:from>
    <xdr:to>
      <xdr:col>2</xdr:col>
      <xdr:colOff>1228725</xdr:colOff>
      <xdr:row>39</xdr:row>
      <xdr:rowOff>161925</xdr:rowOff>
    </xdr:to>
    <xdr:pic>
      <xdr:nvPicPr>
        <xdr:cNvPr id="1488" name="Picture 3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43100" y="7505700"/>
          <a:ext cx="5048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742950</xdr:colOff>
      <xdr:row>44</xdr:row>
      <xdr:rowOff>57150</xdr:rowOff>
    </xdr:from>
    <xdr:to>
      <xdr:col>2</xdr:col>
      <xdr:colOff>1333500</xdr:colOff>
      <xdr:row>46</xdr:row>
      <xdr:rowOff>47625</xdr:rowOff>
    </xdr:to>
    <xdr:pic>
      <xdr:nvPicPr>
        <xdr:cNvPr id="1489" name="Picture 34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962150" y="8686800"/>
          <a:ext cx="5905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914400</xdr:colOff>
      <xdr:row>51</xdr:row>
      <xdr:rowOff>180975</xdr:rowOff>
    </xdr:from>
    <xdr:to>
      <xdr:col>2</xdr:col>
      <xdr:colOff>1409700</xdr:colOff>
      <xdr:row>53</xdr:row>
      <xdr:rowOff>190500</xdr:rowOff>
    </xdr:to>
    <xdr:pic>
      <xdr:nvPicPr>
        <xdr:cNvPr id="1490" name="Picture 34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133600" y="10163175"/>
          <a:ext cx="4953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27454</xdr:colOff>
      <xdr:row>37</xdr:row>
      <xdr:rowOff>109818</xdr:rowOff>
    </xdr:from>
    <xdr:to>
      <xdr:col>14</xdr:col>
      <xdr:colOff>291353</xdr:colOff>
      <xdr:row>52</xdr:row>
      <xdr:rowOff>151279</xdr:rowOff>
    </xdr:to>
    <xdr:graphicFrame macro="">
      <xdr:nvGraphicFramePr>
        <xdr:cNvPr id="1491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209550</xdr:colOff>
      <xdr:row>61</xdr:row>
      <xdr:rowOff>47625</xdr:rowOff>
    </xdr:from>
    <xdr:to>
      <xdr:col>14</xdr:col>
      <xdr:colOff>257175</xdr:colOff>
      <xdr:row>75</xdr:row>
      <xdr:rowOff>95250</xdr:rowOff>
    </xdr:to>
    <xdr:graphicFrame macro="">
      <xdr:nvGraphicFramePr>
        <xdr:cNvPr id="1492" name="Chart 4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9525</xdr:colOff>
      <xdr:row>80</xdr:row>
      <xdr:rowOff>152400</xdr:rowOff>
    </xdr:from>
    <xdr:to>
      <xdr:col>14</xdr:col>
      <xdr:colOff>400050</xdr:colOff>
      <xdr:row>97</xdr:row>
      <xdr:rowOff>152400</xdr:rowOff>
    </xdr:to>
    <xdr:graphicFrame macro="">
      <xdr:nvGraphicFramePr>
        <xdr:cNvPr id="1493" name="Chart 4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13447</xdr:colOff>
      <xdr:row>2</xdr:row>
      <xdr:rowOff>64433</xdr:rowOff>
    </xdr:from>
    <xdr:to>
      <xdr:col>13</xdr:col>
      <xdr:colOff>1043268</xdr:colOff>
      <xdr:row>15</xdr:row>
      <xdr:rowOff>142874</xdr:rowOff>
    </xdr:to>
    <xdr:graphicFrame macro="">
      <xdr:nvGraphicFramePr>
        <xdr:cNvPr id="1495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22413</xdr:colOff>
      <xdr:row>22</xdr:row>
      <xdr:rowOff>78441</xdr:rowOff>
    </xdr:from>
    <xdr:to>
      <xdr:col>14</xdr:col>
      <xdr:colOff>291354</xdr:colOff>
      <xdr:row>36</xdr:row>
      <xdr:rowOff>112059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showGridLines="0" tabSelected="1" topLeftCell="A3" zoomScale="95" workbookViewId="0">
      <selection activeCell="S12" sqref="S12"/>
    </sheetView>
  </sheetViews>
  <sheetFormatPr defaultRowHeight="15"/>
  <cols>
    <col min="3" max="3" width="31.85546875" customWidth="1"/>
    <col min="4" max="4" width="10.7109375" customWidth="1"/>
    <col min="5" max="5" width="50.5703125" customWidth="1"/>
    <col min="6" max="6" width="3.28515625" customWidth="1"/>
    <col min="7" max="14" width="2.5703125" customWidth="1"/>
  </cols>
  <sheetData>
    <row r="1" spans="1:14" ht="21">
      <c r="A1" s="138" t="s">
        <v>161</v>
      </c>
    </row>
    <row r="3" spans="1:14">
      <c r="B3" s="48" t="s">
        <v>104</v>
      </c>
    </row>
    <row r="4" spans="1:14">
      <c r="B4" s="3">
        <v>1</v>
      </c>
      <c r="C4" t="s">
        <v>153</v>
      </c>
    </row>
    <row r="5" spans="1:14">
      <c r="B5" s="3">
        <v>2</v>
      </c>
      <c r="C5" s="48" t="s">
        <v>154</v>
      </c>
    </row>
    <row r="6" spans="1:14">
      <c r="B6" s="3">
        <v>3</v>
      </c>
      <c r="C6" s="4" t="s">
        <v>157</v>
      </c>
    </row>
    <row r="7" spans="1:14">
      <c r="B7" s="3">
        <v>4</v>
      </c>
      <c r="C7" t="s">
        <v>155</v>
      </c>
    </row>
    <row r="8" spans="1:14">
      <c r="B8" s="3">
        <v>5</v>
      </c>
      <c r="C8" t="s">
        <v>156</v>
      </c>
    </row>
    <row r="9" spans="1:14">
      <c r="B9" s="3">
        <v>6</v>
      </c>
      <c r="C9" t="s">
        <v>160</v>
      </c>
    </row>
    <row r="10" spans="1:14">
      <c r="B10" s="3">
        <v>7</v>
      </c>
      <c r="C10" t="s">
        <v>158</v>
      </c>
    </row>
    <row r="11" spans="1:14">
      <c r="B11" s="3">
        <v>8</v>
      </c>
      <c r="C11" t="s">
        <v>178</v>
      </c>
    </row>
    <row r="12" spans="1:14" ht="15.75" thickBot="1"/>
    <row r="13" spans="1:14">
      <c r="B13" s="34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6"/>
    </row>
    <row r="14" spans="1:14">
      <c r="B14" s="37"/>
      <c r="C14" s="50" t="s">
        <v>54</v>
      </c>
      <c r="D14" s="176">
        <v>40360</v>
      </c>
      <c r="E14" s="38"/>
      <c r="F14" s="38"/>
      <c r="G14" s="38"/>
      <c r="H14" s="38"/>
      <c r="I14" s="38"/>
      <c r="J14" s="38"/>
      <c r="K14" s="38"/>
      <c r="L14" s="38"/>
      <c r="M14" s="38"/>
      <c r="N14" s="39"/>
    </row>
    <row r="15" spans="1:14">
      <c r="B15" s="37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9"/>
    </row>
    <row r="16" spans="1:14">
      <c r="B16" s="46">
        <v>1</v>
      </c>
      <c r="C16" s="40" t="s">
        <v>120</v>
      </c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9"/>
    </row>
    <row r="17" spans="2:14">
      <c r="B17" s="46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9"/>
    </row>
    <row r="18" spans="2:14">
      <c r="B18" s="46">
        <v>2</v>
      </c>
      <c r="C18" s="40" t="s">
        <v>121</v>
      </c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9"/>
    </row>
    <row r="19" spans="2:14">
      <c r="B19" s="46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9"/>
    </row>
    <row r="20" spans="2:14">
      <c r="B20" s="46">
        <v>3</v>
      </c>
      <c r="C20" s="40" t="s">
        <v>123</v>
      </c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9"/>
    </row>
    <row r="21" spans="2:14">
      <c r="B21" s="37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9"/>
    </row>
    <row r="22" spans="2:14">
      <c r="B22" s="37"/>
      <c r="C22" s="38"/>
      <c r="D22" s="38">
        <v>3.1</v>
      </c>
      <c r="E22" s="49" t="s">
        <v>135</v>
      </c>
      <c r="F22" s="38"/>
      <c r="G22" s="38"/>
      <c r="H22" s="38"/>
      <c r="I22" s="38"/>
      <c r="J22" s="38"/>
      <c r="K22" s="38"/>
      <c r="L22" s="38"/>
      <c r="M22" s="38"/>
      <c r="N22" s="39"/>
    </row>
    <row r="23" spans="2:14">
      <c r="B23" s="37"/>
      <c r="C23" s="38"/>
      <c r="D23" s="38">
        <v>3.1</v>
      </c>
      <c r="E23" s="49" t="s">
        <v>136</v>
      </c>
      <c r="F23" s="38"/>
      <c r="G23" s="38"/>
      <c r="H23" s="38"/>
      <c r="I23" s="38"/>
      <c r="J23" s="38"/>
      <c r="K23" s="38"/>
      <c r="L23" s="38"/>
      <c r="M23" s="38"/>
      <c r="N23" s="39"/>
    </row>
    <row r="24" spans="2:14">
      <c r="B24" s="37"/>
      <c r="C24" s="38"/>
      <c r="D24" s="38">
        <v>3.2</v>
      </c>
      <c r="E24" s="49" t="s">
        <v>137</v>
      </c>
      <c r="F24" s="38"/>
      <c r="G24" s="38"/>
      <c r="H24" s="38"/>
      <c r="I24" s="38"/>
      <c r="J24" s="38"/>
      <c r="K24" s="38"/>
      <c r="L24" s="38"/>
      <c r="M24" s="38"/>
      <c r="N24" s="39"/>
    </row>
    <row r="25" spans="2:14">
      <c r="B25" s="37"/>
      <c r="C25" s="38"/>
      <c r="D25" s="38">
        <v>3.3</v>
      </c>
      <c r="E25" s="49" t="s">
        <v>138</v>
      </c>
      <c r="F25" s="38"/>
      <c r="G25" s="38"/>
      <c r="H25" s="38"/>
      <c r="I25" s="38"/>
      <c r="J25" s="38"/>
      <c r="K25" s="38"/>
      <c r="L25" s="38"/>
      <c r="M25" s="38"/>
      <c r="N25" s="39"/>
    </row>
    <row r="26" spans="2:14">
      <c r="B26" s="37"/>
      <c r="C26" s="38"/>
      <c r="D26" s="38">
        <v>3.4</v>
      </c>
      <c r="E26" s="49" t="s">
        <v>139</v>
      </c>
      <c r="F26" s="38"/>
      <c r="G26" s="38"/>
      <c r="H26" s="38"/>
      <c r="I26" s="38"/>
      <c r="J26" s="38"/>
      <c r="K26" s="38"/>
      <c r="L26" s="38"/>
      <c r="M26" s="38"/>
      <c r="N26" s="39"/>
    </row>
    <row r="27" spans="2:14">
      <c r="B27" s="37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9"/>
    </row>
    <row r="28" spans="2:14">
      <c r="B28" s="37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9"/>
    </row>
    <row r="29" spans="2:14">
      <c r="B29" s="37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9"/>
    </row>
    <row r="30" spans="2:14">
      <c r="B30" s="37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9"/>
    </row>
    <row r="31" spans="2:14">
      <c r="B31" s="37"/>
      <c r="C31" s="172" t="s">
        <v>175</v>
      </c>
      <c r="D31" s="173">
        <f ca="1">TODAY()</f>
        <v>40361</v>
      </c>
      <c r="E31" s="38"/>
      <c r="F31" s="38"/>
      <c r="G31" s="38"/>
      <c r="H31" s="38"/>
      <c r="I31" s="38"/>
      <c r="J31" s="38"/>
      <c r="K31" s="38"/>
      <c r="L31" s="38"/>
      <c r="M31" s="38"/>
      <c r="N31" s="39"/>
    </row>
    <row r="32" spans="2:14" ht="15.75" thickBot="1">
      <c r="B32" s="41"/>
      <c r="C32" s="51" t="s">
        <v>143</v>
      </c>
      <c r="D32" s="52">
        <v>40349</v>
      </c>
      <c r="E32" s="42"/>
      <c r="F32" s="42"/>
      <c r="G32" s="42"/>
      <c r="H32" s="42"/>
      <c r="I32" s="42"/>
      <c r="J32" s="42"/>
      <c r="K32" s="42"/>
      <c r="L32" s="42"/>
      <c r="M32" s="42"/>
      <c r="N32" s="43"/>
    </row>
  </sheetData>
  <sheetProtection password="953E" sheet="1" objects="1" scenarios="1"/>
  <phoneticPr fontId="10" type="noConversion"/>
  <dataValidations count="1">
    <dataValidation type="list" allowBlank="1" showInputMessage="1" showErrorMessage="1" sqref="D14">
      <formula1>Month</formula1>
    </dataValidation>
  </dataValidations>
  <hyperlinks>
    <hyperlink ref="C16" location="Entry!C5" tooltip="Enter Bank and Credit card details" display="Enter Bank and Credit card details"/>
    <hyperlink ref="C18" location="Expense!B4" tooltip="Enter Expenses for the Month" display="Enter Expenses for the Month"/>
    <hyperlink ref="C20" location="Calc!A1" tooltip="Calculation and Analysis Sheet" display="Calculation and Analysis Sheet"/>
    <hyperlink ref="E22" location="Calc!C4" display="Summary by account"/>
    <hyperlink ref="E23" location="Calc!C24" display="Summary of account by Payment status"/>
    <hyperlink ref="E24" location="Calc!C35" display="Break up by payment mode, account type and status"/>
    <hyperlink ref="E25" location="Calc!C61" display="Expense distibution by head"/>
    <hyperlink ref="E26" location="Calc!C81" display="Projected vs Actual by wee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I33"/>
  <sheetViews>
    <sheetView showGridLines="0" workbookViewId="0"/>
  </sheetViews>
  <sheetFormatPr defaultRowHeight="15"/>
  <cols>
    <col min="1" max="1" width="9.140625" style="22"/>
    <col min="2" max="2" width="6.42578125" style="22" customWidth="1"/>
    <col min="3" max="3" width="21.5703125" style="22" customWidth="1"/>
    <col min="4" max="4" width="12.7109375" style="22" customWidth="1"/>
    <col min="5" max="5" width="15.28515625" style="22" bestFit="1" customWidth="1"/>
    <col min="6" max="6" width="15.28515625" style="22" customWidth="1"/>
    <col min="7" max="7" width="23.42578125" style="22" customWidth="1"/>
    <col min="8" max="8" width="9.140625" style="22"/>
    <col min="9" max="9" width="28.5703125" style="22" customWidth="1"/>
    <col min="10" max="16384" width="9.140625" style="22"/>
  </cols>
  <sheetData>
    <row r="1" spans="2:9">
      <c r="B1" s="140" t="s">
        <v>144</v>
      </c>
    </row>
    <row r="2" spans="2:9">
      <c r="B2" s="141"/>
    </row>
    <row r="3" spans="2:9" ht="15.75" thickBot="1">
      <c r="B3" s="142" t="s">
        <v>93</v>
      </c>
    </row>
    <row r="4" spans="2:9">
      <c r="B4" s="143" t="s">
        <v>108</v>
      </c>
      <c r="C4" s="144" t="s">
        <v>91</v>
      </c>
      <c r="D4" s="144" t="s">
        <v>119</v>
      </c>
      <c r="E4" s="144" t="s">
        <v>92</v>
      </c>
      <c r="F4" s="145" t="s">
        <v>96</v>
      </c>
      <c r="G4" s="146" t="s">
        <v>150</v>
      </c>
      <c r="I4" s="90" t="s">
        <v>124</v>
      </c>
    </row>
    <row r="5" spans="2:9">
      <c r="B5" s="147">
        <v>1</v>
      </c>
      <c r="C5" s="161" t="s">
        <v>166</v>
      </c>
      <c r="D5" s="161" t="s">
        <v>127</v>
      </c>
      <c r="E5" s="162">
        <v>30000</v>
      </c>
      <c r="F5" s="163">
        <v>2000</v>
      </c>
      <c r="G5" s="148" t="str">
        <f>IF(C5&lt;&gt;"","IA"&amp;"-"&amp;D5&amp;"-"&amp;C5,"")</f>
        <v>IA-HDFC-John</v>
      </c>
      <c r="I5" s="90" t="s">
        <v>123</v>
      </c>
    </row>
    <row r="6" spans="2:9">
      <c r="B6" s="149">
        <v>2</v>
      </c>
      <c r="C6" s="164" t="s">
        <v>167</v>
      </c>
      <c r="D6" s="164" t="s">
        <v>128</v>
      </c>
      <c r="E6" s="165">
        <v>22000</v>
      </c>
      <c r="F6" s="166">
        <v>1000</v>
      </c>
      <c r="G6" s="148" t="str">
        <f>IF(C6&lt;&gt;"","IA"&amp;"-"&amp;D6&amp;"-"&amp;C6,"")</f>
        <v>IA-CITI-Jenny</v>
      </c>
      <c r="I6" s="60" t="s">
        <v>121</v>
      </c>
    </row>
    <row r="7" spans="2:9" ht="15.75" thickBot="1">
      <c r="B7" s="177" t="s">
        <v>75</v>
      </c>
      <c r="C7" s="178"/>
      <c r="D7" s="179"/>
      <c r="E7" s="150">
        <f>SUM(E5:E6)</f>
        <v>52000</v>
      </c>
      <c r="F7" s="151">
        <f>SUM(F5:F6)</f>
        <v>3000</v>
      </c>
      <c r="G7" s="152"/>
    </row>
    <row r="8" spans="2:9">
      <c r="E8" s="153"/>
      <c r="F8" s="153"/>
    </row>
    <row r="9" spans="2:9" ht="15.75" thickBot="1">
      <c r="B9" s="142" t="s">
        <v>122</v>
      </c>
    </row>
    <row r="10" spans="2:9">
      <c r="B10" s="143"/>
      <c r="C10" s="144" t="s">
        <v>91</v>
      </c>
      <c r="D10" s="144" t="s">
        <v>119</v>
      </c>
      <c r="E10" s="144" t="s">
        <v>94</v>
      </c>
      <c r="F10" s="167"/>
      <c r="G10" s="146" t="s">
        <v>151</v>
      </c>
    </row>
    <row r="11" spans="2:9">
      <c r="B11" s="147">
        <v>1</v>
      </c>
      <c r="C11" s="161" t="s">
        <v>168</v>
      </c>
      <c r="D11" s="161" t="s">
        <v>128</v>
      </c>
      <c r="E11" s="162">
        <v>100000</v>
      </c>
      <c r="F11" s="168"/>
      <c r="G11" s="148" t="str">
        <f>IF(C11&lt;&gt;"","CC-"&amp;D11&amp;"-"&amp;C11,"")</f>
        <v>CC-CITI-John-Master</v>
      </c>
    </row>
    <row r="12" spans="2:9">
      <c r="B12" s="149">
        <v>2</v>
      </c>
      <c r="C12" s="164" t="s">
        <v>167</v>
      </c>
      <c r="D12" s="164" t="s">
        <v>128</v>
      </c>
      <c r="E12" s="165">
        <v>50000</v>
      </c>
      <c r="F12" s="169"/>
      <c r="G12" s="154" t="str">
        <f>IF(C12&lt;&gt;"","CC-"&amp;D12&amp;"-"&amp;C12,"")</f>
        <v>CC-CITI-Jenny</v>
      </c>
    </row>
    <row r="13" spans="2:9" ht="15.75" thickBot="1">
      <c r="B13" s="177" t="s">
        <v>75</v>
      </c>
      <c r="C13" s="178" t="s">
        <v>75</v>
      </c>
      <c r="D13" s="179"/>
      <c r="E13" s="150">
        <f>SUM(E11:E12)</f>
        <v>150000</v>
      </c>
      <c r="F13" s="170"/>
      <c r="G13" s="152"/>
    </row>
    <row r="14" spans="2:9">
      <c r="E14" s="153"/>
      <c r="F14" s="153"/>
    </row>
    <row r="15" spans="2:9" ht="15.75" thickBot="1">
      <c r="B15" s="142" t="s">
        <v>90</v>
      </c>
    </row>
    <row r="16" spans="2:9">
      <c r="B16" s="143"/>
      <c r="C16" s="144" t="s">
        <v>91</v>
      </c>
      <c r="D16" s="144" t="s">
        <v>119</v>
      </c>
      <c r="E16" s="155"/>
      <c r="F16" s="145" t="s">
        <v>96</v>
      </c>
      <c r="G16" s="146" t="s">
        <v>152</v>
      </c>
    </row>
    <row r="17" spans="2:7">
      <c r="B17" s="147">
        <v>1</v>
      </c>
      <c r="C17" s="161" t="s">
        <v>166</v>
      </c>
      <c r="D17" s="161" t="s">
        <v>129</v>
      </c>
      <c r="E17" s="156"/>
      <c r="F17" s="163">
        <v>2000</v>
      </c>
      <c r="G17" s="148" t="str">
        <f>IF(C17&lt;&gt;"","SB-"&amp;D17&amp;"-"&amp;C17,"")</f>
        <v>SB-ICICI-John</v>
      </c>
    </row>
    <row r="18" spans="2:7">
      <c r="B18" s="149">
        <v>2</v>
      </c>
      <c r="C18" s="164" t="s">
        <v>167</v>
      </c>
      <c r="D18" s="164" t="s">
        <v>130</v>
      </c>
      <c r="E18" s="157"/>
      <c r="F18" s="166">
        <v>1000</v>
      </c>
      <c r="G18" s="154" t="str">
        <f>IF(C18&lt;&gt;"","SB-"&amp;D18&amp;"-"&amp;C18,"")</f>
        <v>SB-SBI-Jenny</v>
      </c>
    </row>
    <row r="19" spans="2:7" ht="15.75" thickBot="1">
      <c r="B19" s="177" t="s">
        <v>75</v>
      </c>
      <c r="C19" s="178" t="s">
        <v>75</v>
      </c>
      <c r="D19" s="179"/>
      <c r="E19" s="158"/>
      <c r="F19" s="151">
        <f>SUM(F17:F18)</f>
        <v>3000</v>
      </c>
      <c r="G19" s="152"/>
    </row>
    <row r="20" spans="2:7">
      <c r="E20" s="153"/>
      <c r="F20" s="153"/>
    </row>
    <row r="22" spans="2:7">
      <c r="B22" s="22" t="s">
        <v>147</v>
      </c>
    </row>
    <row r="23" spans="2:7">
      <c r="B23" s="22" t="s">
        <v>148</v>
      </c>
    </row>
    <row r="24" spans="2:7">
      <c r="B24" s="22" t="s">
        <v>149</v>
      </c>
    </row>
    <row r="30" spans="2:7">
      <c r="E30" s="159"/>
      <c r="F30" s="159"/>
    </row>
    <row r="31" spans="2:7">
      <c r="D31" s="160"/>
      <c r="E31" s="159"/>
      <c r="F31" s="159"/>
    </row>
    <row r="32" spans="2:7">
      <c r="D32" s="160"/>
      <c r="E32" s="159"/>
      <c r="F32" s="159"/>
    </row>
    <row r="33" spans="4:6">
      <c r="D33" s="160"/>
      <c r="E33" s="159"/>
      <c r="F33" s="159"/>
    </row>
  </sheetData>
  <sheetProtection password="953E" sheet="1" objects="1" scenarios="1"/>
  <mergeCells count="3">
    <mergeCell ref="B7:D7"/>
    <mergeCell ref="B13:D13"/>
    <mergeCell ref="B19:D19"/>
  </mergeCells>
  <phoneticPr fontId="10" type="noConversion"/>
  <dataValidations count="1">
    <dataValidation type="list" allowBlank="1" showInputMessage="1" showErrorMessage="1" sqref="E31:F32">
      <formula1>$I$4:$I$5</formula1>
    </dataValidation>
  </dataValidations>
  <hyperlinks>
    <hyperlink ref="I4" location="Instructions!F12" tooltip="Instructions Page" display="Back to Instruction Page"/>
    <hyperlink ref="I5" location="Calc!C5" tooltip="Calculation and Analysis" display="Calculation and Analysis Sheet"/>
    <hyperlink ref="I6" location="Expense!B4" tooltip="Enter Expenses for the Month" display="Enter Expenses for the Month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M55"/>
  <sheetViews>
    <sheetView showGridLines="0" zoomScale="85" zoomScaleNormal="90"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C6" sqref="C6"/>
    </sheetView>
  </sheetViews>
  <sheetFormatPr defaultRowHeight="15"/>
  <cols>
    <col min="1" max="1" width="2.140625" style="8" customWidth="1"/>
    <col min="2" max="2" width="28.7109375" style="8" customWidth="1"/>
    <col min="3" max="3" width="23.140625" style="22" bestFit="1" customWidth="1"/>
    <col min="4" max="4" width="10.85546875" style="8" bestFit="1" customWidth="1"/>
    <col min="5" max="5" width="14" style="8" bestFit="1" customWidth="1"/>
    <col min="6" max="6" width="11.28515625" style="8" bestFit="1" customWidth="1"/>
    <col min="7" max="7" width="21.42578125" style="8" customWidth="1"/>
    <col min="8" max="8" width="20.42578125" style="8" customWidth="1"/>
    <col min="9" max="9" width="14.7109375" style="8" customWidth="1"/>
    <col min="10" max="10" width="9.140625" style="57" bestFit="1"/>
    <col min="11" max="11" width="10.140625" style="23" hidden="1" customWidth="1"/>
    <col min="12" max="12" width="15.42578125" style="8" customWidth="1"/>
    <col min="13" max="13" width="29.140625" style="8" customWidth="1"/>
    <col min="14" max="16384" width="9.140625" style="8"/>
  </cols>
  <sheetData>
    <row r="1" spans="2:13" ht="18.75">
      <c r="B1" s="59" t="s">
        <v>145</v>
      </c>
      <c r="L1" s="58" t="s">
        <v>171</v>
      </c>
      <c r="M1" s="171">
        <f ca="1">TODAY()</f>
        <v>40361</v>
      </c>
    </row>
    <row r="3" spans="2:13" ht="46.5" customHeight="1">
      <c r="B3" s="5" t="s">
        <v>46</v>
      </c>
      <c r="C3" s="18" t="s">
        <v>45</v>
      </c>
      <c r="D3" s="6" t="s">
        <v>55</v>
      </c>
      <c r="E3" s="175" t="s">
        <v>179</v>
      </c>
      <c r="F3" s="5" t="s">
        <v>1</v>
      </c>
      <c r="G3" s="5" t="s">
        <v>2</v>
      </c>
      <c r="H3" s="5" t="s">
        <v>56</v>
      </c>
      <c r="I3" s="5" t="s">
        <v>5</v>
      </c>
      <c r="J3" s="139" t="s">
        <v>165</v>
      </c>
      <c r="K3" s="23" t="s">
        <v>77</v>
      </c>
      <c r="L3" s="7"/>
    </row>
    <row r="4" spans="2:13">
      <c r="B4" s="24" t="s">
        <v>57</v>
      </c>
      <c r="C4" s="33" t="str">
        <f>IF(B4&lt;&gt;"",VLOOKUP(B4,Lookup!$A$2:$B$65,2,FALSE),"")</f>
        <v>LOANS</v>
      </c>
      <c r="D4" s="25">
        <v>40364</v>
      </c>
      <c r="E4" s="26">
        <v>5000</v>
      </c>
      <c r="F4" s="26"/>
      <c r="G4" s="27" t="s">
        <v>169</v>
      </c>
      <c r="H4" s="27" t="s">
        <v>71</v>
      </c>
      <c r="I4" s="44" t="s">
        <v>74</v>
      </c>
      <c r="J4" s="53">
        <f ca="1">IF(OR(I4="Done",D4=""),"",IF(D4&gt;=$M$1,DATEDIF($M$1,D4,"d"),-DATEDIF(D4,$M$1,"d")))</f>
        <v>3</v>
      </c>
      <c r="K4" s="23">
        <f t="shared" ref="K4:K51" si="0">WEEKNUM(D4,1)</f>
        <v>28</v>
      </c>
      <c r="L4" s="7" t="str">
        <f>IF(AND(H4="Cheque",(LEFT(G4,2))="CC"),"** Invalid Mode of Payment","")</f>
        <v/>
      </c>
      <c r="M4" s="47" t="s">
        <v>124</v>
      </c>
    </row>
    <row r="5" spans="2:13">
      <c r="B5" s="24" t="s">
        <v>6</v>
      </c>
      <c r="C5" s="33" t="str">
        <f>IF(B5&lt;&gt;"",VLOOKUP(B5,Lookup!$A$2:$B$65,2,FALSE),"")</f>
        <v>HOUSING</v>
      </c>
      <c r="D5" s="25">
        <v>40361</v>
      </c>
      <c r="E5" s="26">
        <v>6800</v>
      </c>
      <c r="F5" s="26">
        <v>6800</v>
      </c>
      <c r="G5" s="27" t="s">
        <v>170</v>
      </c>
      <c r="H5" s="27" t="s">
        <v>70</v>
      </c>
      <c r="I5" s="44" t="s">
        <v>73</v>
      </c>
      <c r="J5" s="53" t="str">
        <f t="shared" ref="J5:J51" si="1">IF(OR(I5="Done",D5=""),"",IF(D5&gt;=$M$1,DATEDIF($M$1,D5,"d"),-DATEDIF(D5,$M$1,"d")))</f>
        <v/>
      </c>
      <c r="K5" s="23">
        <f t="shared" si="0"/>
        <v>27</v>
      </c>
      <c r="L5" s="7" t="str">
        <f t="shared" ref="L5:L51" si="2">IF(AND(H5="Cheque",(LEFT(G5,2))="CC"),"** Invalid Mode of Payment","")</f>
        <v/>
      </c>
      <c r="M5" s="47" t="s">
        <v>125</v>
      </c>
    </row>
    <row r="6" spans="2:13">
      <c r="B6" s="24" t="s">
        <v>63</v>
      </c>
      <c r="C6" s="33" t="str">
        <f>IF(B6&lt;&gt;"",VLOOKUP(B6,Lookup!$A$2:$B$65,2,FALSE),"")</f>
        <v>SAVINGS/INVESTMENT</v>
      </c>
      <c r="D6" s="25">
        <v>40374</v>
      </c>
      <c r="E6" s="26">
        <v>2500</v>
      </c>
      <c r="F6" s="26"/>
      <c r="G6" s="27" t="s">
        <v>169</v>
      </c>
      <c r="H6" s="27" t="s">
        <v>70</v>
      </c>
      <c r="I6" s="44" t="s">
        <v>74</v>
      </c>
      <c r="J6" s="53">
        <f t="shared" ca="1" si="1"/>
        <v>13</v>
      </c>
      <c r="K6" s="23">
        <f t="shared" si="0"/>
        <v>29</v>
      </c>
      <c r="L6" s="7" t="str">
        <f t="shared" si="2"/>
        <v/>
      </c>
      <c r="M6" s="47" t="s">
        <v>123</v>
      </c>
    </row>
    <row r="7" spans="2:13">
      <c r="B7" s="24" t="s">
        <v>84</v>
      </c>
      <c r="C7" s="33" t="str">
        <f>IF(B7&lt;&gt;"",VLOOKUP(B7,Lookup!$A$2:$B$65,2,FALSE),"")</f>
        <v>SAVINGS/INVESTMENT</v>
      </c>
      <c r="D7" s="25">
        <v>40379</v>
      </c>
      <c r="E7" s="26">
        <v>2500</v>
      </c>
      <c r="F7" s="26"/>
      <c r="G7" s="27" t="s">
        <v>169</v>
      </c>
      <c r="H7" s="27" t="s">
        <v>72</v>
      </c>
      <c r="I7" s="44" t="s">
        <v>74</v>
      </c>
      <c r="J7" s="53">
        <f t="shared" ca="1" si="1"/>
        <v>18</v>
      </c>
      <c r="K7" s="23">
        <f t="shared" si="0"/>
        <v>30</v>
      </c>
      <c r="L7" s="7" t="str">
        <f t="shared" si="2"/>
        <v/>
      </c>
    </row>
    <row r="8" spans="2:13">
      <c r="B8" s="24" t="s">
        <v>61</v>
      </c>
      <c r="C8" s="33" t="str">
        <f>IF(B8&lt;&gt;"",VLOOKUP(B8,Lookup!$A$2:$B$65,2,FALSE),"")</f>
        <v>PERSONAL</v>
      </c>
      <c r="D8" s="25">
        <v>40379</v>
      </c>
      <c r="E8" s="26">
        <v>900</v>
      </c>
      <c r="F8" s="26"/>
      <c r="G8" s="27" t="s">
        <v>169</v>
      </c>
      <c r="H8" s="27" t="s">
        <v>70</v>
      </c>
      <c r="I8" s="44" t="s">
        <v>74</v>
      </c>
      <c r="J8" s="53">
        <f t="shared" ca="1" si="1"/>
        <v>18</v>
      </c>
      <c r="K8" s="23">
        <f t="shared" si="0"/>
        <v>30</v>
      </c>
      <c r="L8" s="7" t="str">
        <f t="shared" si="2"/>
        <v/>
      </c>
      <c r="M8" s="32" t="s">
        <v>126</v>
      </c>
    </row>
    <row r="9" spans="2:13">
      <c r="B9" s="24" t="s">
        <v>33</v>
      </c>
      <c r="C9" s="33" t="str">
        <f>IF(B9&lt;&gt;"",VLOOKUP(B9,Lookup!$A$2:$B$65,2,FALSE),"")</f>
        <v>FOOD</v>
      </c>
      <c r="D9" s="25">
        <v>40379</v>
      </c>
      <c r="E9" s="26">
        <v>1500</v>
      </c>
      <c r="F9" s="26"/>
      <c r="G9" s="27" t="s">
        <v>162</v>
      </c>
      <c r="H9" s="27" t="s">
        <v>70</v>
      </c>
      <c r="I9" s="44" t="s">
        <v>118</v>
      </c>
      <c r="J9" s="53">
        <f t="shared" ca="1" si="1"/>
        <v>18</v>
      </c>
      <c r="K9" s="23">
        <f t="shared" si="0"/>
        <v>30</v>
      </c>
      <c r="L9" s="7" t="str">
        <f t="shared" si="2"/>
        <v/>
      </c>
    </row>
    <row r="10" spans="2:13">
      <c r="B10" s="24" t="s">
        <v>10</v>
      </c>
      <c r="C10" s="33" t="str">
        <f>IF(B10&lt;&gt;"",VLOOKUP(B10,Lookup!$A$2:$B$65,2,FALSE),"")</f>
        <v>HOUSING</v>
      </c>
      <c r="D10" s="25">
        <v>40373</v>
      </c>
      <c r="E10" s="26">
        <v>300</v>
      </c>
      <c r="F10" s="26">
        <v>300</v>
      </c>
      <c r="G10" s="27" t="s">
        <v>170</v>
      </c>
      <c r="H10" s="27" t="s">
        <v>72</v>
      </c>
      <c r="I10" s="44" t="s">
        <v>73</v>
      </c>
      <c r="J10" s="53" t="str">
        <f t="shared" si="1"/>
        <v/>
      </c>
      <c r="K10" s="23">
        <f t="shared" si="0"/>
        <v>29</v>
      </c>
      <c r="L10" s="7" t="str">
        <f t="shared" si="2"/>
        <v/>
      </c>
      <c r="M10" s="8" t="s">
        <v>163</v>
      </c>
    </row>
    <row r="11" spans="2:13">
      <c r="B11" s="24" t="s">
        <v>68</v>
      </c>
      <c r="C11" s="33" t="str">
        <f>IF(B11&lt;&gt;"",VLOOKUP(B11,Lookup!$A$2:$B$65,2,FALSE),"")</f>
        <v>INSURANCE</v>
      </c>
      <c r="D11" s="25">
        <v>40378</v>
      </c>
      <c r="E11" s="26">
        <v>5000</v>
      </c>
      <c r="F11" s="26"/>
      <c r="G11" s="27" t="s">
        <v>169</v>
      </c>
      <c r="H11" s="27" t="s">
        <v>71</v>
      </c>
      <c r="I11" s="44" t="s">
        <v>74</v>
      </c>
      <c r="J11" s="53">
        <f t="shared" ca="1" si="1"/>
        <v>17</v>
      </c>
      <c r="K11" s="23">
        <f t="shared" si="0"/>
        <v>30</v>
      </c>
      <c r="L11" s="7" t="str">
        <f t="shared" si="2"/>
        <v/>
      </c>
      <c r="M11" s="8" t="s">
        <v>164</v>
      </c>
    </row>
    <row r="12" spans="2:13">
      <c r="B12" s="24" t="s">
        <v>40</v>
      </c>
      <c r="C12" s="33" t="str">
        <f>IF(B12&lt;&gt;"",VLOOKUP(B12,Lookup!$A$2:$B$65,2,FALSE),"")</f>
        <v>PERSONAL</v>
      </c>
      <c r="D12" s="25">
        <v>40389</v>
      </c>
      <c r="E12" s="26">
        <v>3000</v>
      </c>
      <c r="F12" s="26"/>
      <c r="G12" s="27" t="s">
        <v>172</v>
      </c>
      <c r="H12" s="27" t="s">
        <v>70</v>
      </c>
      <c r="I12" s="44" t="s">
        <v>74</v>
      </c>
      <c r="J12" s="53">
        <f t="shared" ca="1" si="1"/>
        <v>28</v>
      </c>
      <c r="K12" s="23">
        <f t="shared" si="0"/>
        <v>31</v>
      </c>
      <c r="L12" s="7" t="str">
        <f t="shared" si="2"/>
        <v/>
      </c>
    </row>
    <row r="13" spans="2:13">
      <c r="B13" s="24" t="s">
        <v>173</v>
      </c>
      <c r="C13" s="33" t="str">
        <f>IF(B13&lt;&gt;"",VLOOKUP(B13,Lookup!$A$2:$B$65,2,FALSE),"")</f>
        <v>LOANS</v>
      </c>
      <c r="D13" s="25">
        <v>40384</v>
      </c>
      <c r="E13" s="26">
        <v>1000</v>
      </c>
      <c r="F13" s="26">
        <v>1000</v>
      </c>
      <c r="G13" s="27" t="s">
        <v>169</v>
      </c>
      <c r="H13" s="27" t="s">
        <v>70</v>
      </c>
      <c r="I13" s="44" t="s">
        <v>73</v>
      </c>
      <c r="J13" s="53" t="str">
        <f t="shared" si="1"/>
        <v/>
      </c>
      <c r="K13" s="23">
        <f t="shared" si="0"/>
        <v>31</v>
      </c>
      <c r="L13" s="7" t="str">
        <f t="shared" si="2"/>
        <v/>
      </c>
    </row>
    <row r="14" spans="2:13">
      <c r="B14" s="24" t="s">
        <v>34</v>
      </c>
      <c r="C14" s="33" t="str">
        <f>IF(B14&lt;&gt;"",VLOOKUP(B14,Lookup!$A$2:$B$65,2,FALSE),"")</f>
        <v>FOOD</v>
      </c>
      <c r="D14" s="25">
        <v>40373</v>
      </c>
      <c r="E14" s="26">
        <v>500</v>
      </c>
      <c r="F14" s="26">
        <v>500</v>
      </c>
      <c r="G14" s="27" t="s">
        <v>174</v>
      </c>
      <c r="H14" s="27" t="s">
        <v>70</v>
      </c>
      <c r="I14" s="44" t="s">
        <v>73</v>
      </c>
      <c r="J14" s="53" t="str">
        <f t="shared" si="1"/>
        <v/>
      </c>
      <c r="K14" s="23">
        <f t="shared" si="0"/>
        <v>29</v>
      </c>
      <c r="L14" s="7" t="str">
        <f t="shared" si="2"/>
        <v/>
      </c>
    </row>
    <row r="15" spans="2:13">
      <c r="B15" s="24" t="s">
        <v>7</v>
      </c>
      <c r="C15" s="33" t="str">
        <f>IF(B15&lt;&gt;"",VLOOKUP(B15,Lookup!$A$2:$B$65,2,FALSE),"")</f>
        <v>HOUSING</v>
      </c>
      <c r="D15" s="25">
        <v>40379</v>
      </c>
      <c r="E15" s="26">
        <v>200</v>
      </c>
      <c r="F15" s="26"/>
      <c r="G15" s="27" t="s">
        <v>169</v>
      </c>
      <c r="H15" s="27" t="s">
        <v>72</v>
      </c>
      <c r="I15" s="44" t="s">
        <v>74</v>
      </c>
      <c r="J15" s="53">
        <f t="shared" ca="1" si="1"/>
        <v>18</v>
      </c>
      <c r="K15" s="23">
        <f t="shared" si="0"/>
        <v>30</v>
      </c>
      <c r="L15" s="7" t="str">
        <f t="shared" si="2"/>
        <v/>
      </c>
    </row>
    <row r="16" spans="2:13">
      <c r="B16" s="24" t="s">
        <v>24</v>
      </c>
      <c r="C16" s="33" t="str">
        <f>IF(B16&lt;&gt;"",VLOOKUP(B16,Lookup!$A$2:$B$65,2,FALSE),"")</f>
        <v>TRANSPORTATION</v>
      </c>
      <c r="D16" s="25">
        <v>40389</v>
      </c>
      <c r="E16" s="26">
        <v>1000</v>
      </c>
      <c r="F16" s="26">
        <v>800</v>
      </c>
      <c r="G16" s="27" t="s">
        <v>170</v>
      </c>
      <c r="H16" s="27" t="s">
        <v>70</v>
      </c>
      <c r="I16" s="44" t="s">
        <v>118</v>
      </c>
      <c r="J16" s="53">
        <f t="shared" ca="1" si="1"/>
        <v>28</v>
      </c>
      <c r="K16" s="23">
        <f t="shared" si="0"/>
        <v>31</v>
      </c>
      <c r="L16" s="7" t="str">
        <f t="shared" si="2"/>
        <v/>
      </c>
    </row>
    <row r="17" spans="2:12">
      <c r="B17" s="24" t="s">
        <v>133</v>
      </c>
      <c r="C17" s="33" t="str">
        <f>IF(B17&lt;&gt;"",VLOOKUP(B17,Lookup!$A$2:$B$65,2,FALSE),"")</f>
        <v>HOUSING</v>
      </c>
      <c r="D17" s="25">
        <v>40374</v>
      </c>
      <c r="E17" s="26">
        <v>500</v>
      </c>
      <c r="F17" s="26">
        <v>500</v>
      </c>
      <c r="G17" s="27" t="s">
        <v>169</v>
      </c>
      <c r="H17" s="27" t="s">
        <v>71</v>
      </c>
      <c r="I17" s="44" t="s">
        <v>73</v>
      </c>
      <c r="J17" s="53" t="str">
        <f t="shared" si="1"/>
        <v/>
      </c>
      <c r="K17" s="23">
        <f t="shared" si="0"/>
        <v>29</v>
      </c>
      <c r="L17" s="7" t="str">
        <f t="shared" si="2"/>
        <v/>
      </c>
    </row>
    <row r="18" spans="2:12">
      <c r="B18" s="24" t="s">
        <v>17</v>
      </c>
      <c r="C18" s="33" t="str">
        <f>IF(B18&lt;&gt;"",VLOOKUP(B18,Lookup!$A$2:$B$65,2,FALSE),"")</f>
        <v>ENTERTAINMENT</v>
      </c>
      <c r="D18" s="25">
        <v>40384</v>
      </c>
      <c r="E18" s="26">
        <v>300</v>
      </c>
      <c r="F18" s="26"/>
      <c r="G18" s="27" t="s">
        <v>169</v>
      </c>
      <c r="H18" s="27" t="s">
        <v>72</v>
      </c>
      <c r="I18" s="44" t="s">
        <v>74</v>
      </c>
      <c r="J18" s="53">
        <f t="shared" ca="1" si="1"/>
        <v>23</v>
      </c>
      <c r="K18" s="23">
        <f t="shared" si="0"/>
        <v>31</v>
      </c>
      <c r="L18" s="7" t="str">
        <f t="shared" si="2"/>
        <v/>
      </c>
    </row>
    <row r="19" spans="2:12">
      <c r="B19" s="24" t="s">
        <v>50</v>
      </c>
      <c r="C19" s="33" t="str">
        <f>IF(B19&lt;&gt;"",VLOOKUP(B19,Lookup!$A$2:$B$65,2,FALSE),"")</f>
        <v>SAVINGS/INVESTMENT</v>
      </c>
      <c r="D19" s="25">
        <v>40383</v>
      </c>
      <c r="E19" s="26">
        <v>3000</v>
      </c>
      <c r="F19" s="26"/>
      <c r="G19" s="27" t="s">
        <v>170</v>
      </c>
      <c r="H19" s="27" t="s">
        <v>72</v>
      </c>
      <c r="I19" s="44" t="s">
        <v>74</v>
      </c>
      <c r="J19" s="53">
        <f t="shared" ca="1" si="1"/>
        <v>22</v>
      </c>
      <c r="K19" s="23">
        <f t="shared" si="0"/>
        <v>30</v>
      </c>
      <c r="L19" s="7" t="str">
        <f t="shared" si="2"/>
        <v/>
      </c>
    </row>
    <row r="20" spans="2:12">
      <c r="B20" s="24" t="s">
        <v>64</v>
      </c>
      <c r="C20" s="33" t="str">
        <f>IF(B20&lt;&gt;"",VLOOKUP(B20,Lookup!$A$2:$B$65,2,FALSE),"")</f>
        <v>CHILDRENS EDU</v>
      </c>
      <c r="D20" s="25">
        <v>40362</v>
      </c>
      <c r="E20" s="26">
        <v>5000</v>
      </c>
      <c r="F20" s="26">
        <v>5000</v>
      </c>
      <c r="G20" s="27" t="s">
        <v>169</v>
      </c>
      <c r="H20" s="27" t="s">
        <v>71</v>
      </c>
      <c r="I20" s="44" t="s">
        <v>73</v>
      </c>
      <c r="J20" s="53" t="str">
        <f t="shared" si="1"/>
        <v/>
      </c>
      <c r="K20" s="23">
        <f t="shared" si="0"/>
        <v>27</v>
      </c>
      <c r="L20" s="7" t="str">
        <f t="shared" si="2"/>
        <v/>
      </c>
    </row>
    <row r="21" spans="2:12">
      <c r="B21" s="24"/>
      <c r="C21" s="33" t="str">
        <f>IF(B21&lt;&gt;"",VLOOKUP(B21,Lookup!$A$2:$B$65,2,FALSE),"")</f>
        <v/>
      </c>
      <c r="D21" s="25"/>
      <c r="E21" s="26"/>
      <c r="F21" s="26"/>
      <c r="G21" s="27"/>
      <c r="H21" s="27"/>
      <c r="I21" s="44"/>
      <c r="J21" s="53" t="str">
        <f t="shared" si="1"/>
        <v/>
      </c>
      <c r="K21" s="23">
        <f t="shared" si="0"/>
        <v>0</v>
      </c>
      <c r="L21" s="7" t="str">
        <f t="shared" si="2"/>
        <v/>
      </c>
    </row>
    <row r="22" spans="2:12">
      <c r="B22" s="24"/>
      <c r="C22" s="33" t="str">
        <f>IF(B22&lt;&gt;"",VLOOKUP(B22,Lookup!$A$2:$B$65,2,FALSE),"")</f>
        <v/>
      </c>
      <c r="D22" s="25"/>
      <c r="E22" s="26"/>
      <c r="F22" s="26"/>
      <c r="G22" s="27"/>
      <c r="H22" s="27"/>
      <c r="I22" s="44"/>
      <c r="J22" s="53" t="str">
        <f t="shared" si="1"/>
        <v/>
      </c>
      <c r="K22" s="23">
        <f t="shared" si="0"/>
        <v>0</v>
      </c>
      <c r="L22" s="7" t="str">
        <f t="shared" si="2"/>
        <v/>
      </c>
    </row>
    <row r="23" spans="2:12">
      <c r="B23" s="24"/>
      <c r="C23" s="33" t="str">
        <f>IF(B23&lt;&gt;"",VLOOKUP(B23,Lookup!$A$2:$B$65,2,FALSE),"")</f>
        <v/>
      </c>
      <c r="D23" s="25"/>
      <c r="E23" s="26"/>
      <c r="F23" s="26"/>
      <c r="G23" s="27"/>
      <c r="H23" s="27"/>
      <c r="I23" s="44"/>
      <c r="J23" s="53" t="str">
        <f t="shared" si="1"/>
        <v/>
      </c>
      <c r="K23" s="23">
        <f t="shared" si="0"/>
        <v>0</v>
      </c>
      <c r="L23" s="7" t="str">
        <f t="shared" si="2"/>
        <v/>
      </c>
    </row>
    <row r="24" spans="2:12">
      <c r="B24" s="24"/>
      <c r="C24" s="33" t="str">
        <f>IF(B24&lt;&gt;"",VLOOKUP(B24,Lookup!$A$2:$B$65,2,FALSE),"")</f>
        <v/>
      </c>
      <c r="D24" s="25"/>
      <c r="E24" s="26"/>
      <c r="F24" s="26"/>
      <c r="G24" s="27"/>
      <c r="H24" s="27"/>
      <c r="I24" s="44"/>
      <c r="J24" s="53" t="str">
        <f t="shared" si="1"/>
        <v/>
      </c>
      <c r="K24" s="23">
        <f t="shared" si="0"/>
        <v>0</v>
      </c>
      <c r="L24" s="7" t="str">
        <f t="shared" si="2"/>
        <v/>
      </c>
    </row>
    <row r="25" spans="2:12">
      <c r="B25" s="24"/>
      <c r="C25" s="33" t="str">
        <f>IF(B25&lt;&gt;"",VLOOKUP(B25,Lookup!$A$2:$B$65,2,FALSE),"")</f>
        <v/>
      </c>
      <c r="D25" s="25"/>
      <c r="E25" s="26"/>
      <c r="F25" s="26"/>
      <c r="G25" s="27"/>
      <c r="H25" s="27"/>
      <c r="I25" s="44"/>
      <c r="J25" s="53" t="str">
        <f t="shared" si="1"/>
        <v/>
      </c>
      <c r="K25" s="23">
        <f t="shared" si="0"/>
        <v>0</v>
      </c>
      <c r="L25" s="7" t="str">
        <f t="shared" si="2"/>
        <v/>
      </c>
    </row>
    <row r="26" spans="2:12">
      <c r="B26" s="24"/>
      <c r="C26" s="33" t="str">
        <f>IF(B26&lt;&gt;"",VLOOKUP(B26,Lookup!$A$2:$B$65,2,FALSE),"")</f>
        <v/>
      </c>
      <c r="D26" s="25"/>
      <c r="E26" s="26"/>
      <c r="F26" s="26"/>
      <c r="G26" s="27"/>
      <c r="H26" s="27"/>
      <c r="I26" s="44"/>
      <c r="J26" s="53" t="str">
        <f t="shared" si="1"/>
        <v/>
      </c>
      <c r="K26" s="23">
        <f t="shared" si="0"/>
        <v>0</v>
      </c>
      <c r="L26" s="7" t="str">
        <f t="shared" si="2"/>
        <v/>
      </c>
    </row>
    <row r="27" spans="2:12">
      <c r="B27" s="24"/>
      <c r="C27" s="33" t="str">
        <f>IF(B27&lt;&gt;"",VLOOKUP(B27,Lookup!$A$2:$B$65,2,FALSE),"")</f>
        <v/>
      </c>
      <c r="D27" s="25"/>
      <c r="E27" s="26"/>
      <c r="F27" s="26"/>
      <c r="G27" s="27"/>
      <c r="H27" s="27"/>
      <c r="I27" s="44"/>
      <c r="J27" s="53" t="str">
        <f t="shared" si="1"/>
        <v/>
      </c>
      <c r="K27" s="23">
        <f t="shared" si="0"/>
        <v>0</v>
      </c>
      <c r="L27" s="7" t="str">
        <f t="shared" si="2"/>
        <v/>
      </c>
    </row>
    <row r="28" spans="2:12">
      <c r="B28" s="24"/>
      <c r="C28" s="33" t="str">
        <f>IF(B28&lt;&gt;"",VLOOKUP(B28,Lookup!$A$2:$B$65,2,FALSE),"")</f>
        <v/>
      </c>
      <c r="D28" s="25"/>
      <c r="E28" s="26"/>
      <c r="F28" s="26"/>
      <c r="G28" s="27"/>
      <c r="H28" s="27"/>
      <c r="I28" s="44"/>
      <c r="J28" s="53" t="str">
        <f t="shared" si="1"/>
        <v/>
      </c>
      <c r="K28" s="23">
        <f t="shared" si="0"/>
        <v>0</v>
      </c>
      <c r="L28" s="7" t="str">
        <f t="shared" si="2"/>
        <v/>
      </c>
    </row>
    <row r="29" spans="2:12">
      <c r="B29" s="24"/>
      <c r="C29" s="33" t="str">
        <f>IF(B29&lt;&gt;"",VLOOKUP(B29,Lookup!$A$2:$B$65,2,FALSE),"")</f>
        <v/>
      </c>
      <c r="D29" s="25"/>
      <c r="E29" s="26"/>
      <c r="F29" s="26"/>
      <c r="G29" s="27"/>
      <c r="H29" s="27"/>
      <c r="I29" s="44"/>
      <c r="J29" s="53" t="str">
        <f t="shared" si="1"/>
        <v/>
      </c>
      <c r="K29" s="23">
        <f t="shared" si="0"/>
        <v>0</v>
      </c>
      <c r="L29" s="7" t="str">
        <f t="shared" si="2"/>
        <v/>
      </c>
    </row>
    <row r="30" spans="2:12">
      <c r="B30" s="24"/>
      <c r="C30" s="33" t="str">
        <f>IF(B30&lt;&gt;"",VLOOKUP(B30,Lookup!$A$2:$B$65,2,FALSE),"")</f>
        <v/>
      </c>
      <c r="D30" s="25"/>
      <c r="E30" s="26"/>
      <c r="F30" s="26"/>
      <c r="G30" s="27"/>
      <c r="H30" s="27"/>
      <c r="I30" s="44"/>
      <c r="J30" s="53" t="str">
        <f t="shared" si="1"/>
        <v/>
      </c>
      <c r="K30" s="23">
        <f t="shared" si="0"/>
        <v>0</v>
      </c>
      <c r="L30" s="7" t="str">
        <f t="shared" si="2"/>
        <v/>
      </c>
    </row>
    <row r="31" spans="2:12">
      <c r="B31" s="24"/>
      <c r="C31" s="33" t="str">
        <f>IF(B31&lt;&gt;"",VLOOKUP(B31,Lookup!$A$2:$B$65,2,FALSE),"")</f>
        <v/>
      </c>
      <c r="D31" s="25"/>
      <c r="E31" s="26"/>
      <c r="F31" s="26"/>
      <c r="G31" s="27"/>
      <c r="H31" s="27"/>
      <c r="I31" s="44"/>
      <c r="J31" s="53" t="str">
        <f t="shared" si="1"/>
        <v/>
      </c>
      <c r="K31" s="23">
        <f t="shared" si="0"/>
        <v>0</v>
      </c>
      <c r="L31" s="7" t="str">
        <f t="shared" si="2"/>
        <v/>
      </c>
    </row>
    <row r="32" spans="2:12">
      <c r="B32" s="24"/>
      <c r="C32" s="33" t="str">
        <f>IF(B32&lt;&gt;"",VLOOKUP(B32,Lookup!$A$2:$B$65,2,FALSE),"")</f>
        <v/>
      </c>
      <c r="D32" s="25"/>
      <c r="E32" s="26"/>
      <c r="F32" s="26"/>
      <c r="G32" s="27"/>
      <c r="H32" s="27"/>
      <c r="I32" s="44"/>
      <c r="J32" s="53" t="str">
        <f t="shared" si="1"/>
        <v/>
      </c>
      <c r="K32" s="23">
        <f t="shared" si="0"/>
        <v>0</v>
      </c>
      <c r="L32" s="7" t="str">
        <f t="shared" si="2"/>
        <v/>
      </c>
    </row>
    <row r="33" spans="2:12">
      <c r="B33" s="24"/>
      <c r="C33" s="33" t="str">
        <f>IF(B33&lt;&gt;"",VLOOKUP(B33,Lookup!$A$2:$B$65,2,FALSE),"")</f>
        <v/>
      </c>
      <c r="D33" s="25"/>
      <c r="E33" s="26"/>
      <c r="F33" s="26"/>
      <c r="G33" s="27"/>
      <c r="H33" s="27"/>
      <c r="I33" s="44"/>
      <c r="J33" s="53" t="str">
        <f t="shared" si="1"/>
        <v/>
      </c>
      <c r="K33" s="23">
        <f t="shared" si="0"/>
        <v>0</v>
      </c>
      <c r="L33" s="7" t="str">
        <f t="shared" si="2"/>
        <v/>
      </c>
    </row>
    <row r="34" spans="2:12">
      <c r="B34" s="24"/>
      <c r="C34" s="33" t="str">
        <f>IF(B34&lt;&gt;"",VLOOKUP(B34,Lookup!$A$2:$B$65,2,FALSE),"")</f>
        <v/>
      </c>
      <c r="D34" s="25"/>
      <c r="E34" s="26"/>
      <c r="F34" s="26"/>
      <c r="G34" s="27"/>
      <c r="H34" s="27"/>
      <c r="I34" s="44"/>
      <c r="J34" s="53" t="str">
        <f t="shared" si="1"/>
        <v/>
      </c>
      <c r="K34" s="23">
        <f t="shared" si="0"/>
        <v>0</v>
      </c>
      <c r="L34" s="7" t="str">
        <f t="shared" si="2"/>
        <v/>
      </c>
    </row>
    <row r="35" spans="2:12">
      <c r="B35" s="24"/>
      <c r="C35" s="33" t="str">
        <f>IF(B35&lt;&gt;"",VLOOKUP(B35,Lookup!$A$2:$B$65,2,FALSE),"")</f>
        <v/>
      </c>
      <c r="D35" s="25"/>
      <c r="E35" s="26"/>
      <c r="F35" s="26"/>
      <c r="G35" s="27"/>
      <c r="H35" s="27"/>
      <c r="I35" s="44"/>
      <c r="J35" s="53" t="str">
        <f t="shared" si="1"/>
        <v/>
      </c>
      <c r="K35" s="23">
        <f t="shared" si="0"/>
        <v>0</v>
      </c>
      <c r="L35" s="7"/>
    </row>
    <row r="36" spans="2:12">
      <c r="B36" s="24"/>
      <c r="C36" s="33" t="str">
        <f>IF(B36&lt;&gt;"",VLOOKUP(B36,Lookup!$A$2:$B$65,2,FALSE),"")</f>
        <v/>
      </c>
      <c r="D36" s="25"/>
      <c r="E36" s="26"/>
      <c r="F36" s="26"/>
      <c r="G36" s="27"/>
      <c r="H36" s="27"/>
      <c r="I36" s="44"/>
      <c r="J36" s="53" t="str">
        <f t="shared" si="1"/>
        <v/>
      </c>
      <c r="K36" s="23">
        <f t="shared" si="0"/>
        <v>0</v>
      </c>
      <c r="L36" s="7"/>
    </row>
    <row r="37" spans="2:12">
      <c r="B37" s="24"/>
      <c r="C37" s="33" t="str">
        <f>IF(B37&lt;&gt;"",VLOOKUP(B37,Lookup!$A$2:$B$65,2,FALSE),"")</f>
        <v/>
      </c>
      <c r="D37" s="25"/>
      <c r="E37" s="26"/>
      <c r="F37" s="26"/>
      <c r="G37" s="27"/>
      <c r="H37" s="27"/>
      <c r="I37" s="44"/>
      <c r="J37" s="53" t="str">
        <f t="shared" si="1"/>
        <v/>
      </c>
      <c r="K37" s="23">
        <f t="shared" si="0"/>
        <v>0</v>
      </c>
      <c r="L37" s="7"/>
    </row>
    <row r="38" spans="2:12">
      <c r="B38" s="24"/>
      <c r="C38" s="33" t="str">
        <f>IF(B38&lt;&gt;"",VLOOKUP(B38,Lookup!$A$2:$B$65,2,FALSE),"")</f>
        <v/>
      </c>
      <c r="D38" s="25"/>
      <c r="E38" s="26"/>
      <c r="F38" s="26"/>
      <c r="G38" s="27"/>
      <c r="H38" s="27"/>
      <c r="I38" s="44"/>
      <c r="J38" s="53" t="str">
        <f t="shared" si="1"/>
        <v/>
      </c>
      <c r="K38" s="23">
        <f t="shared" si="0"/>
        <v>0</v>
      </c>
      <c r="L38" s="7"/>
    </row>
    <row r="39" spans="2:12">
      <c r="B39" s="24"/>
      <c r="C39" s="33" t="str">
        <f>IF(B39&lt;&gt;"",VLOOKUP(B39,Lookup!$A$2:$B$65,2,FALSE),"")</f>
        <v/>
      </c>
      <c r="D39" s="25"/>
      <c r="E39" s="26"/>
      <c r="F39" s="26"/>
      <c r="G39" s="27"/>
      <c r="H39" s="27"/>
      <c r="I39" s="44"/>
      <c r="J39" s="53" t="str">
        <f t="shared" si="1"/>
        <v/>
      </c>
      <c r="K39" s="23">
        <f t="shared" si="0"/>
        <v>0</v>
      </c>
      <c r="L39" s="7"/>
    </row>
    <row r="40" spans="2:12">
      <c r="B40" s="24"/>
      <c r="C40" s="33" t="str">
        <f>IF(B40&lt;&gt;"",VLOOKUP(B40,Lookup!$A$2:$B$65,2,FALSE),"")</f>
        <v/>
      </c>
      <c r="D40" s="25"/>
      <c r="E40" s="26"/>
      <c r="F40" s="26"/>
      <c r="G40" s="27"/>
      <c r="H40" s="27"/>
      <c r="I40" s="44"/>
      <c r="J40" s="53" t="str">
        <f t="shared" si="1"/>
        <v/>
      </c>
      <c r="K40" s="23">
        <f t="shared" si="0"/>
        <v>0</v>
      </c>
      <c r="L40" s="7"/>
    </row>
    <row r="41" spans="2:12">
      <c r="B41" s="24"/>
      <c r="C41" s="33" t="str">
        <f>IF(B41&lt;&gt;"",VLOOKUP(B41,Lookup!$A$2:$B$65,2,FALSE),"")</f>
        <v/>
      </c>
      <c r="D41" s="25"/>
      <c r="E41" s="26"/>
      <c r="F41" s="26"/>
      <c r="G41" s="27"/>
      <c r="H41" s="27"/>
      <c r="I41" s="44"/>
      <c r="J41" s="53" t="str">
        <f t="shared" si="1"/>
        <v/>
      </c>
      <c r="K41" s="23">
        <f t="shared" si="0"/>
        <v>0</v>
      </c>
      <c r="L41" s="7"/>
    </row>
    <row r="42" spans="2:12">
      <c r="B42" s="24"/>
      <c r="C42" s="33" t="str">
        <f>IF(B42&lt;&gt;"",VLOOKUP(B42,Lookup!$A$2:$B$65,2,FALSE),"")</f>
        <v/>
      </c>
      <c r="D42" s="25"/>
      <c r="E42" s="26"/>
      <c r="F42" s="26"/>
      <c r="G42" s="27"/>
      <c r="H42" s="27"/>
      <c r="I42" s="44"/>
      <c r="J42" s="53" t="str">
        <f t="shared" si="1"/>
        <v/>
      </c>
      <c r="K42" s="23">
        <f t="shared" si="0"/>
        <v>0</v>
      </c>
      <c r="L42" s="7"/>
    </row>
    <row r="43" spans="2:12">
      <c r="B43" s="24"/>
      <c r="C43" s="33" t="str">
        <f>IF(B43&lt;&gt;"",VLOOKUP(B43,Lookup!$A$2:$B$65,2,FALSE),"")</f>
        <v/>
      </c>
      <c r="D43" s="25"/>
      <c r="E43" s="26"/>
      <c r="F43" s="26"/>
      <c r="G43" s="27"/>
      <c r="H43" s="27"/>
      <c r="I43" s="44"/>
      <c r="J43" s="53" t="str">
        <f t="shared" si="1"/>
        <v/>
      </c>
      <c r="K43" s="23">
        <f t="shared" si="0"/>
        <v>0</v>
      </c>
      <c r="L43" s="7" t="str">
        <f t="shared" si="2"/>
        <v/>
      </c>
    </row>
    <row r="44" spans="2:12">
      <c r="B44" s="24"/>
      <c r="C44" s="33" t="str">
        <f>IF(B44&lt;&gt;"",VLOOKUP(B44,Lookup!$A$2:$B$65,2,FALSE),"")</f>
        <v/>
      </c>
      <c r="D44" s="25"/>
      <c r="E44" s="26"/>
      <c r="F44" s="26"/>
      <c r="G44" s="27"/>
      <c r="H44" s="27"/>
      <c r="I44" s="44"/>
      <c r="J44" s="53" t="str">
        <f t="shared" si="1"/>
        <v/>
      </c>
      <c r="K44" s="23">
        <f t="shared" si="0"/>
        <v>0</v>
      </c>
      <c r="L44" s="7" t="str">
        <f t="shared" si="2"/>
        <v/>
      </c>
    </row>
    <row r="45" spans="2:12">
      <c r="B45" s="24"/>
      <c r="C45" s="33" t="str">
        <f>IF(B45&lt;&gt;"",VLOOKUP(B45,Lookup!$A$2:$B$65,2,FALSE),"")</f>
        <v/>
      </c>
      <c r="D45" s="25"/>
      <c r="E45" s="26"/>
      <c r="F45" s="26"/>
      <c r="G45" s="27"/>
      <c r="H45" s="27"/>
      <c r="I45" s="44"/>
      <c r="J45" s="53" t="str">
        <f t="shared" si="1"/>
        <v/>
      </c>
      <c r="K45" s="23">
        <f t="shared" si="0"/>
        <v>0</v>
      </c>
      <c r="L45" s="7" t="str">
        <f t="shared" si="2"/>
        <v/>
      </c>
    </row>
    <row r="46" spans="2:12">
      <c r="B46" s="24"/>
      <c r="C46" s="33" t="str">
        <f>IF(B46&lt;&gt;"",VLOOKUP(B46,Lookup!$A$2:$B$65,2,FALSE),"")</f>
        <v/>
      </c>
      <c r="D46" s="25"/>
      <c r="E46" s="26"/>
      <c r="F46" s="26"/>
      <c r="G46" s="27"/>
      <c r="H46" s="27"/>
      <c r="I46" s="44"/>
      <c r="J46" s="53" t="str">
        <f t="shared" si="1"/>
        <v/>
      </c>
      <c r="K46" s="23">
        <f t="shared" si="0"/>
        <v>0</v>
      </c>
      <c r="L46" s="7" t="str">
        <f t="shared" si="2"/>
        <v/>
      </c>
    </row>
    <row r="47" spans="2:12">
      <c r="B47" s="24"/>
      <c r="C47" s="33" t="str">
        <f>IF(B47&lt;&gt;"",VLOOKUP(B47,Lookup!$A$2:$B$65,2,FALSE),"")</f>
        <v/>
      </c>
      <c r="D47" s="25"/>
      <c r="E47" s="26"/>
      <c r="F47" s="26"/>
      <c r="G47" s="27"/>
      <c r="H47" s="27"/>
      <c r="I47" s="44"/>
      <c r="J47" s="53" t="str">
        <f t="shared" si="1"/>
        <v/>
      </c>
      <c r="K47" s="23">
        <f t="shared" si="0"/>
        <v>0</v>
      </c>
      <c r="L47" s="7" t="str">
        <f t="shared" si="2"/>
        <v/>
      </c>
    </row>
    <row r="48" spans="2:12">
      <c r="B48" s="24"/>
      <c r="C48" s="33" t="str">
        <f>IF(B48&lt;&gt;"",VLOOKUP(B48,Lookup!$A$2:$B$65,2,FALSE),"")</f>
        <v/>
      </c>
      <c r="D48" s="25"/>
      <c r="E48" s="26"/>
      <c r="F48" s="26"/>
      <c r="G48" s="27"/>
      <c r="H48" s="27"/>
      <c r="I48" s="44"/>
      <c r="J48" s="53" t="str">
        <f t="shared" si="1"/>
        <v/>
      </c>
      <c r="K48" s="23">
        <f t="shared" si="0"/>
        <v>0</v>
      </c>
      <c r="L48" s="7" t="str">
        <f t="shared" si="2"/>
        <v/>
      </c>
    </row>
    <row r="49" spans="2:12">
      <c r="B49" s="24"/>
      <c r="C49" s="33" t="str">
        <f>IF(B49&lt;&gt;"",VLOOKUP(B49,Lookup!$A$2:$B$65,2,FALSE),"")</f>
        <v/>
      </c>
      <c r="D49" s="25"/>
      <c r="E49" s="26"/>
      <c r="F49" s="26"/>
      <c r="G49" s="27"/>
      <c r="H49" s="27"/>
      <c r="I49" s="44"/>
      <c r="J49" s="53" t="str">
        <f t="shared" si="1"/>
        <v/>
      </c>
      <c r="K49" s="23">
        <f t="shared" si="0"/>
        <v>0</v>
      </c>
      <c r="L49" s="7" t="str">
        <f t="shared" si="2"/>
        <v/>
      </c>
    </row>
    <row r="50" spans="2:12">
      <c r="B50" s="24"/>
      <c r="C50" s="33" t="str">
        <f>IF(B50&lt;&gt;"",VLOOKUP(B50,Lookup!$A$2:$B$65,2,FALSE),"")</f>
        <v/>
      </c>
      <c r="D50" s="25"/>
      <c r="E50" s="26"/>
      <c r="F50" s="26"/>
      <c r="G50" s="27"/>
      <c r="H50" s="27"/>
      <c r="I50" s="44"/>
      <c r="J50" s="53" t="str">
        <f t="shared" si="1"/>
        <v/>
      </c>
      <c r="K50" s="23">
        <f t="shared" si="0"/>
        <v>0</v>
      </c>
      <c r="L50" s="7"/>
    </row>
    <row r="51" spans="2:12">
      <c r="B51" s="28"/>
      <c r="C51" s="33" t="str">
        <f>IF(B51&lt;&gt;"",VLOOKUP(B51,Lookup!$A$2:$B$65,2,FALSE),"")</f>
        <v/>
      </c>
      <c r="D51" s="29"/>
      <c r="E51" s="30"/>
      <c r="F51" s="30"/>
      <c r="G51" s="31"/>
      <c r="H51" s="31"/>
      <c r="I51" s="45"/>
      <c r="J51" s="53" t="str">
        <f t="shared" si="1"/>
        <v/>
      </c>
      <c r="K51" s="23">
        <f t="shared" si="0"/>
        <v>0</v>
      </c>
      <c r="L51" s="7" t="str">
        <f t="shared" si="2"/>
        <v/>
      </c>
    </row>
    <row r="52" spans="2:12">
      <c r="B52" s="11" t="s">
        <v>87</v>
      </c>
      <c r="C52" s="20"/>
      <c r="D52" s="12"/>
      <c r="E52" s="13">
        <f>SUM(E4:E51)</f>
        <v>39000</v>
      </c>
      <c r="F52" s="14">
        <f>SUM(F4:F51)</f>
        <v>14900</v>
      </c>
      <c r="G52" s="11"/>
      <c r="H52" s="11"/>
      <c r="I52" s="11"/>
      <c r="J52" s="54"/>
    </row>
    <row r="53" spans="2:12">
      <c r="B53" s="11" t="s">
        <v>88</v>
      </c>
      <c r="C53" s="20"/>
      <c r="D53" s="12"/>
      <c r="E53" s="11"/>
      <c r="F53" s="14">
        <f>SUMIF(I4:I51,"Pending",E4:E51)</f>
        <v>22400</v>
      </c>
      <c r="G53" s="11"/>
      <c r="H53" s="11"/>
      <c r="I53" s="11"/>
      <c r="J53" s="54"/>
    </row>
    <row r="54" spans="2:12">
      <c r="B54" s="9"/>
      <c r="C54" s="19"/>
      <c r="D54" s="10"/>
      <c r="E54" s="9"/>
      <c r="F54" s="9"/>
      <c r="G54" s="9"/>
      <c r="H54" s="9"/>
      <c r="I54" s="9"/>
      <c r="J54" s="55"/>
    </row>
    <row r="55" spans="2:12">
      <c r="B55" s="15" t="s">
        <v>89</v>
      </c>
      <c r="C55" s="21"/>
      <c r="D55" s="16"/>
      <c r="E55" s="15"/>
      <c r="F55" s="17">
        <f>SUM(F52:F53)</f>
        <v>37300</v>
      </c>
      <c r="G55" s="15"/>
      <c r="H55" s="15"/>
      <c r="I55" s="15"/>
      <c r="J55" s="56"/>
    </row>
  </sheetData>
  <sheetProtection password="953E" sheet="1"/>
  <autoFilter ref="B3:J55"/>
  <phoneticPr fontId="10" type="noConversion"/>
  <conditionalFormatting sqref="B4:L51">
    <cfRule type="expression" dxfId="4" priority="1" stopIfTrue="1">
      <formula>$I4="Pending"</formula>
    </cfRule>
    <cfRule type="expression" dxfId="3" priority="2" stopIfTrue="1">
      <formula>$I4="Partial-Done"</formula>
    </cfRule>
  </conditionalFormatting>
  <dataValidations count="4">
    <dataValidation type="list" allowBlank="1" showInputMessage="1" showErrorMessage="1" sqref="G4:G51">
      <formula1>accounts</formula1>
    </dataValidation>
    <dataValidation type="list" allowBlank="1" showInputMessage="1" showErrorMessage="1" sqref="I4:I51">
      <formula1>"Pending,Partial-Done,Done"</formula1>
    </dataValidation>
    <dataValidation type="list" allowBlank="1" showInputMessage="1" showErrorMessage="1" sqref="H4:H51">
      <formula1>paymode</formula1>
    </dataValidation>
    <dataValidation type="list" allowBlank="1" showInputMessage="1" showErrorMessage="1" sqref="B4:B51">
      <formula1>Expense</formula1>
    </dataValidation>
  </dataValidations>
  <hyperlinks>
    <hyperlink ref="M8" location="Lookup!A60" tooltip="Add Expense and head" display="Add New Expense Head"/>
    <hyperlink ref="M4" location="Instructions!F12" tooltip="Instructions Page" display="Back to Instruction Page"/>
    <hyperlink ref="M5" location="Expense!C5" tooltip="Income &amp; Bank Entry" display="Back to Income and Bank Entry"/>
    <hyperlink ref="M6" location="Calc!C5" tooltip="Calculation and Analysis" display="Calculation and Analysis Sheet"/>
  </hyperlinks>
  <pageMargins left="0.7" right="0.7" top="0.75" bottom="0.75" header="0.3" footer="0.3"/>
  <pageSetup orientation="portrait" r:id="rId1"/>
  <ignoredErrors>
    <ignoredError sqref="L4:L34 L43:L51 E52:F55 M1" unlocked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B1:AR133"/>
  <sheetViews>
    <sheetView showGridLines="0" zoomScale="85" zoomScaleNormal="90" workbookViewId="0">
      <selection activeCell="N19" sqref="N19"/>
    </sheetView>
  </sheetViews>
  <sheetFormatPr defaultRowHeight="15"/>
  <cols>
    <col min="1" max="2" width="9.140625" style="62"/>
    <col min="3" max="3" width="21.7109375" style="62" customWidth="1"/>
    <col min="4" max="4" width="19.28515625" style="62" customWidth="1"/>
    <col min="5" max="5" width="17.140625" style="96" customWidth="1"/>
    <col min="6" max="6" width="16" style="62" customWidth="1"/>
    <col min="7" max="7" width="17.85546875" style="62" customWidth="1"/>
    <col min="8" max="8" width="11.5703125" style="62" customWidth="1"/>
    <col min="9" max="9" width="2.5703125" style="62" customWidth="1"/>
    <col min="10" max="11" width="11.7109375" style="62" customWidth="1"/>
    <col min="12" max="12" width="11.28515625" style="62" customWidth="1"/>
    <col min="13" max="13" width="12.7109375" style="62" customWidth="1"/>
    <col min="14" max="14" width="17" style="62" bestFit="1" customWidth="1"/>
    <col min="15" max="15" width="9.140625" style="62"/>
    <col min="16" max="16" width="21" style="62" customWidth="1"/>
    <col min="17" max="17" width="10.5703125" style="66" bestFit="1" customWidth="1"/>
    <col min="18" max="18" width="12.42578125" style="62" customWidth="1"/>
    <col min="19" max="23" width="9.140625" style="62"/>
    <col min="24" max="24" width="2.7109375" style="62" customWidth="1"/>
    <col min="25" max="32" width="2" style="62" customWidth="1"/>
    <col min="33" max="16384" width="9.140625" style="62"/>
  </cols>
  <sheetData>
    <row r="1" spans="2:18" ht="21.75" thickBot="1">
      <c r="C1" s="63" t="s">
        <v>54</v>
      </c>
      <c r="D1" s="64"/>
      <c r="E1" s="65">
        <f>Instructions!D14</f>
        <v>40360</v>
      </c>
    </row>
    <row r="2" spans="2:18" ht="21">
      <c r="B2" s="67"/>
      <c r="C2" s="68"/>
      <c r="D2" s="69"/>
      <c r="E2" s="70"/>
      <c r="F2" s="69"/>
      <c r="G2" s="69"/>
      <c r="H2" s="69"/>
      <c r="I2" s="69"/>
      <c r="J2" s="69"/>
      <c r="K2" s="69"/>
      <c r="L2" s="69"/>
      <c r="M2" s="69"/>
      <c r="N2" s="69"/>
      <c r="O2" s="71"/>
    </row>
    <row r="3" spans="2:18">
      <c r="B3" s="72"/>
      <c r="C3" s="73"/>
      <c r="D3" s="73"/>
      <c r="E3" s="74"/>
      <c r="F3" s="73"/>
      <c r="G3" s="73"/>
      <c r="H3" s="73"/>
      <c r="I3" s="73"/>
      <c r="J3" s="73"/>
      <c r="K3" s="73"/>
      <c r="L3" s="73"/>
      <c r="M3" s="73"/>
      <c r="N3" s="73"/>
      <c r="O3" s="75"/>
    </row>
    <row r="4" spans="2:18" ht="15.75">
      <c r="B4" s="72"/>
      <c r="C4" s="135" t="s">
        <v>142</v>
      </c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5"/>
    </row>
    <row r="5" spans="2:18">
      <c r="B5" s="72"/>
      <c r="C5" s="77" t="s">
        <v>85</v>
      </c>
      <c r="D5" s="77" t="s">
        <v>3</v>
      </c>
      <c r="E5" s="77" t="s">
        <v>98</v>
      </c>
      <c r="F5" s="77" t="s">
        <v>97</v>
      </c>
      <c r="G5" s="77" t="s">
        <v>4</v>
      </c>
      <c r="H5" s="78"/>
      <c r="I5" s="73"/>
      <c r="J5" s="73"/>
      <c r="K5" s="73"/>
      <c r="L5" s="73"/>
      <c r="M5" s="73"/>
      <c r="N5" s="73"/>
      <c r="O5" s="75"/>
    </row>
    <row r="6" spans="2:18">
      <c r="B6" s="72"/>
      <c r="C6" s="136" t="str">
        <f>Entry!G5</f>
        <v>IA-HDFC-John</v>
      </c>
      <c r="D6" s="80">
        <f>INDEX(Entry!F5:G18,MATCH(Calc!C6,Entry!G5:G18,0),1)</f>
        <v>2000</v>
      </c>
      <c r="E6" s="81">
        <f>INDEX(Entry!E5:G20,MATCH(C6,Entry!G5:G20,0),1)</f>
        <v>30000</v>
      </c>
      <c r="F6" s="81">
        <f>(E6+D6)-D26</f>
        <v>25500</v>
      </c>
      <c r="G6" s="81">
        <f>(E6+D6)-G26</f>
        <v>9100</v>
      </c>
      <c r="H6" s="82"/>
      <c r="I6" s="73"/>
      <c r="J6" s="73"/>
      <c r="K6" s="73"/>
      <c r="L6" s="73"/>
      <c r="M6" s="73"/>
      <c r="N6" s="83"/>
      <c r="O6" s="75"/>
    </row>
    <row r="7" spans="2:18">
      <c r="B7" s="72"/>
      <c r="C7" s="84" t="str">
        <f>Entry!G6</f>
        <v>IA-CITI-Jenny</v>
      </c>
      <c r="D7" s="85">
        <f>INDEX(Entry!F6:G19,MATCH(Calc!C7,Entry!G6:G19,0),1)</f>
        <v>1000</v>
      </c>
      <c r="E7" s="86">
        <f>INDEX(Entry!E6:G21,MATCH(C7,Entry!G6:G21,0),1)</f>
        <v>22000</v>
      </c>
      <c r="F7" s="86">
        <f>(E7+D7)-D27</f>
        <v>15900</v>
      </c>
      <c r="G7" s="86">
        <f>(E7+D7)-G27</f>
        <v>12100</v>
      </c>
      <c r="H7" s="82"/>
      <c r="I7" s="73"/>
      <c r="J7" s="73"/>
      <c r="K7" s="73"/>
      <c r="L7" s="73"/>
      <c r="M7" s="73"/>
      <c r="N7" s="83"/>
      <c r="O7" s="75"/>
    </row>
    <row r="8" spans="2:18">
      <c r="B8" s="174" t="s">
        <v>176</v>
      </c>
      <c r="C8" s="79" t="str">
        <f>Entry!G11</f>
        <v>CC-CITI-John-Master</v>
      </c>
      <c r="D8" s="80">
        <f>INDEX(Entry!F7:G20,MATCH(Calc!C8,Entry!G7:G20,0),1)</f>
        <v>0</v>
      </c>
      <c r="E8" s="81"/>
      <c r="F8" s="81">
        <f>-((E8+D8)-D28)</f>
        <v>0</v>
      </c>
      <c r="G8" s="81">
        <f>((E8+D8)-G28)</f>
        <v>-3000</v>
      </c>
      <c r="H8" s="82"/>
      <c r="I8" s="73"/>
      <c r="J8" s="73"/>
      <c r="K8" s="73"/>
      <c r="L8" s="73"/>
      <c r="M8" s="73"/>
      <c r="N8" s="83"/>
      <c r="O8" s="75"/>
    </row>
    <row r="9" spans="2:18">
      <c r="B9" s="174" t="s">
        <v>176</v>
      </c>
      <c r="C9" s="84" t="str">
        <f>Entry!G12</f>
        <v>CC-CITI-Jenny</v>
      </c>
      <c r="D9" s="85">
        <f>INDEX(Entry!F7:G21,MATCH(Calc!C9,Entry!G7:G21,0),1)</f>
        <v>0</v>
      </c>
      <c r="E9" s="86"/>
      <c r="F9" s="86">
        <f>-((E9+D9)-D29)</f>
        <v>500</v>
      </c>
      <c r="G9" s="86">
        <f>-((E9+D9)-G29)</f>
        <v>500</v>
      </c>
      <c r="H9" s="82"/>
      <c r="I9" s="73"/>
      <c r="J9" s="73"/>
      <c r="K9" s="73"/>
      <c r="L9" s="73"/>
      <c r="M9" s="73"/>
      <c r="N9" s="83"/>
      <c r="O9" s="75"/>
    </row>
    <row r="10" spans="2:18">
      <c r="B10" s="72"/>
      <c r="C10" s="79" t="str">
        <f>Entry!G17</f>
        <v>SB-ICICI-John</v>
      </c>
      <c r="D10" s="80">
        <f>INDEX(Entry!F8:G22,MATCH(Calc!C10,Entry!G8:G22,0),1)</f>
        <v>2000</v>
      </c>
      <c r="E10" s="81"/>
      <c r="F10" s="81">
        <f>(E10+D10)-D30</f>
        <v>2000</v>
      </c>
      <c r="G10" s="81">
        <f>(E10+D10)-G30</f>
        <v>2000</v>
      </c>
      <c r="H10" s="82"/>
      <c r="I10" s="73"/>
      <c r="J10" s="73"/>
      <c r="K10" s="73"/>
      <c r="L10" s="73"/>
      <c r="M10" s="73"/>
      <c r="N10" s="83"/>
      <c r="O10" s="75"/>
    </row>
    <row r="11" spans="2:18">
      <c r="B11" s="72"/>
      <c r="C11" s="84" t="str">
        <f>Entry!G18</f>
        <v>SB-SBI-Jenny</v>
      </c>
      <c r="D11" s="85">
        <f>INDEX(Entry!F9:G23,MATCH(Calc!C11,Entry!G9:G23,0),1)</f>
        <v>1000</v>
      </c>
      <c r="E11" s="86"/>
      <c r="F11" s="86">
        <f>(E11+D11)-D31</f>
        <v>1000</v>
      </c>
      <c r="G11" s="86">
        <f>(E11+D11)-G31</f>
        <v>1000</v>
      </c>
      <c r="H11" s="82"/>
      <c r="I11" s="73"/>
      <c r="J11" s="73"/>
      <c r="K11" s="73"/>
      <c r="L11" s="73"/>
      <c r="M11" s="73"/>
      <c r="N11" s="83"/>
      <c r="O11" s="75"/>
    </row>
    <row r="12" spans="2:18">
      <c r="B12" s="72"/>
      <c r="C12" s="87" t="s">
        <v>76</v>
      </c>
      <c r="D12" s="88">
        <f>SUM(D6:D11)</f>
        <v>6000</v>
      </c>
      <c r="E12" s="88">
        <f>SUM(E6:E11)</f>
        <v>52000</v>
      </c>
      <c r="F12" s="88">
        <f>SUM(F6:F11)</f>
        <v>44900</v>
      </c>
      <c r="G12" s="88">
        <f>SUM(G6:G11)</f>
        <v>21700</v>
      </c>
      <c r="H12" s="89"/>
      <c r="I12" s="73"/>
      <c r="J12" s="73"/>
      <c r="K12" s="73"/>
      <c r="L12" s="73"/>
      <c r="M12" s="73"/>
      <c r="N12" s="73"/>
      <c r="O12" s="75"/>
    </row>
    <row r="13" spans="2:18">
      <c r="B13" s="72"/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5"/>
    </row>
    <row r="14" spans="2:18">
      <c r="B14" s="72"/>
      <c r="C14" s="73"/>
      <c r="D14" s="73"/>
      <c r="E14" s="74"/>
      <c r="F14" s="73"/>
      <c r="G14" s="73"/>
      <c r="H14" s="73"/>
      <c r="I14" s="73"/>
      <c r="J14" s="73"/>
      <c r="K14" s="73"/>
      <c r="L14" s="73"/>
      <c r="M14" s="73"/>
      <c r="N14" s="73"/>
      <c r="O14" s="75"/>
    </row>
    <row r="15" spans="2:18">
      <c r="B15" s="72"/>
      <c r="C15" s="73" t="s">
        <v>177</v>
      </c>
      <c r="D15" s="73"/>
      <c r="E15" s="74"/>
      <c r="F15" s="73"/>
      <c r="G15" s="73"/>
      <c r="H15" s="73"/>
      <c r="I15" s="73"/>
      <c r="J15" s="73"/>
      <c r="K15" s="73"/>
      <c r="L15" s="73"/>
      <c r="M15" s="73"/>
      <c r="N15" s="73"/>
      <c r="O15" s="75"/>
    </row>
    <row r="16" spans="2:18">
      <c r="B16" s="72"/>
      <c r="C16" s="73"/>
      <c r="D16" s="73"/>
      <c r="E16" s="74"/>
      <c r="F16" s="73"/>
      <c r="G16" s="73"/>
      <c r="H16" s="73"/>
      <c r="I16" s="73"/>
      <c r="J16" s="73"/>
      <c r="K16" s="73"/>
      <c r="L16" s="73"/>
      <c r="M16" s="73"/>
      <c r="N16" s="73"/>
      <c r="O16" s="75"/>
      <c r="Q16" s="62"/>
      <c r="R16" s="66"/>
    </row>
    <row r="17" spans="2:18">
      <c r="B17" s="72"/>
      <c r="C17" s="73"/>
      <c r="D17" s="73"/>
      <c r="E17" s="74"/>
      <c r="F17" s="73"/>
      <c r="G17" s="73"/>
      <c r="H17" s="73"/>
      <c r="I17" s="82"/>
      <c r="J17" s="73"/>
      <c r="K17" s="73"/>
      <c r="L17" s="73"/>
      <c r="M17" s="73"/>
      <c r="N17" s="73"/>
      <c r="O17" s="75"/>
      <c r="Q17" s="62"/>
      <c r="R17" s="66"/>
    </row>
    <row r="18" spans="2:18">
      <c r="B18" s="72"/>
      <c r="C18" s="73"/>
      <c r="D18" s="73"/>
      <c r="E18" s="74"/>
      <c r="F18" s="73"/>
      <c r="G18" s="73"/>
      <c r="H18" s="73"/>
      <c r="I18" s="82"/>
      <c r="J18" s="73"/>
      <c r="K18" s="73"/>
      <c r="L18" s="73"/>
      <c r="M18" s="73"/>
      <c r="N18" s="73"/>
      <c r="O18" s="75"/>
      <c r="Q18" s="62"/>
      <c r="R18" s="66"/>
    </row>
    <row r="19" spans="2:18">
      <c r="B19" s="72"/>
      <c r="C19" s="73"/>
      <c r="D19" s="73"/>
      <c r="E19" s="74"/>
      <c r="F19" s="73"/>
      <c r="G19" s="73"/>
      <c r="H19" s="73"/>
      <c r="I19" s="82"/>
      <c r="J19" s="90" t="s">
        <v>124</v>
      </c>
      <c r="K19" s="73"/>
      <c r="L19" s="73"/>
      <c r="M19" s="73"/>
      <c r="N19" s="73"/>
      <c r="O19" s="75"/>
      <c r="Q19" s="62"/>
      <c r="R19" s="66"/>
    </row>
    <row r="20" spans="2:18">
      <c r="B20" s="72"/>
      <c r="C20" s="73"/>
      <c r="D20" s="73"/>
      <c r="E20" s="74"/>
      <c r="F20" s="73"/>
      <c r="G20" s="73"/>
      <c r="H20" s="73"/>
      <c r="I20" s="82"/>
      <c r="J20" s="60" t="s">
        <v>121</v>
      </c>
      <c r="K20" s="73"/>
      <c r="L20" s="73"/>
      <c r="M20" s="73"/>
      <c r="N20" s="73"/>
      <c r="O20" s="75"/>
      <c r="Q20" s="62"/>
      <c r="R20" s="66"/>
    </row>
    <row r="21" spans="2:18" ht="15.75" thickBot="1">
      <c r="B21" s="91"/>
      <c r="C21" s="92"/>
      <c r="D21" s="92"/>
      <c r="E21" s="93"/>
      <c r="F21" s="92"/>
      <c r="G21" s="92"/>
      <c r="H21" s="92"/>
      <c r="I21" s="94"/>
      <c r="J21" s="92"/>
      <c r="K21" s="92"/>
      <c r="L21" s="92"/>
      <c r="M21" s="92"/>
      <c r="N21" s="92"/>
      <c r="O21" s="95"/>
      <c r="Q21" s="62"/>
      <c r="R21" s="66"/>
    </row>
    <row r="22" spans="2:18" ht="15.75" thickBot="1">
      <c r="I22" s="97"/>
      <c r="Q22" s="62"/>
      <c r="R22" s="66"/>
    </row>
    <row r="23" spans="2:18">
      <c r="B23" s="67"/>
      <c r="C23" s="69"/>
      <c r="D23" s="69"/>
      <c r="E23" s="98"/>
      <c r="F23" s="69"/>
      <c r="G23" s="69"/>
      <c r="H23" s="69"/>
      <c r="I23" s="99"/>
      <c r="J23" s="69"/>
      <c r="K23" s="69"/>
      <c r="L23" s="69"/>
      <c r="M23" s="69"/>
      <c r="N23" s="69"/>
      <c r="O23" s="71"/>
      <c r="Q23" s="62"/>
      <c r="R23" s="66"/>
    </row>
    <row r="24" spans="2:18" ht="15.75">
      <c r="B24" s="72"/>
      <c r="C24" s="135" t="s">
        <v>99</v>
      </c>
      <c r="D24" s="73"/>
      <c r="E24" s="73"/>
      <c r="F24" s="73"/>
      <c r="G24" s="73"/>
      <c r="H24" s="73"/>
      <c r="I24" s="82"/>
      <c r="J24" s="73"/>
      <c r="K24" s="73"/>
      <c r="L24" s="73"/>
      <c r="M24" s="73"/>
      <c r="N24" s="73"/>
      <c r="O24" s="75"/>
      <c r="Q24" s="62"/>
      <c r="R24" s="66"/>
    </row>
    <row r="25" spans="2:18">
      <c r="B25" s="72"/>
      <c r="C25" s="100" t="s">
        <v>85</v>
      </c>
      <c r="D25" s="101" t="s">
        <v>73</v>
      </c>
      <c r="E25" s="101" t="s">
        <v>118</v>
      </c>
      <c r="F25" s="102" t="s">
        <v>74</v>
      </c>
      <c r="G25" s="101" t="s">
        <v>75</v>
      </c>
      <c r="H25" s="73"/>
      <c r="I25" s="82"/>
      <c r="J25" s="73"/>
      <c r="K25" s="73"/>
      <c r="L25" s="73"/>
      <c r="M25" s="73"/>
      <c r="N25" s="73"/>
      <c r="O25" s="75"/>
      <c r="Q25" s="62"/>
      <c r="R25" s="66"/>
    </row>
    <row r="26" spans="2:18">
      <c r="B26" s="72"/>
      <c r="C26" s="136" t="str">
        <f t="shared" ref="C26:C31" si="0">C6</f>
        <v>IA-HDFC-John</v>
      </c>
      <c r="D26" s="80">
        <f>SUMPRODUCT((Expense!$G$4:$G$51=C6)*(Expense!$F$4:$F$51)*(Expense!$I$4:$I$51=$D$25))</f>
        <v>6500</v>
      </c>
      <c r="E26" s="80">
        <f>SUMPRODUCT((Expense!$G$4:$G$51=C6)*(Expense!$F$4:$F$51)*(Expense!$I$4:$I$51=$E$25))</f>
        <v>0</v>
      </c>
      <c r="F26" s="80">
        <f>SUMPRODUCT((Expense!$G$4:$G$51=C6)*(Expense!$E$4:$E$51)*(Expense!$I$4:$I$51=$F$25))</f>
        <v>16400</v>
      </c>
      <c r="G26" s="81">
        <f t="shared" ref="G26:G31" si="1">SUM(D26:F26)</f>
        <v>22900</v>
      </c>
      <c r="H26" s="73"/>
      <c r="I26" s="82"/>
      <c r="J26" s="73"/>
      <c r="K26" s="73"/>
      <c r="L26" s="73"/>
      <c r="M26" s="73"/>
      <c r="N26" s="73"/>
      <c r="O26" s="75"/>
      <c r="Q26" s="62"/>
      <c r="R26" s="66"/>
    </row>
    <row r="27" spans="2:18">
      <c r="B27" s="72"/>
      <c r="C27" s="103" t="str">
        <f t="shared" si="0"/>
        <v>IA-CITI-Jenny</v>
      </c>
      <c r="D27" s="104">
        <f>SUMPRODUCT((Expense!$G$4:$G$51=C7)*(Expense!$F$4:$F$51)*(Expense!$I$4:$I$51=$D$25))</f>
        <v>7100</v>
      </c>
      <c r="E27" s="104">
        <f>SUMPRODUCT((Expense!$G$4:$G$51=C7)*(Expense!$F$4:$F$51)*(Expense!$I$4:$I$51=$E$25))</f>
        <v>800</v>
      </c>
      <c r="F27" s="104">
        <f>SUMPRODUCT((Expense!$G$4:$G$51=C7)*(Expense!$E$4:$E$51)*(Expense!$I$4:$I$51=$F$25))</f>
        <v>3000</v>
      </c>
      <c r="G27" s="105">
        <f t="shared" si="1"/>
        <v>10900</v>
      </c>
      <c r="H27" s="73"/>
      <c r="I27" s="82"/>
      <c r="J27" s="73"/>
      <c r="K27" s="73"/>
      <c r="L27" s="73"/>
      <c r="M27" s="73"/>
      <c r="N27" s="73"/>
      <c r="O27" s="75"/>
      <c r="Q27" s="62"/>
      <c r="R27" s="66"/>
    </row>
    <row r="28" spans="2:18">
      <c r="B28" s="72"/>
      <c r="C28" s="79" t="str">
        <f t="shared" si="0"/>
        <v>CC-CITI-John-Master</v>
      </c>
      <c r="D28" s="80">
        <f>SUMPRODUCT((Expense!$G$4:$G$51=C8)*(Expense!$F$4:$F$51)*(Expense!$I$4:$I$51=$D$25))</f>
        <v>0</v>
      </c>
      <c r="E28" s="80">
        <f>SUMPRODUCT((Expense!$G$4:$G$51=C8)*(Expense!$F$4:$F$51)*(Expense!$I$4:$I$51=$E$25))</f>
        <v>0</v>
      </c>
      <c r="F28" s="80">
        <f>SUMPRODUCT((Expense!$G$4:$G$51=C8)*(Expense!$E$4:$E$51)*(Expense!$I$4:$I$51=$F$25))</f>
        <v>3000</v>
      </c>
      <c r="G28" s="81">
        <f t="shared" si="1"/>
        <v>3000</v>
      </c>
      <c r="H28" s="73"/>
      <c r="I28" s="82"/>
      <c r="J28" s="73"/>
      <c r="K28" s="73"/>
      <c r="L28" s="73"/>
      <c r="M28" s="73"/>
      <c r="N28" s="73"/>
      <c r="O28" s="75"/>
      <c r="Q28" s="62"/>
      <c r="R28" s="66"/>
    </row>
    <row r="29" spans="2:18">
      <c r="B29" s="72"/>
      <c r="C29" s="103" t="str">
        <f t="shared" si="0"/>
        <v>CC-CITI-Jenny</v>
      </c>
      <c r="D29" s="104">
        <f>SUMPRODUCT((Expense!$G$4:$G$51=C9)*(Expense!$F$4:$F$51)*(Expense!$I$4:$I$51=$D$25))</f>
        <v>500</v>
      </c>
      <c r="E29" s="104">
        <f>SUMPRODUCT((Expense!$G$4:$G$51=C9)*(Expense!$F$4:$F$51)*(Expense!$I$4:$I$51=$E$25))</f>
        <v>0</v>
      </c>
      <c r="F29" s="104">
        <f>SUMPRODUCT((Expense!$G$4:$G$51=C9)*(Expense!$E$4:$E$51)*(Expense!$I$4:$I$51=$F$25))</f>
        <v>0</v>
      </c>
      <c r="G29" s="105">
        <f t="shared" si="1"/>
        <v>500</v>
      </c>
      <c r="H29" s="73"/>
      <c r="I29" s="82"/>
      <c r="J29" s="73"/>
      <c r="K29" s="73"/>
      <c r="L29" s="73"/>
      <c r="M29" s="73"/>
      <c r="N29" s="73"/>
      <c r="O29" s="75"/>
      <c r="Q29" s="62"/>
      <c r="R29" s="66"/>
    </row>
    <row r="30" spans="2:18">
      <c r="B30" s="72"/>
      <c r="C30" s="79" t="str">
        <f t="shared" si="0"/>
        <v>SB-ICICI-John</v>
      </c>
      <c r="D30" s="80">
        <f>SUMPRODUCT((Expense!$G$4:$G$51=C10)*(Expense!$F$4:$F$51)*(Expense!$I$4:$I$51=$D$25))</f>
        <v>0</v>
      </c>
      <c r="E30" s="80">
        <f>SUMPRODUCT((Expense!$G$4:$G$51=C10)*(Expense!$F$4:$F$51)*(Expense!$I$4:$I$51=$E$25))</f>
        <v>0</v>
      </c>
      <c r="F30" s="80">
        <f>SUMPRODUCT((Expense!$G$4:$G$51=C10)*(Expense!$E$4:$E$51)*(Expense!$I$4:$I$51=$F$25))</f>
        <v>0</v>
      </c>
      <c r="G30" s="81">
        <f t="shared" si="1"/>
        <v>0</v>
      </c>
      <c r="H30" s="73"/>
      <c r="I30" s="82"/>
      <c r="J30" s="73"/>
      <c r="K30" s="73"/>
      <c r="L30" s="73"/>
      <c r="M30" s="73"/>
      <c r="N30" s="73"/>
      <c r="O30" s="75"/>
      <c r="Q30" s="62"/>
      <c r="R30" s="66"/>
    </row>
    <row r="31" spans="2:18">
      <c r="B31" s="72"/>
      <c r="C31" s="103" t="str">
        <f t="shared" si="0"/>
        <v>SB-SBI-Jenny</v>
      </c>
      <c r="D31" s="104">
        <f>SUMPRODUCT((Expense!$G$4:$G$51=C11)*(Expense!$F$4:$F$51)*(Expense!$I$4:$I$51=$D$25))</f>
        <v>0</v>
      </c>
      <c r="E31" s="104">
        <f>SUMPRODUCT((Expense!$G$4:$G$51=C11)*(Expense!$F$4:$F$51)*(Expense!$I$4:$I$51=$E$25))</f>
        <v>0</v>
      </c>
      <c r="F31" s="104">
        <f>SUMPRODUCT((Expense!$G$4:$G$51=C11)*(Expense!$E$4:$E$51)*(Expense!$I$4:$I$51=$F$25))</f>
        <v>0</v>
      </c>
      <c r="G31" s="105">
        <f t="shared" si="1"/>
        <v>0</v>
      </c>
      <c r="H31" s="73"/>
      <c r="I31" s="82"/>
      <c r="J31" s="73"/>
      <c r="K31" s="73"/>
      <c r="L31" s="73"/>
      <c r="M31" s="73"/>
      <c r="N31" s="73"/>
      <c r="O31" s="75"/>
      <c r="Q31" s="62"/>
      <c r="R31" s="66"/>
    </row>
    <row r="32" spans="2:18">
      <c r="B32" s="72"/>
      <c r="C32" s="100" t="s">
        <v>76</v>
      </c>
      <c r="D32" s="106">
        <f>SUM(D26:D31)</f>
        <v>14100</v>
      </c>
      <c r="E32" s="106">
        <f>SUM(E26:E31)</f>
        <v>800</v>
      </c>
      <c r="F32" s="106">
        <f>SUM(F26:F31)</f>
        <v>22400</v>
      </c>
      <c r="G32" s="106">
        <f>SUM(G26:G31)</f>
        <v>37300</v>
      </c>
      <c r="H32" s="73"/>
      <c r="I32" s="82"/>
      <c r="J32" s="73"/>
      <c r="K32" s="73"/>
      <c r="L32" s="73"/>
      <c r="M32" s="73"/>
      <c r="N32" s="73"/>
      <c r="O32" s="75"/>
      <c r="Q32" s="62"/>
      <c r="R32" s="66"/>
    </row>
    <row r="33" spans="2:18">
      <c r="B33" s="72"/>
      <c r="C33" s="73"/>
      <c r="D33" s="73"/>
      <c r="E33" s="74"/>
      <c r="F33" s="73"/>
      <c r="G33" s="73"/>
      <c r="H33" s="73"/>
      <c r="I33" s="82"/>
      <c r="J33" s="73"/>
      <c r="K33" s="73"/>
      <c r="L33" s="73"/>
      <c r="M33" s="73"/>
      <c r="N33" s="73"/>
      <c r="O33" s="75"/>
      <c r="Q33" s="62"/>
      <c r="R33" s="66"/>
    </row>
    <row r="34" spans="2:18">
      <c r="B34" s="72"/>
      <c r="C34" s="73"/>
      <c r="D34" s="73"/>
      <c r="E34" s="74"/>
      <c r="F34" s="73"/>
      <c r="G34" s="73"/>
      <c r="H34" s="73"/>
      <c r="I34" s="73"/>
      <c r="J34" s="73"/>
      <c r="K34" s="73"/>
      <c r="L34" s="73"/>
      <c r="M34" s="73"/>
      <c r="N34" s="73"/>
      <c r="O34" s="75"/>
    </row>
    <row r="35" spans="2:18" ht="16.5" thickBot="1">
      <c r="B35" s="72"/>
      <c r="C35" s="76" t="s">
        <v>106</v>
      </c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5"/>
    </row>
    <row r="36" spans="2:18" ht="15.75" thickBot="1">
      <c r="B36" s="72"/>
      <c r="C36" s="107" t="s">
        <v>69</v>
      </c>
      <c r="D36" s="108" t="s">
        <v>85</v>
      </c>
      <c r="E36" s="108" t="s">
        <v>73</v>
      </c>
      <c r="F36" s="108" t="s">
        <v>118</v>
      </c>
      <c r="G36" s="109" t="s">
        <v>74</v>
      </c>
      <c r="H36" s="110" t="s">
        <v>75</v>
      </c>
      <c r="I36" s="73"/>
      <c r="J36" s="73"/>
      <c r="K36" s="73"/>
      <c r="L36" s="73"/>
      <c r="M36" s="73"/>
      <c r="N36" s="73"/>
      <c r="O36" s="75"/>
    </row>
    <row r="37" spans="2:18">
      <c r="B37" s="72"/>
      <c r="C37" s="111" t="s">
        <v>72</v>
      </c>
      <c r="D37" s="112" t="str">
        <f t="shared" ref="D37:D42" si="2">C6</f>
        <v>IA-HDFC-John</v>
      </c>
      <c r="E37" s="137">
        <f>SUMPRODUCT((Expense!$H$4:$H$51=C37)*(Expense!$G$4:$G$51=D37)*(Expense!$F$4:$F$51)*(Expense!$I$4:$I$51=$E$36))</f>
        <v>0</v>
      </c>
      <c r="F37" s="113">
        <f>SUMPRODUCT((Expense!$H$4:$H$51=C37)*(Expense!$G$4:$G$51=D37)*(Expense!$F$4:$F$51)*(Expense!$I$4:$I$51=$F$36))</f>
        <v>0</v>
      </c>
      <c r="G37" s="113">
        <f>SUMPRODUCT((Expense!$H$4:$H$51=C37)*(Expense!$G$4:$G$51=D37)*(Expense!$E$4:$E$51)*(Expense!$I$4:$I$51=$G$36))</f>
        <v>3000</v>
      </c>
      <c r="H37" s="114">
        <f t="shared" ref="H37:H42" si="3">SUM(E37:G37)</f>
        <v>3000</v>
      </c>
      <c r="I37" s="73"/>
      <c r="J37" s="73"/>
      <c r="K37" s="73"/>
      <c r="L37" s="73"/>
      <c r="M37" s="73"/>
      <c r="N37" s="73"/>
      <c r="O37" s="75"/>
    </row>
    <row r="38" spans="2:18">
      <c r="B38" s="72"/>
      <c r="C38" s="115" t="s">
        <v>72</v>
      </c>
      <c r="D38" s="79" t="str">
        <f t="shared" si="2"/>
        <v>IA-CITI-Jenny</v>
      </c>
      <c r="E38" s="80">
        <f>SUMPRODUCT((Expense!$H$4:$H$51=C38)*(Expense!$G$4:$G$51=D38)*(Expense!$F$4:$F$51)*(Expense!$I$4:$I$51=$E$36))</f>
        <v>300</v>
      </c>
      <c r="F38" s="113">
        <f>SUMPRODUCT((Expense!$H$4:$H$51=C38)*(Expense!$G$4:$G$51=D38)*(Expense!$F$4:$F$51)*(Expense!$I$4:$I$51=$F$36))</f>
        <v>0</v>
      </c>
      <c r="G38" s="80">
        <f>SUMPRODUCT((Expense!$H$4:$H$51=C38)*(Expense!$G$4:$G$51=D38)*(Expense!$E$4:$E$51)*(Expense!$I$4:$I$51=$G$36))</f>
        <v>3000</v>
      </c>
      <c r="H38" s="114">
        <f t="shared" si="3"/>
        <v>3300</v>
      </c>
      <c r="I38" s="73"/>
      <c r="J38" s="73"/>
      <c r="K38" s="73"/>
      <c r="L38" s="73"/>
      <c r="M38" s="73"/>
      <c r="N38" s="73"/>
      <c r="O38" s="75"/>
    </row>
    <row r="39" spans="2:18">
      <c r="B39" s="72"/>
      <c r="C39" s="72" t="s">
        <v>72</v>
      </c>
      <c r="D39" s="79" t="str">
        <f t="shared" si="2"/>
        <v>CC-CITI-John-Master</v>
      </c>
      <c r="E39" s="80">
        <f>SUMPRODUCT((Expense!$H$4:$H$51=C39)*(Expense!$G$4:$G$51=D39)*(Expense!$F$4:$F$51)*(Expense!$I$4:$I$51=$E$36))</f>
        <v>0</v>
      </c>
      <c r="F39" s="113">
        <f>SUMPRODUCT((Expense!$H$4:$H$51=C39)*(Expense!$G$4:$G$51=D39)*(Expense!$F$4:$F$51)*(Expense!$I$4:$I$51=$F$36))</f>
        <v>0</v>
      </c>
      <c r="G39" s="80">
        <f>SUMPRODUCT((Expense!$H$4:$H$51=C39)*(Expense!$G$4:$G$51=D39)*(Expense!$E$4:$E$51)*(Expense!$I$4:$I$51=$G$36))</f>
        <v>0</v>
      </c>
      <c r="H39" s="114">
        <f t="shared" si="3"/>
        <v>0</v>
      </c>
      <c r="I39" s="73"/>
      <c r="J39" s="73"/>
      <c r="K39" s="73"/>
      <c r="L39" s="73"/>
      <c r="M39" s="73"/>
      <c r="N39" s="73"/>
      <c r="O39" s="75"/>
    </row>
    <row r="40" spans="2:18">
      <c r="B40" s="72"/>
      <c r="C40" s="115" t="s">
        <v>72</v>
      </c>
      <c r="D40" s="79" t="str">
        <f t="shared" si="2"/>
        <v>CC-CITI-Jenny</v>
      </c>
      <c r="E40" s="80">
        <f>SUMPRODUCT((Expense!$H$4:$H$51=C40)*(Expense!$G$4:$G$51=D40)*(Expense!$F$4:$F$51)*(Expense!$I$4:$I$51=$E$36))</f>
        <v>0</v>
      </c>
      <c r="F40" s="113">
        <f>SUMPRODUCT((Expense!$H$4:$H$51=C40)*(Expense!$G$4:$G$51=D40)*(Expense!$F$4:$F$51)*(Expense!$I$4:$I$51=$F$36))</f>
        <v>0</v>
      </c>
      <c r="G40" s="80">
        <f>SUMPRODUCT((Expense!$H$4:$H$51=C40)*(Expense!$G$4:$G$51=D40)*(Expense!$E$4:$E$51)*(Expense!$I$4:$I$51=$G$36))</f>
        <v>0</v>
      </c>
      <c r="H40" s="114">
        <f t="shared" si="3"/>
        <v>0</v>
      </c>
      <c r="I40" s="73"/>
      <c r="J40" s="73"/>
      <c r="K40" s="73"/>
      <c r="L40" s="73"/>
      <c r="M40" s="73"/>
      <c r="N40" s="73"/>
      <c r="O40" s="75"/>
    </row>
    <row r="41" spans="2:18">
      <c r="B41" s="72"/>
      <c r="C41" s="115" t="s">
        <v>72</v>
      </c>
      <c r="D41" s="79" t="str">
        <f t="shared" si="2"/>
        <v>SB-ICICI-John</v>
      </c>
      <c r="E41" s="80">
        <f>SUMPRODUCT((Expense!$H$4:$H$51=C41)*(Expense!$G$4:$G$51=D41)*(Expense!$F$4:$F$51)*(Expense!$I$4:$I$51=$E$36))</f>
        <v>0</v>
      </c>
      <c r="F41" s="113">
        <f>SUMPRODUCT((Expense!$H$4:$H$51=C41)*(Expense!$G$4:$G$51=D41)*(Expense!$F$4:$F$51)*(Expense!$I$4:$I$51=$F$36))</f>
        <v>0</v>
      </c>
      <c r="G41" s="80">
        <f>SUMPRODUCT((Expense!$H$4:$H$51=C41)*(Expense!$G$4:$G$51=D41)*(Expense!$E$4:$E$51)*(Expense!$I$4:$I$51=$G$36))</f>
        <v>0</v>
      </c>
      <c r="H41" s="114">
        <f t="shared" si="3"/>
        <v>0</v>
      </c>
      <c r="I41" s="73"/>
      <c r="J41" s="73"/>
      <c r="K41" s="73"/>
      <c r="L41" s="73"/>
      <c r="M41" s="73"/>
      <c r="N41" s="73"/>
      <c r="O41" s="75"/>
    </row>
    <row r="42" spans="2:18" ht="15.75" thickBot="1">
      <c r="B42" s="72"/>
      <c r="C42" s="115" t="s">
        <v>72</v>
      </c>
      <c r="D42" s="116" t="str">
        <f t="shared" si="2"/>
        <v>SB-SBI-Jenny</v>
      </c>
      <c r="E42" s="117">
        <f>SUMPRODUCT((Expense!$H$4:$H$51=C42)*(Expense!$G$4:$G$51=D42)*(Expense!$F$4:$F$51)*(Expense!$I$4:$I$51=$E$36))</f>
        <v>0</v>
      </c>
      <c r="F42" s="113">
        <f>SUMPRODUCT((Expense!$H$4:$H$51=C42)*(Expense!$G$4:$G$51=D42)*(Expense!$F$4:$F$51)*(Expense!$I$4:$I$51=$F$36))</f>
        <v>0</v>
      </c>
      <c r="G42" s="117">
        <f>SUMPRODUCT((Expense!$H$4:$H$51=C42)*(Expense!$G$4:$G$51=D42)*(Expense!$E$4:$E$51)*(Expense!$I$4:$I$51=$G$36))</f>
        <v>0</v>
      </c>
      <c r="H42" s="114">
        <f t="shared" si="3"/>
        <v>0</v>
      </c>
      <c r="I42" s="73"/>
      <c r="J42" s="73"/>
      <c r="K42" s="73"/>
      <c r="L42" s="73"/>
      <c r="M42" s="73"/>
      <c r="N42" s="73"/>
      <c r="O42" s="75"/>
    </row>
    <row r="43" spans="2:18" ht="15.75" thickBot="1">
      <c r="B43" s="72"/>
      <c r="C43" s="182" t="s">
        <v>100</v>
      </c>
      <c r="D43" s="183"/>
      <c r="E43" s="118">
        <f>SUM(E37:E40)</f>
        <v>300</v>
      </c>
      <c r="F43" s="118">
        <f>SUM(F37:F40)</f>
        <v>0</v>
      </c>
      <c r="G43" s="118">
        <f>SUM(G37:G40)</f>
        <v>6000</v>
      </c>
      <c r="H43" s="119">
        <f>SUM(H37:H40)</f>
        <v>6300</v>
      </c>
      <c r="I43" s="73"/>
      <c r="J43" s="73"/>
      <c r="K43" s="73"/>
      <c r="L43" s="73"/>
      <c r="M43" s="73"/>
      <c r="N43" s="73"/>
      <c r="O43" s="75"/>
    </row>
    <row r="44" spans="2:18">
      <c r="B44" s="72"/>
      <c r="C44" s="120" t="s">
        <v>71</v>
      </c>
      <c r="D44" s="121" t="str">
        <f>D37</f>
        <v>IA-HDFC-John</v>
      </c>
      <c r="E44" s="122">
        <f>SUMPRODUCT((Expense!$H$4:$H$51=C44)*(Expense!$G$4:$G$51=D44)*(Expense!$F$4:$F$51)*(Expense!$I$4:$I$51=$E$36))</f>
        <v>5500</v>
      </c>
      <c r="F44" s="113">
        <f>SUMPRODUCT((Expense!$H$4:$H$51=C44)*(Expense!$G$4:$G$51=D44)*(Expense!$F$4:$F$51)*(Expense!$I$4:$I$51=$F$36))</f>
        <v>0</v>
      </c>
      <c r="G44" s="122">
        <f>SUMPRODUCT((Expense!$H$4:$H$51=C44)*(Expense!$G$4:$G$51=D44)*(Expense!$E$4:$E$51)*(Expense!$I$4:$I$51=$G$36))</f>
        <v>10000</v>
      </c>
      <c r="H44" s="114">
        <f>SUM(E44:G44)</f>
        <v>15500</v>
      </c>
      <c r="I44" s="73"/>
      <c r="J44" s="73"/>
      <c r="K44" s="73"/>
      <c r="L44" s="73"/>
      <c r="M44" s="73"/>
      <c r="N44" s="73"/>
      <c r="O44" s="75"/>
    </row>
    <row r="45" spans="2:18">
      <c r="B45" s="72"/>
      <c r="C45" s="72" t="s">
        <v>71</v>
      </c>
      <c r="D45" s="79" t="str">
        <f>D38</f>
        <v>IA-CITI-Jenny</v>
      </c>
      <c r="E45" s="80">
        <f>SUMPRODUCT((Expense!$H$4:$H$51=C45)*(Expense!$G$4:$G$51=D45)*(Expense!$F$4:$F$51)*(Expense!$I$4:$I$51=$E$36))</f>
        <v>0</v>
      </c>
      <c r="F45" s="113">
        <f>SUMPRODUCT((Expense!$H$4:$H$51=C45)*(Expense!$G$4:$G$51=D45)*(Expense!$F$4:$F$51)*(Expense!$I$4:$I$51=$F$36))</f>
        <v>0</v>
      </c>
      <c r="G45" s="80">
        <f>SUMPRODUCT((Expense!$H$4:$H$51=C45)*(Expense!$G$4:$G$51=D45)*(Expense!$E$4:$E$51)*(Expense!$I$4:$I$51=$G$36))</f>
        <v>0</v>
      </c>
      <c r="H45" s="114">
        <f>SUM(E45:G45)</f>
        <v>0</v>
      </c>
      <c r="I45" s="73"/>
      <c r="J45" s="73"/>
      <c r="K45" s="73"/>
      <c r="L45" s="73"/>
      <c r="M45" s="73"/>
      <c r="N45" s="73"/>
      <c r="O45" s="75"/>
    </row>
    <row r="46" spans="2:18">
      <c r="B46" s="72"/>
      <c r="C46" s="115" t="s">
        <v>71</v>
      </c>
      <c r="D46" s="79" t="str">
        <f>D41</f>
        <v>SB-ICICI-John</v>
      </c>
      <c r="E46" s="80">
        <f>SUMPRODUCT((Expense!$H$4:$H$51=C46)*(Expense!$G$4:$G$51=D46)*(Expense!$F$4:$F$51)*(Expense!$I$4:$I$51=$E$36))</f>
        <v>0</v>
      </c>
      <c r="F46" s="113">
        <f>SUMPRODUCT((Expense!$H$4:$H$51=C46)*(Expense!$G$4:$G$51=D46)*(Expense!$F$4:$F$51)*(Expense!$I$4:$I$51=$F$36))</f>
        <v>0</v>
      </c>
      <c r="G46" s="80">
        <f>SUMPRODUCT((Expense!$H$4:$H$51=C46)*(Expense!$G$4:$G$51=D46)*(Expense!$E$4:$E$51)*(Expense!$I$4:$I$51=$G$36))</f>
        <v>0</v>
      </c>
      <c r="H46" s="114">
        <f>SUM(E46:G46)</f>
        <v>0</v>
      </c>
      <c r="I46" s="73"/>
      <c r="J46" s="73"/>
      <c r="K46" s="73"/>
      <c r="L46" s="73"/>
      <c r="M46" s="73"/>
      <c r="N46" s="73"/>
      <c r="O46" s="75"/>
    </row>
    <row r="47" spans="2:18" ht="15.75" thickBot="1">
      <c r="B47" s="72"/>
      <c r="C47" s="115" t="s">
        <v>71</v>
      </c>
      <c r="D47" s="116" t="str">
        <f>D42</f>
        <v>SB-SBI-Jenny</v>
      </c>
      <c r="E47" s="117">
        <f>SUMPRODUCT((Expense!$H$4:$H$51=C47)*(Expense!$G$4:$G$51=D47)*(Expense!$F$4:$F$51)*(Expense!$I$4:$I$51=$E$36))</f>
        <v>0</v>
      </c>
      <c r="F47" s="113">
        <f>SUMPRODUCT((Expense!$H$4:$H$51=C47)*(Expense!$G$4:$G$51=D47)*(Expense!$F$4:$F$51)*(Expense!$I$4:$I$51=$F$36))</f>
        <v>0</v>
      </c>
      <c r="G47" s="117">
        <f>SUMPRODUCT((Expense!$H$4:$H$51=C47)*(Expense!$G$4:$G$51=D47)*(Expense!$E$4:$E$51)*(Expense!$I$4:$I$51=$G$36))</f>
        <v>0</v>
      </c>
      <c r="H47" s="114">
        <f>SUM(E47:G47)</f>
        <v>0</v>
      </c>
      <c r="I47" s="73"/>
      <c r="J47" s="73"/>
      <c r="K47" s="73"/>
      <c r="L47" s="73"/>
      <c r="M47" s="73"/>
      <c r="N47" s="73"/>
      <c r="O47" s="75"/>
    </row>
    <row r="48" spans="2:18" ht="15.75" thickBot="1">
      <c r="B48" s="72"/>
      <c r="C48" s="182" t="s">
        <v>101</v>
      </c>
      <c r="D48" s="183"/>
      <c r="E48" s="118">
        <f>SUM(E44:E47)</f>
        <v>5500</v>
      </c>
      <c r="F48" s="118">
        <f>SUM(F44:F47)</f>
        <v>0</v>
      </c>
      <c r="G48" s="118">
        <f>SUM(G44:G47)</f>
        <v>10000</v>
      </c>
      <c r="H48" s="119">
        <f>SUM(H44:H47)</f>
        <v>15500</v>
      </c>
      <c r="I48" s="73"/>
      <c r="J48" s="73"/>
      <c r="K48" s="73"/>
      <c r="L48" s="73"/>
      <c r="M48" s="73"/>
      <c r="N48" s="73"/>
      <c r="O48" s="75"/>
    </row>
    <row r="49" spans="2:33">
      <c r="B49" s="72"/>
      <c r="C49" s="120" t="s">
        <v>70</v>
      </c>
      <c r="D49" s="121" t="str">
        <f>D44</f>
        <v>IA-HDFC-John</v>
      </c>
      <c r="E49" s="122">
        <f>SUMPRODUCT((Expense!$H$4:$H$51=C49)*(Expense!$G$4:$G$51=D49)*(Expense!$F$4:$F$51)*(Expense!$I$4:$I$51=$E$36))</f>
        <v>1000</v>
      </c>
      <c r="F49" s="113">
        <f>SUMPRODUCT((Expense!$H$4:$H$51=C49)*(Expense!$G$4:$G$51=D49)*(Expense!$F$4:$F$51)*(Expense!$I$4:$I$51=$F$36))</f>
        <v>0</v>
      </c>
      <c r="G49" s="122">
        <f>SUMPRODUCT((Expense!$H$4:$H$51=C49)*(Expense!$G$4:$G$51=D49)*(Expense!$E$4:$E$51)*(Expense!$I$4:$I$51=$G$36))</f>
        <v>3400</v>
      </c>
      <c r="H49" s="114">
        <f t="shared" ref="H49:H54" si="4">SUM(E49:G49)</f>
        <v>4400</v>
      </c>
      <c r="I49" s="73"/>
      <c r="J49" s="73"/>
      <c r="K49" s="73"/>
      <c r="L49" s="73"/>
      <c r="M49" s="73"/>
      <c r="N49" s="73"/>
      <c r="O49" s="75"/>
    </row>
    <row r="50" spans="2:33">
      <c r="B50" s="72"/>
      <c r="C50" s="115" t="s">
        <v>70</v>
      </c>
      <c r="D50" s="79" t="str">
        <f>D45</f>
        <v>IA-CITI-Jenny</v>
      </c>
      <c r="E50" s="80">
        <f>SUMPRODUCT((Expense!$H$4:$H$51=C50)*(Expense!$G$4:$G$51=D50)*(Expense!$F$4:$F$51)*(Expense!$I$4:$I$51=$E$36))</f>
        <v>6800</v>
      </c>
      <c r="F50" s="113">
        <f>SUMPRODUCT((Expense!$H$4:$H$51=C50)*(Expense!$G$4:$G$51=D50)*(Expense!$F$4:$F$51)*(Expense!$I$4:$I$51=$F$36))</f>
        <v>800</v>
      </c>
      <c r="G50" s="80">
        <f>SUMPRODUCT((Expense!$H$4:$H$51=C50)*(Expense!$G$4:$G$51=D50)*(Expense!$E$4:$E$51)*(Expense!$I$4:$I$51=$G$36))</f>
        <v>0</v>
      </c>
      <c r="H50" s="114">
        <f t="shared" si="4"/>
        <v>7600</v>
      </c>
      <c r="I50" s="73"/>
      <c r="J50" s="73"/>
      <c r="K50" s="73"/>
      <c r="L50" s="73"/>
      <c r="M50" s="73"/>
      <c r="N50" s="73"/>
      <c r="O50" s="75"/>
    </row>
    <row r="51" spans="2:33">
      <c r="B51" s="72"/>
      <c r="C51" s="115" t="s">
        <v>70</v>
      </c>
      <c r="D51" s="79" t="str">
        <f>D46</f>
        <v>SB-ICICI-John</v>
      </c>
      <c r="E51" s="80">
        <f>SUMPRODUCT((Expense!$H$4:$H$51=C51)*(Expense!$G$4:$G$51=D51)*(Expense!$F$4:$F$51)*(Expense!$I$4:$I$51=$E$36))</f>
        <v>0</v>
      </c>
      <c r="F51" s="113">
        <f>SUMPRODUCT((Expense!$H$4:$H$51=C51)*(Expense!$G$4:$G$51=D51)*(Expense!$F$4:$F$51)*(Expense!$I$4:$I$51=$F$36))</f>
        <v>0</v>
      </c>
      <c r="G51" s="80">
        <f>SUMPRODUCT((Expense!$H$4:$H$51=C51)*(Expense!$G$4:$G$51=D51)*(Expense!$E$4:$E$51)*(Expense!$I$4:$I$51=$G$36))</f>
        <v>0</v>
      </c>
      <c r="H51" s="114">
        <f t="shared" si="4"/>
        <v>0</v>
      </c>
      <c r="I51" s="73"/>
      <c r="J51" s="73"/>
      <c r="K51" s="73"/>
      <c r="L51" s="73"/>
      <c r="M51" s="73"/>
      <c r="N51" s="73"/>
      <c r="O51" s="75"/>
    </row>
    <row r="52" spans="2:33">
      <c r="B52" s="72"/>
      <c r="C52" s="72" t="s">
        <v>70</v>
      </c>
      <c r="D52" s="79" t="str">
        <f>D47</f>
        <v>SB-SBI-Jenny</v>
      </c>
      <c r="E52" s="80">
        <f>SUMPRODUCT((Expense!$H$4:$H$51=C52)*(Expense!$G$4:$G$51=D52)*(Expense!$F$4:$F$51)*(Expense!$I$4:$I$51=$E$36))</f>
        <v>0</v>
      </c>
      <c r="F52" s="113">
        <f>SUMPRODUCT((Expense!$H$4:$H$51=C52)*(Expense!$G$4:$G$51=D52)*(Expense!$F$4:$F$51)*(Expense!$I$4:$I$51=$F$36))</f>
        <v>0</v>
      </c>
      <c r="G52" s="80">
        <f>SUMPRODUCT((Expense!$H$4:$H$51=C52)*(Expense!$G$4:$G$51=D52)*(Expense!$E$4:$E$51)*(Expense!$I$4:$I$51=$G$36))</f>
        <v>0</v>
      </c>
      <c r="H52" s="114">
        <f t="shared" si="4"/>
        <v>0</v>
      </c>
      <c r="I52" s="73"/>
      <c r="J52" s="73"/>
      <c r="K52" s="73"/>
      <c r="L52" s="73"/>
      <c r="M52" s="73"/>
      <c r="N52" s="73"/>
      <c r="O52" s="75"/>
    </row>
    <row r="53" spans="2:33">
      <c r="B53" s="72"/>
      <c r="C53" s="115" t="s">
        <v>70</v>
      </c>
      <c r="D53" s="79" t="str">
        <f>C8</f>
        <v>CC-CITI-John-Master</v>
      </c>
      <c r="E53" s="80">
        <f>SUMPRODUCT((Expense!$H$4:$H$51=C53)*(Expense!$G$4:$G$51=D53)*(Expense!$F$4:$F$51)*(Expense!$I$4:$I$51=$E$36))</f>
        <v>0</v>
      </c>
      <c r="F53" s="113">
        <f>SUMPRODUCT((Expense!$H$4:$H$51=C53)*(Expense!$G$4:$G$51=D53)*(Expense!$F$4:$F$51)*(Expense!$I$4:$I$51=$F$36))</f>
        <v>0</v>
      </c>
      <c r="G53" s="80">
        <f>SUMPRODUCT((Expense!$H$4:$H$51=C53)*(Expense!$G$4:$G$51=D53)*(Expense!$E$4:$E$51)*(Expense!$I$4:$I$51=$G$36))</f>
        <v>3000</v>
      </c>
      <c r="H53" s="114">
        <f t="shared" si="4"/>
        <v>3000</v>
      </c>
      <c r="I53" s="73"/>
      <c r="J53" s="73"/>
      <c r="K53" s="73"/>
      <c r="L53" s="73"/>
      <c r="M53" s="73"/>
      <c r="N53" s="73"/>
      <c r="O53" s="75"/>
    </row>
    <row r="54" spans="2:33" ht="15.75" thickBot="1">
      <c r="B54" s="72"/>
      <c r="C54" s="115" t="s">
        <v>70</v>
      </c>
      <c r="D54" s="116" t="s">
        <v>159</v>
      </c>
      <c r="E54" s="80">
        <f>SUMPRODUCT((Expense!$H$4:$H$51=C54)*(Expense!$G$4:$G$51=D54)*(Expense!$F$4:$F$51)*(Expense!$I$4:$I$51=$E$36))</f>
        <v>0</v>
      </c>
      <c r="F54" s="113">
        <f>SUMPRODUCT((Expense!$H$4:$H$51=C54)*(Expense!$G$4:$G$51=D54)*(Expense!$F$4:$F$51)*(Expense!$I$4:$I$51=$F$36))</f>
        <v>0</v>
      </c>
      <c r="G54" s="80">
        <f>SUMPRODUCT((Expense!$H$4:$H$51=C54)*(Expense!$G$4:$G$51=D54)*(Expense!$E$4:$E$51)*(Expense!$I$4:$I$51=$G$36))</f>
        <v>0</v>
      </c>
      <c r="H54" s="114">
        <f t="shared" si="4"/>
        <v>0</v>
      </c>
      <c r="I54" s="73"/>
      <c r="J54" s="73"/>
      <c r="K54" s="73"/>
      <c r="L54" s="73"/>
      <c r="M54" s="73"/>
      <c r="N54" s="73"/>
      <c r="O54" s="75"/>
    </row>
    <row r="55" spans="2:33" ht="15.75" thickBot="1">
      <c r="B55" s="72"/>
      <c r="C55" s="182" t="s">
        <v>102</v>
      </c>
      <c r="D55" s="183"/>
      <c r="E55" s="118">
        <f>SUM(E49:E54)</f>
        <v>7800</v>
      </c>
      <c r="F55" s="118">
        <f>SUM(F49:F54)</f>
        <v>800</v>
      </c>
      <c r="G55" s="118">
        <f>SUM(G49:G54)</f>
        <v>6400</v>
      </c>
      <c r="H55" s="119">
        <f>SUM(H49:H54)</f>
        <v>15000</v>
      </c>
      <c r="I55" s="73"/>
      <c r="J55" s="73"/>
      <c r="K55" s="73"/>
      <c r="L55" s="73"/>
      <c r="M55" s="73"/>
      <c r="N55" s="73"/>
      <c r="O55" s="75"/>
    </row>
    <row r="56" spans="2:33" ht="15.75" thickBot="1">
      <c r="B56" s="72"/>
      <c r="C56" s="180" t="s">
        <v>103</v>
      </c>
      <c r="D56" s="181"/>
      <c r="E56" s="123">
        <f>E55+E48+E43</f>
        <v>13600</v>
      </c>
      <c r="F56" s="123">
        <f>F55+F48+F43</f>
        <v>800</v>
      </c>
      <c r="G56" s="123">
        <f>G55+G48+G43</f>
        <v>22400</v>
      </c>
      <c r="H56" s="124">
        <f>H55+H48+H43</f>
        <v>36800</v>
      </c>
      <c r="I56" s="73"/>
      <c r="J56" s="90" t="s">
        <v>124</v>
      </c>
      <c r="K56" s="73"/>
      <c r="L56" s="73"/>
      <c r="M56" s="73"/>
      <c r="N56" s="73"/>
      <c r="O56" s="75"/>
    </row>
    <row r="57" spans="2:33">
      <c r="B57" s="72"/>
      <c r="C57" s="73"/>
      <c r="D57" s="73"/>
      <c r="E57" s="74"/>
      <c r="F57" s="73"/>
      <c r="G57" s="73"/>
      <c r="H57" s="73"/>
      <c r="I57" s="73"/>
      <c r="J57" s="60" t="s">
        <v>121</v>
      </c>
      <c r="K57" s="73"/>
      <c r="L57" s="73"/>
      <c r="M57" s="73"/>
      <c r="N57" s="73"/>
      <c r="O57" s="75"/>
    </row>
    <row r="58" spans="2:33" ht="15.75" thickBot="1">
      <c r="B58" s="91"/>
      <c r="C58" s="92"/>
      <c r="D58" s="92"/>
      <c r="E58" s="93"/>
      <c r="F58" s="92"/>
      <c r="G58" s="92"/>
      <c r="H58" s="92"/>
      <c r="I58" s="92"/>
      <c r="J58" s="92"/>
      <c r="K58" s="92"/>
      <c r="L58" s="92"/>
      <c r="M58" s="92"/>
      <c r="N58" s="92"/>
      <c r="O58" s="95"/>
    </row>
    <row r="59" spans="2:33" ht="15.75" thickBot="1"/>
    <row r="60" spans="2:33">
      <c r="B60" s="67"/>
      <c r="C60" s="69"/>
      <c r="D60" s="69"/>
      <c r="E60" s="98"/>
      <c r="F60" s="69"/>
      <c r="G60" s="69"/>
      <c r="H60" s="69"/>
      <c r="I60" s="69"/>
      <c r="J60" s="69"/>
      <c r="K60" s="69"/>
      <c r="L60" s="69"/>
      <c r="M60" s="69"/>
      <c r="N60" s="69"/>
      <c r="O60" s="71"/>
    </row>
    <row r="61" spans="2:33" ht="15.75">
      <c r="B61" s="72"/>
      <c r="C61" s="76" t="s">
        <v>105</v>
      </c>
      <c r="D61" s="73"/>
      <c r="E61" s="74"/>
      <c r="F61" s="73"/>
      <c r="G61" s="73"/>
      <c r="H61" s="73"/>
      <c r="I61" s="73"/>
      <c r="J61" s="73"/>
      <c r="K61" s="73"/>
      <c r="L61" s="73"/>
      <c r="M61" s="73"/>
      <c r="N61" s="73"/>
      <c r="O61" s="75"/>
    </row>
    <row r="62" spans="2:33">
      <c r="B62" s="72"/>
      <c r="C62" s="125" t="s">
        <v>45</v>
      </c>
      <c r="D62" s="125" t="s">
        <v>82</v>
      </c>
      <c r="E62" s="125" t="s">
        <v>140</v>
      </c>
      <c r="F62" s="73"/>
      <c r="G62" s="73"/>
      <c r="H62" s="73"/>
      <c r="I62" s="73"/>
      <c r="J62" s="73"/>
      <c r="K62" s="73"/>
      <c r="L62" s="73"/>
      <c r="M62" s="73"/>
      <c r="N62" s="73"/>
      <c r="O62" s="75"/>
      <c r="W62" s="126"/>
      <c r="X62" s="126" t="s">
        <v>141</v>
      </c>
      <c r="Y62" s="126"/>
      <c r="Z62" s="126"/>
      <c r="AA62" s="126"/>
      <c r="AB62" s="126"/>
      <c r="AC62" s="126" t="s">
        <v>141</v>
      </c>
      <c r="AD62" s="126"/>
      <c r="AE62" s="126"/>
      <c r="AF62" s="126"/>
      <c r="AG62" s="126"/>
    </row>
    <row r="63" spans="2:33" ht="15" customHeight="1">
      <c r="B63" s="72"/>
      <c r="C63" s="127" t="s">
        <v>180</v>
      </c>
      <c r="D63" s="80">
        <f>SUMIF(Expense!$C$4:$C$51,C63,Expense!$E$4:$E$51)</f>
        <v>7800</v>
      </c>
      <c r="E63" s="80">
        <f>SUMIF(Expense!$C$4:$C$51,C63,Expense!$F$4:$F$51)</f>
        <v>7600</v>
      </c>
      <c r="F63" s="73"/>
      <c r="G63" s="73"/>
      <c r="H63" s="73"/>
      <c r="I63" s="73"/>
      <c r="J63" s="73"/>
      <c r="K63" s="73"/>
      <c r="L63" s="73"/>
      <c r="M63" s="73"/>
      <c r="N63" s="73"/>
      <c r="O63" s="75"/>
      <c r="W63" s="126"/>
      <c r="X63" s="128">
        <f>D63+(ROWS(D$63:D63)/1000*(D63&lt;&gt;0))</f>
        <v>7800.0010000000002</v>
      </c>
      <c r="Y63" s="126">
        <f>MATCH(SMALL(X:X,COUNTIF(X:X,0)+ROWS(X$3:X3)),X:X,0)</f>
        <v>64</v>
      </c>
      <c r="Z63" s="128">
        <f ca="1">OFFSET($C$62,MATCH(INDEX(X:X,SMALL(OFFSET(Y$63,0,0,COUNTIF(X:X,"&gt;0"),1),ROWS(X$63:X63)),1),X$63:X$77,0),1,1,1)</f>
        <v>7800</v>
      </c>
      <c r="AA63" s="128" t="str">
        <f ca="1">OFFSET(C$62,MATCH(INDEX(X:X,SMALL(OFFSET(Y$63,0,0,COUNTIF(X:X,"&gt;0"),1),ROWS(X$63:X63)),1),X$63:X$77,0),0,1,1)</f>
        <v>Housing</v>
      </c>
      <c r="AB63" s="126"/>
      <c r="AC63" s="128">
        <f>E63+(ROWS(E$63:E63)/1000*(E63&lt;&gt;0))</f>
        <v>7600.0010000000002</v>
      </c>
      <c r="AD63" s="126">
        <f>MATCH(SMALL(AC:AC,COUNTIF(AC:AC,0)+ROWS(AC$3:AC3)),AC:AC,0)</f>
        <v>67</v>
      </c>
      <c r="AE63" s="128">
        <f ca="1">OFFSET($C$62,MATCH(INDEX(AC:AC,SMALL(OFFSET(AD$63,0,0,COUNTIF(AC:AC,"&gt;0"),1),ROWS(AC$63:AC63)),1),AC$63:AC$77,0),2,1,1)</f>
        <v>7600</v>
      </c>
      <c r="AF63" s="128" t="str">
        <f ca="1">OFFSET(C$62,MATCH(INDEX(AC:AC,SMALL(OFFSET(AD$63,0,0,COUNTIF(AC:AC,"&gt;0"),1),ROWS(AC$63:AC63)),1),AC$63:AC$77,0),0,1,1)</f>
        <v>Housing</v>
      </c>
      <c r="AG63" s="126"/>
    </row>
    <row r="64" spans="2:33" ht="15" customHeight="1">
      <c r="B64" s="72"/>
      <c r="C64" s="127" t="s">
        <v>181</v>
      </c>
      <c r="D64" s="80">
        <f>SUMIF(Expense!$C$4:$C$51,C64,Expense!$E$4:$E$51)</f>
        <v>300</v>
      </c>
      <c r="E64" s="80">
        <f>SUMIF(Expense!$C$4:$C$51,C64,Expense!$F$4:$F$51)</f>
        <v>0</v>
      </c>
      <c r="F64" s="73"/>
      <c r="G64" s="73"/>
      <c r="H64" s="73"/>
      <c r="I64" s="73"/>
      <c r="J64" s="73"/>
      <c r="K64" s="73"/>
      <c r="L64" s="73"/>
      <c r="M64" s="73"/>
      <c r="N64" s="73"/>
      <c r="O64" s="75"/>
      <c r="W64" s="126"/>
      <c r="X64" s="128">
        <f>D64+(ROWS(D$63:D64)/1000*(D64&lt;&gt;0))</f>
        <v>300.00200000000001</v>
      </c>
      <c r="Y64" s="126">
        <f>MATCH(SMALL(X:X,COUNTIF(X:X,0)+ROWS(X$3:X4)),X:X,0)</f>
        <v>68</v>
      </c>
      <c r="Z64" s="128">
        <f ca="1">OFFSET($C$62,MATCH(INDEX(X:X,SMALL(OFFSET(Y$63,0,0,COUNTIF(X:X,"&gt;0"),1),ROWS(X$63:X64)),1),X$63:X$77,0),1,1,1)</f>
        <v>300</v>
      </c>
      <c r="AA64" s="128" t="str">
        <f ca="1">OFFSET(C$62,MATCH(INDEX(X:X,SMALL(OFFSET(Y$63,0,0,COUNTIF(X:X,"&gt;0"),1),ROWS(X$63:X64)),1),X$63:X$77,0),0,1,1)</f>
        <v>Entertainment</v>
      </c>
      <c r="AB64" s="126"/>
      <c r="AC64" s="128">
        <f>E64+(ROWS(E$63:E64)/1000*(E64&lt;&gt;0))</f>
        <v>0</v>
      </c>
      <c r="AD64" s="126">
        <f>MATCH(SMALL(AC:AC,COUNTIF(AC:AC,0)+ROWS(AC$3:AC4)),AC:AC,0)</f>
        <v>68</v>
      </c>
      <c r="AE64" s="128">
        <f ca="1">OFFSET($C$62,MATCH(INDEX(AC:AC,SMALL(OFFSET(AD$63,0,0,COUNTIF(AC:AC,"&gt;0"),1),ROWS(AC$63:AC64)),1),AC$63:AC$77,0),2,1,1)</f>
        <v>1000</v>
      </c>
      <c r="AF64" s="128" t="str">
        <f ca="1">OFFSET(C$62,MATCH(INDEX(AC:AC,SMALL(OFFSET(AD$63,0,0,COUNTIF(AC:AC,"&gt;0"),1),ROWS(AC$63:AC64)),1),AC$63:AC$77,0),0,1,1)</f>
        <v>Loans</v>
      </c>
      <c r="AG64" s="126"/>
    </row>
    <row r="65" spans="2:33" ht="15" customHeight="1">
      <c r="B65" s="72"/>
      <c r="C65" s="127" t="s">
        <v>27</v>
      </c>
      <c r="D65" s="80">
        <f>SUMIF(Expense!$C$4:$C$51,C65,Expense!$E$4:$E$51)</f>
        <v>3900</v>
      </c>
      <c r="E65" s="80">
        <f>SUMIF(Expense!$C$4:$C$51,C65,Expense!$F$4:$F$51)</f>
        <v>0</v>
      </c>
      <c r="F65" s="73"/>
      <c r="G65" s="73"/>
      <c r="H65" s="73"/>
      <c r="I65" s="73"/>
      <c r="J65" s="73"/>
      <c r="K65" s="73"/>
      <c r="L65" s="73"/>
      <c r="M65" s="73"/>
      <c r="N65" s="73"/>
      <c r="O65" s="75"/>
      <c r="W65" s="126"/>
      <c r="X65" s="128">
        <f>D65+(ROWS(D$63:D65)/1000*(D65&lt;&gt;0))</f>
        <v>3900.0030000000002</v>
      </c>
      <c r="Y65" s="126">
        <f>MATCH(SMALL(X:X,COUNTIF(X:X,0)+ROWS(X$3:X5)),X:X,0)</f>
        <v>67</v>
      </c>
      <c r="Z65" s="128">
        <f ca="1">OFFSET($C$62,MATCH(INDEX(X:X,SMALL(OFFSET(Y$63,0,0,COUNTIF(X:X,"&gt;0"),1),ROWS(X$63:X65)),1),X$63:X$77,0),1,1,1)</f>
        <v>3900</v>
      </c>
      <c r="AA65" s="128" t="str">
        <f ca="1">OFFSET(C$62,MATCH(INDEX(X:X,SMALL(OFFSET(Y$63,0,0,COUNTIF(X:X,"&gt;0"),1),ROWS(X$63:X65)),1),X$63:X$77,0),0,1,1)</f>
        <v>Personal</v>
      </c>
      <c r="AB65" s="126"/>
      <c r="AC65" s="128">
        <f>E65+(ROWS(E$63:E65)/1000*(E65&lt;&gt;0))</f>
        <v>0</v>
      </c>
      <c r="AD65" s="126">
        <f>MATCH(SMALL(AC:AC,COUNTIF(AC:AC,0)+ROWS(AC$3:AC5)),AC:AC,0)</f>
        <v>66</v>
      </c>
      <c r="AE65" s="128">
        <f ca="1">OFFSET($C$62,MATCH(INDEX(AC:AC,SMALL(OFFSET(AD$63,0,0,COUNTIF(AC:AC,"&gt;0"),1),ROWS(AC$63:AC65)),1),AC$63:AC$77,0),2,1,1)</f>
        <v>500</v>
      </c>
      <c r="AF65" s="128" t="str">
        <f ca="1">OFFSET(C$62,MATCH(INDEX(AC:AC,SMALL(OFFSET(AD$63,0,0,COUNTIF(AC:AC,"&gt;0"),1),ROWS(AC$63:AC65)),1),AC$63:AC$77,0),0,1,1)</f>
        <v>Food</v>
      </c>
      <c r="AG65" s="126"/>
    </row>
    <row r="66" spans="2:33" ht="15" customHeight="1">
      <c r="B66" s="72"/>
      <c r="C66" s="127" t="s">
        <v>182</v>
      </c>
      <c r="D66" s="80">
        <f>SUMIF(Expense!$C$4:$C$51,C66,Expense!$E$4:$E$51)</f>
        <v>6000</v>
      </c>
      <c r="E66" s="80">
        <f>SUMIF(Expense!$C$4:$C$51,C66,Expense!$F$4:$F$51)</f>
        <v>1000</v>
      </c>
      <c r="F66" s="73"/>
      <c r="G66" s="73"/>
      <c r="H66" s="73"/>
      <c r="I66" s="73"/>
      <c r="J66" s="73"/>
      <c r="K66" s="73"/>
      <c r="L66" s="73"/>
      <c r="M66" s="73"/>
      <c r="N66" s="73"/>
      <c r="O66" s="75"/>
      <c r="W66" s="126"/>
      <c r="X66" s="128">
        <f>D66+(ROWS(D$63:D66)/1000*(D66&lt;&gt;0))</f>
        <v>6000.0039999999999</v>
      </c>
      <c r="Y66" s="126">
        <f>MATCH(SMALL(X:X,COUNTIF(X:X,0)+ROWS(X$3:X6)),X:X,0)</f>
        <v>65</v>
      </c>
      <c r="Z66" s="128">
        <f ca="1">OFFSET($C$62,MATCH(INDEX(X:X,SMALL(OFFSET(Y$63,0,0,COUNTIF(X:X,"&gt;0"),1),ROWS(X$63:X66)),1),X$63:X$77,0),1,1,1)</f>
        <v>6000</v>
      </c>
      <c r="AA66" s="128" t="str">
        <f ca="1">OFFSET(C$62,MATCH(INDEX(X:X,SMALL(OFFSET(Y$63,0,0,COUNTIF(X:X,"&gt;0"),1),ROWS(X$63:X66)),1),X$63:X$77,0),0,1,1)</f>
        <v>Loans</v>
      </c>
      <c r="AB66" s="126"/>
      <c r="AC66" s="128">
        <f>E66+(ROWS(E$63:E66)/1000*(E66&lt;&gt;0))</f>
        <v>1000.004</v>
      </c>
      <c r="AD66" s="126">
        <f>MATCH(SMALL(AC:AC,COUNTIF(AC:AC,0)+ROWS(AC$3:AC6)),AC:AC,0)</f>
        <v>71</v>
      </c>
      <c r="AE66" s="128">
        <f ca="1">OFFSET($C$62,MATCH(INDEX(AC:AC,SMALL(OFFSET(AD$63,0,0,COUNTIF(AC:AC,"&gt;0"),1),ROWS(AC$63:AC66)),1),AC$63:AC$77,0),2,1,1)</f>
        <v>800</v>
      </c>
      <c r="AF66" s="128" t="str">
        <f ca="1">OFFSET(C$62,MATCH(INDEX(AC:AC,SMALL(OFFSET(AD$63,0,0,COUNTIF(AC:AC,"&gt;0"),1),ROWS(AC$63:AC66)),1),AC$63:AC$77,0),0,1,1)</f>
        <v>Transportation</v>
      </c>
      <c r="AG66" s="126"/>
    </row>
    <row r="67" spans="2:33" ht="15" customHeight="1">
      <c r="B67" s="72"/>
      <c r="C67" s="127" t="s">
        <v>183</v>
      </c>
      <c r="D67" s="80">
        <f>SUMIF(Expense!$C$4:$C$51,C67,Expense!$E$4:$E$51)</f>
        <v>2000</v>
      </c>
      <c r="E67" s="80">
        <f>SUMIF(Expense!$C$4:$C$51,C67,Expense!$F$4:$F$51)</f>
        <v>500</v>
      </c>
      <c r="F67" s="73"/>
      <c r="G67" s="73"/>
      <c r="H67" s="73"/>
      <c r="I67" s="73"/>
      <c r="J67" s="73"/>
      <c r="K67" s="73"/>
      <c r="L67" s="73"/>
      <c r="M67" s="73"/>
      <c r="N67" s="73"/>
      <c r="O67" s="75"/>
      <c r="W67" s="126"/>
      <c r="X67" s="128">
        <f>D67+(ROWS(D$63:D67)/1000*(D67&lt;&gt;0))</f>
        <v>2000.0050000000001</v>
      </c>
      <c r="Y67" s="126">
        <f>MATCH(SMALL(X:X,COUNTIF(X:X,0)+ROWS(X$3:X7)),X:X,0)</f>
        <v>69</v>
      </c>
      <c r="Z67" s="128">
        <f ca="1">OFFSET($C$62,MATCH(INDEX(X:X,SMALL(OFFSET(Y$63,0,0,COUNTIF(X:X,"&gt;0"),1),ROWS(X$63:X67)),1),X$63:X$77,0),1,1,1)</f>
        <v>2000</v>
      </c>
      <c r="AA67" s="128" t="str">
        <f ca="1">OFFSET(C$62,MATCH(INDEX(X:X,SMALL(OFFSET(Y$63,0,0,COUNTIF(X:X,"&gt;0"),1),ROWS(X$63:X67)),1),X$63:X$77,0),0,1,1)</f>
        <v>Food</v>
      </c>
      <c r="AB67" s="126"/>
      <c r="AC67" s="128">
        <f>E67+(ROWS(E$63:E67)/1000*(E67&lt;&gt;0))</f>
        <v>500.005</v>
      </c>
      <c r="AD67" s="126">
        <f>MATCH(SMALL(AC:AC,COUNTIF(AC:AC,0)+ROWS(AC$3:AC7)),AC:AC,0)</f>
        <v>63</v>
      </c>
      <c r="AE67" s="128">
        <f ca="1">OFFSET($C$62,MATCH(INDEX(AC:AC,SMALL(OFFSET(AD$63,0,0,COUNTIF(AC:AC,"&gt;0"),1),ROWS(AC$63:AC67)),1),AC$63:AC$77,0),2,1,1)</f>
        <v>5000</v>
      </c>
      <c r="AF67" s="128" t="str">
        <f ca="1">OFFSET(C$62,MATCH(INDEX(AC:AC,SMALL(OFFSET(AD$63,0,0,COUNTIF(AC:AC,"&gt;0"),1),ROWS(AC$63:AC67)),1),AC$63:AC$77,0),0,1,1)</f>
        <v>Childrens Edu</v>
      </c>
      <c r="AG67" s="126"/>
    </row>
    <row r="68" spans="2:33" ht="15" customHeight="1">
      <c r="B68" s="72"/>
      <c r="C68" s="127" t="s">
        <v>184</v>
      </c>
      <c r="D68" s="80">
        <f>SUMIF(Expense!$C$4:$C$51,C68,Expense!$E$4:$E$51)</f>
        <v>1000</v>
      </c>
      <c r="E68" s="80">
        <f>SUMIF(Expense!$C$4:$C$51,C68,Expense!$F$4:$F$51)</f>
        <v>800</v>
      </c>
      <c r="F68" s="73"/>
      <c r="G68" s="73"/>
      <c r="H68" s="73"/>
      <c r="I68" s="73"/>
      <c r="J68" s="73"/>
      <c r="K68" s="73"/>
      <c r="L68" s="73"/>
      <c r="M68" s="73"/>
      <c r="N68" s="73"/>
      <c r="O68" s="75"/>
      <c r="W68" s="126"/>
      <c r="X68" s="128">
        <f>D68+(ROWS(D$63:D68)/1000*(D68&lt;&gt;0))</f>
        <v>1000.006</v>
      </c>
      <c r="Y68" s="126">
        <f>MATCH(SMALL(X:X,COUNTIF(X:X,0)+ROWS(X$3:X8)),X:X,0)</f>
        <v>71</v>
      </c>
      <c r="Z68" s="128">
        <f ca="1">OFFSET($C$62,MATCH(INDEX(X:X,SMALL(OFFSET(Y$63,0,0,COUNTIF(X:X,"&gt;0"),1),ROWS(X$63:X68)),1),X$63:X$77,0),1,1,1)</f>
        <v>1000</v>
      </c>
      <c r="AA68" s="128" t="str">
        <f ca="1">OFFSET(C$62,MATCH(INDEX(X:X,SMALL(OFFSET(Y$63,0,0,COUNTIF(X:X,"&gt;0"),1),ROWS(X$63:X68)),1),X$63:X$77,0),0,1,1)</f>
        <v>Transportation</v>
      </c>
      <c r="AB68" s="126"/>
      <c r="AC68" s="128">
        <f>E68+(ROWS(E$63:E68)/1000*(E68&lt;&gt;0))</f>
        <v>800.00599999999997</v>
      </c>
      <c r="AD68" s="126" t="e">
        <f>MATCH(SMALL(AC:AC,COUNTIF(AC:AC,0)+ROWS(AC$3:AC8)),AC:AC,0)</f>
        <v>#NUM!</v>
      </c>
      <c r="AE68" s="128" t="e">
        <f ca="1">OFFSET($C$62,MATCH(INDEX(AC:AC,SMALL(OFFSET(AD$63,0,0,COUNTIF(AC:AC,"&gt;0"),1),ROWS(AC$63:AC68)),1),AC$63:AC$77,0),2,1,1)</f>
        <v>#NUM!</v>
      </c>
      <c r="AF68" s="128" t="e">
        <f ca="1">OFFSET(C$62,MATCH(INDEX(AC:AC,SMALL(OFFSET(AD$63,0,0,COUNTIF(AC:AC,"&gt;0"),1),ROWS(AC$63:AC68)),1),AC$63:AC$77,0),0,1,1)</f>
        <v>#NUM!</v>
      </c>
      <c r="AG68" s="126"/>
    </row>
    <row r="69" spans="2:33" ht="15" customHeight="1">
      <c r="B69" s="72"/>
      <c r="C69" s="127" t="s">
        <v>185</v>
      </c>
      <c r="D69" s="80">
        <f>SUMIF(Expense!$C$4:$C$51,C69,Expense!$E$4:$E$51)</f>
        <v>5000</v>
      </c>
      <c r="E69" s="80">
        <f>SUMIF(Expense!$C$4:$C$51,C69,Expense!$F$4:$F$51)</f>
        <v>0</v>
      </c>
      <c r="F69" s="73"/>
      <c r="G69" s="73"/>
      <c r="H69" s="73"/>
      <c r="I69" s="73"/>
      <c r="J69" s="73"/>
      <c r="K69" s="73"/>
      <c r="L69" s="73"/>
      <c r="M69" s="73"/>
      <c r="N69" s="73"/>
      <c r="O69" s="75"/>
      <c r="W69" s="126"/>
      <c r="X69" s="128">
        <f>D69+(ROWS(D$63:D69)/1000*(D69&lt;&gt;0))</f>
        <v>5000.0069999999996</v>
      </c>
      <c r="Y69" s="126">
        <f>MATCH(SMALL(X:X,COUNTIF(X:X,0)+ROWS(X$3:X9)),X:X,0)</f>
        <v>66</v>
      </c>
      <c r="Z69" s="128">
        <f ca="1">OFFSET($C$62,MATCH(INDEX(X:X,SMALL(OFFSET(Y$63,0,0,COUNTIF(X:X,"&gt;0"),1),ROWS(X$63:X69)),1),X$63:X$77,0),1,1,1)</f>
        <v>5000</v>
      </c>
      <c r="AA69" s="128" t="str">
        <f ca="1">OFFSET(C$62,MATCH(INDEX(X:X,SMALL(OFFSET(Y$63,0,0,COUNTIF(X:X,"&gt;0"),1),ROWS(X$63:X69)),1),X$63:X$77,0),0,1,1)</f>
        <v>Insurance</v>
      </c>
      <c r="AB69" s="126"/>
      <c r="AC69" s="128">
        <f>E69+(ROWS(E$63:E69)/1000*(E69&lt;&gt;0))</f>
        <v>0</v>
      </c>
      <c r="AD69" s="126" t="e">
        <f>MATCH(SMALL(AC:AC,COUNTIF(AC:AC,0)+ROWS(AC$3:AC9)),AC:AC,0)</f>
        <v>#NUM!</v>
      </c>
      <c r="AE69" s="128" t="e">
        <f ca="1">OFFSET($C$62,MATCH(INDEX(AC:AC,SMALL(OFFSET(AD$63,0,0,COUNTIF(AC:AC,"&gt;0"),1),ROWS(AC$63:AC69)),1),AC$63:AC$77,0),2,1,1)</f>
        <v>#NUM!</v>
      </c>
      <c r="AF69" s="128" t="e">
        <f ca="1">OFFSET(C$62,MATCH(INDEX(AC:AC,SMALL(OFFSET(AD$63,0,0,COUNTIF(AC:AC,"&gt;0"),1),ROWS(AC$63:AC69)),1),AC$63:AC$77,0),0,1,1)</f>
        <v>#NUM!</v>
      </c>
      <c r="AG69" s="126"/>
    </row>
    <row r="70" spans="2:33" ht="15" customHeight="1">
      <c r="B70" s="72"/>
      <c r="C70" s="127" t="s">
        <v>186</v>
      </c>
      <c r="D70" s="80">
        <f>SUMIF(Expense!$C$4:$C$51,C70,Expense!$E$4:$E$51)</f>
        <v>8000</v>
      </c>
      <c r="E70" s="80">
        <f>SUMIF(Expense!$C$4:$C$51,C70,Expense!$F$4:$F$51)</f>
        <v>0</v>
      </c>
      <c r="F70" s="73"/>
      <c r="G70" s="73"/>
      <c r="H70" s="73"/>
      <c r="I70" s="73"/>
      <c r="J70" s="73"/>
      <c r="K70" s="73"/>
      <c r="L70" s="73"/>
      <c r="M70" s="73"/>
      <c r="N70" s="73"/>
      <c r="O70" s="75"/>
      <c r="W70" s="126"/>
      <c r="X70" s="128">
        <f>D70+(ROWS(D$63:D70)/1000*(D70&lt;&gt;0))</f>
        <v>8000.0079999999998</v>
      </c>
      <c r="Y70" s="126">
        <f>MATCH(SMALL(X:X,COUNTIF(X:X,0)+ROWS(X$3:X10)),X:X,0)</f>
        <v>63</v>
      </c>
      <c r="Z70" s="128">
        <f ca="1">OFFSET($C$62,MATCH(INDEX(X:X,SMALL(OFFSET(Y$63,0,0,COUNTIF(X:X,"&gt;0"),1),ROWS(X$63:X70)),1),X$63:X$77,0),1,1,1)</f>
        <v>8000</v>
      </c>
      <c r="AA70" s="128" t="str">
        <f ca="1">OFFSET(C$62,MATCH(INDEX(X:X,SMALL(OFFSET(Y$63,0,0,COUNTIF(X:X,"&gt;0"),1),ROWS(X$63:X70)),1),X$63:X$77,0),0,1,1)</f>
        <v>Savings/Investment</v>
      </c>
      <c r="AB70" s="126"/>
      <c r="AC70" s="128">
        <f>E70+(ROWS(E$63:E70)/1000*(E70&lt;&gt;0))</f>
        <v>0</v>
      </c>
      <c r="AD70" s="126" t="e">
        <f>MATCH(SMALL(AC:AC,COUNTIF(AC:AC,0)+ROWS(AC$3:AC10)),AC:AC,0)</f>
        <v>#NUM!</v>
      </c>
      <c r="AE70" s="128" t="e">
        <f ca="1">OFFSET($C$62,MATCH(INDEX(AC:AC,SMALL(OFFSET(AD$63,0,0,COUNTIF(AC:AC,"&gt;0"),1),ROWS(AC$63:AC70)),1),AC$63:AC$77,0),2,1,1)</f>
        <v>#NUM!</v>
      </c>
      <c r="AF70" s="128" t="e">
        <f ca="1">OFFSET(C$62,MATCH(INDEX(AC:AC,SMALL(OFFSET(AD$63,0,0,COUNTIF(AC:AC,"&gt;0"),1),ROWS(AC$63:AC70)),1),AC$63:AC$77,0),0,1,1)</f>
        <v>#NUM!</v>
      </c>
      <c r="AG70" s="126"/>
    </row>
    <row r="71" spans="2:33" ht="15" customHeight="1">
      <c r="B71" s="72"/>
      <c r="C71" s="127" t="s">
        <v>187</v>
      </c>
      <c r="D71" s="80">
        <f>SUMIF(Expense!$C$4:$C$51,C71,Expense!$E$4:$E$51)</f>
        <v>5000</v>
      </c>
      <c r="E71" s="80">
        <f>SUMIF(Expense!$C$4:$C$51,C71,Expense!$F$4:$F$51)</f>
        <v>5000</v>
      </c>
      <c r="F71" s="73"/>
      <c r="G71" s="73"/>
      <c r="H71" s="73"/>
      <c r="I71" s="73"/>
      <c r="J71" s="73"/>
      <c r="K71" s="73"/>
      <c r="L71" s="73"/>
      <c r="M71" s="73"/>
      <c r="N71" s="73"/>
      <c r="O71" s="75"/>
      <c r="W71" s="126"/>
      <c r="X71" s="128">
        <f>D71+(ROWS(D$63:D71)/1000*(D71&lt;&gt;0))</f>
        <v>5000.009</v>
      </c>
      <c r="Y71" s="126">
        <f>MATCH(SMALL(X:X,COUNTIF(X:X,0)+ROWS(X$3:X11)),X:X,0)</f>
        <v>70</v>
      </c>
      <c r="Z71" s="128">
        <f ca="1">OFFSET($C$62,MATCH(INDEX(X:X,SMALL(OFFSET(Y$63,0,0,COUNTIF(X:X,"&gt;0"),1),ROWS(X$63:X71)),1),X$63:X$77,0),1,1,1)</f>
        <v>5000</v>
      </c>
      <c r="AA71" s="128" t="str">
        <f ca="1">OFFSET(C$62,MATCH(INDEX(X:X,SMALL(OFFSET(Y$63,0,0,COUNTIF(X:X,"&gt;0"),1),ROWS(X$63:X71)),1),X$63:X$77,0),0,1,1)</f>
        <v>Childrens Edu</v>
      </c>
      <c r="AB71" s="126"/>
      <c r="AC71" s="128">
        <f>E71+(ROWS(E$63:E71)/1000*(E71&lt;&gt;0))</f>
        <v>5000.009</v>
      </c>
      <c r="AD71" s="126" t="e">
        <f>MATCH(SMALL(AC:AC,COUNTIF(AC:AC,0)+ROWS(AC$3:AC11)),AC:AC,0)</f>
        <v>#NUM!</v>
      </c>
      <c r="AE71" s="128" t="e">
        <f ca="1">OFFSET($C$62,MATCH(INDEX(AC:AC,SMALL(OFFSET(AD$63,0,0,COUNTIF(AC:AC,"&gt;0"),1),ROWS(AC$63:AC71)),1),AC$63:AC$77,0),2,1,1)</f>
        <v>#NUM!</v>
      </c>
      <c r="AF71" s="128" t="e">
        <f ca="1">OFFSET(C$62,MATCH(INDEX(AC:AC,SMALL(OFFSET(AD$63,0,0,COUNTIF(AC:AC,"&gt;0"),1),ROWS(AC$63:AC71)),1),AC$63:AC$77,0),0,1,1)</f>
        <v>#NUM!</v>
      </c>
      <c r="AG71" s="126"/>
    </row>
    <row r="72" spans="2:33" ht="15" customHeight="1">
      <c r="B72" s="72"/>
      <c r="C72" s="127" t="s">
        <v>188</v>
      </c>
      <c r="D72" s="80">
        <f>SUMIF(Expense!$C$4:$C$51,C72,Expense!$E$4:$E$51)</f>
        <v>0</v>
      </c>
      <c r="E72" s="80">
        <f>SUMIF(Expense!$C$4:$C$51,C72,Expense!$F$4:$F$51)</f>
        <v>0</v>
      </c>
      <c r="F72" s="73"/>
      <c r="G72" s="73"/>
      <c r="H72" s="73"/>
      <c r="I72" s="73"/>
      <c r="J72" s="73"/>
      <c r="K72" s="73"/>
      <c r="L72" s="73"/>
      <c r="M72" s="73"/>
      <c r="N72" s="73"/>
      <c r="O72" s="75"/>
      <c r="W72" s="126"/>
      <c r="X72" s="128">
        <f>D72+(ROWS(D$63:D72)/1000*(D72&lt;&gt;0))</f>
        <v>0</v>
      </c>
      <c r="Y72" s="126" t="e">
        <f>MATCH(SMALL(X:X,COUNTIF(X:X,0)+ROWS(X$3:X12)),X:X,0)</f>
        <v>#NUM!</v>
      </c>
      <c r="Z72" s="128" t="e">
        <f ca="1">OFFSET($C$62,MATCH(INDEX(X:X,SMALL(OFFSET(Y$63,0,0,COUNTIF(X:X,"&gt;0"),1),ROWS(X$63:X72)),1),X$63:X$77,0),1,1,1)</f>
        <v>#NUM!</v>
      </c>
      <c r="AA72" s="128" t="e">
        <f ca="1">OFFSET(C$62,MATCH(INDEX(X:X,SMALL(OFFSET(Y$63,0,0,COUNTIF(X:X,"&gt;0"),1),ROWS(X$63:X72)),1),X$63:X$77,0),0,1,1)</f>
        <v>#NUM!</v>
      </c>
      <c r="AB72" s="126"/>
      <c r="AC72" s="128">
        <f>E72+(ROWS(E$63:E72)/1000*(E72&lt;&gt;0))</f>
        <v>0</v>
      </c>
      <c r="AD72" s="126" t="e">
        <f>MATCH(SMALL(AC:AC,COUNTIF(AC:AC,0)+ROWS(AC$3:AC12)),AC:AC,0)</f>
        <v>#NUM!</v>
      </c>
      <c r="AE72" s="128" t="e">
        <f ca="1">OFFSET($C$62,MATCH(INDEX(AC:AC,SMALL(OFFSET(AD$63,0,0,COUNTIF(AC:AC,"&gt;0"),1),ROWS(AC$63:AC72)),1),AC$63:AC$77,0),2,1,1)</f>
        <v>#NUM!</v>
      </c>
      <c r="AF72" s="128" t="e">
        <f ca="1">OFFSET(C$62,MATCH(INDEX(AC:AC,SMALL(OFFSET(AD$63,0,0,COUNTIF(AC:AC,"&gt;0"),1),ROWS(AC$63:AC72)),1),AC$63:AC$77,0),0,1,1)</f>
        <v>#NUM!</v>
      </c>
      <c r="AG72" s="126"/>
    </row>
    <row r="73" spans="2:33" ht="15" customHeight="1">
      <c r="B73" s="72"/>
      <c r="C73" s="127" t="s">
        <v>189</v>
      </c>
      <c r="D73" s="80">
        <f>SUMIF(Expense!$C$4:$C$51,C73,Expense!$E$4:$E$51)</f>
        <v>0</v>
      </c>
      <c r="E73" s="80">
        <f>SUMIF(Expense!$C$4:$C$51,C73,Expense!$F$4:$F$51)</f>
        <v>0</v>
      </c>
      <c r="F73" s="73"/>
      <c r="G73" s="73"/>
      <c r="H73" s="73"/>
      <c r="I73" s="73"/>
      <c r="J73" s="73"/>
      <c r="K73" s="73"/>
      <c r="L73" s="73"/>
      <c r="M73" s="73"/>
      <c r="N73" s="73"/>
      <c r="O73" s="75"/>
      <c r="W73" s="126"/>
      <c r="X73" s="128">
        <f>D73+(ROWS(D$63:D73)/1000*(D73&lt;&gt;0))</f>
        <v>0</v>
      </c>
      <c r="Y73" s="126" t="e">
        <f>MATCH(SMALL(X:X,COUNTIF(X:X,0)+ROWS(X$3:X13)),X:X,0)</f>
        <v>#NUM!</v>
      </c>
      <c r="Z73" s="128" t="e">
        <f ca="1">OFFSET($C$62,MATCH(INDEX(X:X,SMALL(OFFSET(Y$63,0,0,COUNTIF(X:X,"&gt;0"),1),ROWS(X$63:X73)),1),X$63:X$77,0),1,1,1)</f>
        <v>#NUM!</v>
      </c>
      <c r="AA73" s="128" t="e">
        <f ca="1">OFFSET(C$62,MATCH(INDEX(X:X,SMALL(OFFSET(Y$63,0,0,COUNTIF(X:X,"&gt;0"),1),ROWS(X$63:X73)),1),X$63:X$77,0),0,1,1)</f>
        <v>#NUM!</v>
      </c>
      <c r="AB73" s="126"/>
      <c r="AC73" s="128">
        <f>E73+(ROWS(E$63:E73)/1000*(E73&lt;&gt;0))</f>
        <v>0</v>
      </c>
      <c r="AD73" s="126" t="e">
        <f>MATCH(SMALL(AC:AC,COUNTIF(AC:AC,0)+ROWS(AC$3:AC13)),AC:AC,0)</f>
        <v>#NUM!</v>
      </c>
      <c r="AE73" s="128" t="e">
        <f ca="1">OFFSET($C$62,MATCH(INDEX(AC:AC,SMALL(OFFSET(AD$63,0,0,COUNTIF(AC:AC,"&gt;0"),1),ROWS(AC$63:AC73)),1),AC$63:AC$77,0),2,1,1)</f>
        <v>#NUM!</v>
      </c>
      <c r="AF73" s="128" t="e">
        <f ca="1">OFFSET(C$62,MATCH(INDEX(AC:AC,SMALL(OFFSET(AD$63,0,0,COUNTIF(AC:AC,"&gt;0"),1),ROWS(AC$63:AC73)),1),AC$63:AC$77,0),0,1,1)</f>
        <v>#NUM!</v>
      </c>
      <c r="AG73" s="126"/>
    </row>
    <row r="74" spans="2:33" ht="15" customHeight="1">
      <c r="B74" s="72"/>
      <c r="C74" s="127" t="s">
        <v>190</v>
      </c>
      <c r="D74" s="80">
        <f>SUMIF(Expense!$C$4:$C$51,C74,Expense!$E$4:$E$51)</f>
        <v>0</v>
      </c>
      <c r="E74" s="80">
        <f>SUMIF(Expense!$C$4:$C$51,C74,Expense!$F$4:$F$51)</f>
        <v>0</v>
      </c>
      <c r="F74" s="73"/>
      <c r="G74" s="73"/>
      <c r="H74" s="73"/>
      <c r="I74" s="73"/>
      <c r="J74" s="73"/>
      <c r="K74" s="73"/>
      <c r="L74" s="73"/>
      <c r="M74" s="73"/>
      <c r="N74" s="73"/>
      <c r="O74" s="75"/>
      <c r="W74" s="126"/>
      <c r="X74" s="128">
        <f>D74+(ROWS(D$63:D74)/1000*(D74&lt;&gt;0))</f>
        <v>0</v>
      </c>
      <c r="Y74" s="126" t="e">
        <f>MATCH(SMALL(X:X,COUNTIF(X:X,0)+ROWS(X$3:X14)),X:X,0)</f>
        <v>#NUM!</v>
      </c>
      <c r="Z74" s="128" t="e">
        <f ca="1">OFFSET($C$62,MATCH(INDEX(X:X,SMALL(OFFSET(Y$63,0,0,COUNTIF(X:X,"&gt;0"),1),ROWS(X$63:X74)),1),X$63:X$77,0),1,1,1)</f>
        <v>#NUM!</v>
      </c>
      <c r="AA74" s="128" t="e">
        <f ca="1">OFFSET(C$62,MATCH(INDEX(X:X,SMALL(OFFSET(Y$63,0,0,COUNTIF(X:X,"&gt;0"),1),ROWS(X$63:X74)),1),X$63:X$77,0),0,1,1)</f>
        <v>#NUM!</v>
      </c>
      <c r="AB74" s="126"/>
      <c r="AC74" s="128">
        <f>E74+(ROWS(E$63:E74)/1000*(E74&lt;&gt;0))</f>
        <v>0</v>
      </c>
      <c r="AD74" s="126" t="e">
        <f>MATCH(SMALL(AC:AC,COUNTIF(AC:AC,0)+ROWS(AC$3:AC14)),AC:AC,0)</f>
        <v>#NUM!</v>
      </c>
      <c r="AE74" s="128" t="e">
        <f ca="1">OFFSET($C$62,MATCH(INDEX(AC:AC,SMALL(OFFSET(AD$63,0,0,COUNTIF(AC:AC,"&gt;0"),1),ROWS(AC$63:AC74)),1),AC$63:AC$77,0),2,1,1)</f>
        <v>#NUM!</v>
      </c>
      <c r="AF74" s="128" t="e">
        <f ca="1">OFFSET(C$62,MATCH(INDEX(AC:AC,SMALL(OFFSET(AD$63,0,0,COUNTIF(AC:AC,"&gt;0"),1),ROWS(AC$63:AC74)),1),AC$63:AC$77,0),0,1,1)</f>
        <v>#NUM!</v>
      </c>
      <c r="AG74" s="126"/>
    </row>
    <row r="75" spans="2:33" ht="15" customHeight="1">
      <c r="B75" s="72"/>
      <c r="C75" s="127" t="s">
        <v>191</v>
      </c>
      <c r="D75" s="80">
        <f>SUMIF(Expense!$C$4:$C$51,C75,Expense!$E$4:$E$51)</f>
        <v>0</v>
      </c>
      <c r="E75" s="80">
        <f>SUMIF(Expense!$C$4:$C$51,C75,Expense!$F$4:$F$51)</f>
        <v>0</v>
      </c>
      <c r="F75" s="73"/>
      <c r="G75" s="73"/>
      <c r="H75" s="73"/>
      <c r="I75" s="73"/>
      <c r="J75" s="73"/>
      <c r="K75" s="73"/>
      <c r="L75" s="73"/>
      <c r="M75" s="73"/>
      <c r="N75" s="73"/>
      <c r="O75" s="75"/>
      <c r="W75" s="126"/>
      <c r="X75" s="128">
        <f>D75+(ROWS(D$63:D75)/1000*(D75&lt;&gt;0))</f>
        <v>0</v>
      </c>
      <c r="Y75" s="126" t="e">
        <f>MATCH(SMALL(X:X,COUNTIF(X:X,0)+ROWS(X$3:X15)),X:X,0)</f>
        <v>#NUM!</v>
      </c>
      <c r="Z75" s="128" t="e">
        <f ca="1">OFFSET($C$62,MATCH(INDEX(X:X,SMALL(OFFSET(Y$63,0,0,COUNTIF(X:X,"&gt;0"),1),ROWS(X$63:X75)),1),X$63:X$77,0),1,1,1)</f>
        <v>#NUM!</v>
      </c>
      <c r="AA75" s="128" t="e">
        <f ca="1">OFFSET(C$62,MATCH(INDEX(X:X,SMALL(OFFSET(Y$63,0,0,COUNTIF(X:X,"&gt;0"),1),ROWS(X$63:X75)),1),X$63:X$77,0),0,1,1)</f>
        <v>#NUM!</v>
      </c>
      <c r="AB75" s="126"/>
      <c r="AC75" s="128">
        <f>E75+(ROWS(E$63:E75)/1000*(E75&lt;&gt;0))</f>
        <v>0</v>
      </c>
      <c r="AD75" s="126" t="e">
        <f>MATCH(SMALL(AC:AC,COUNTIF(AC:AC,0)+ROWS(AC$3:AC15)),AC:AC,0)</f>
        <v>#NUM!</v>
      </c>
      <c r="AE75" s="128" t="e">
        <f ca="1">OFFSET($C$62,MATCH(INDEX(AC:AC,SMALL(OFFSET(AD$63,0,0,COUNTIF(AC:AC,"&gt;0"),1),ROWS(AC$63:AC75)),1),AC$63:AC$77,0),2,1,1)</f>
        <v>#NUM!</v>
      </c>
      <c r="AF75" s="128" t="e">
        <f ca="1">OFFSET(C$62,MATCH(INDEX(AC:AC,SMALL(OFFSET(AD$63,0,0,COUNTIF(AC:AC,"&gt;0"),1),ROWS(AC$63:AC75)),1),AC$63:AC$77,0),0,1,1)</f>
        <v>#NUM!</v>
      </c>
      <c r="AG75" s="126"/>
    </row>
    <row r="76" spans="2:33" ht="15" customHeight="1">
      <c r="B76" s="72"/>
      <c r="C76" s="127"/>
      <c r="D76" s="80">
        <f>SUMIF(Expense!$C$4:$C$51,C76,Expense!$E$4:$E$51)</f>
        <v>0</v>
      </c>
      <c r="E76" s="80">
        <f>SUMIF(Expense!$C$4:$C$51,C76,Expense!$F$4:$F$51)</f>
        <v>0</v>
      </c>
      <c r="F76" s="73"/>
      <c r="G76" s="73"/>
      <c r="H76" s="73"/>
      <c r="I76" s="73"/>
      <c r="J76" s="73"/>
      <c r="K76" s="73"/>
      <c r="L76" s="73"/>
      <c r="M76" s="73"/>
      <c r="N76" s="73"/>
      <c r="O76" s="75"/>
      <c r="W76" s="126"/>
      <c r="X76" s="128">
        <f>D76+(ROWS(D$63:D76)/1000*(D76&lt;&gt;0))</f>
        <v>0</v>
      </c>
      <c r="Y76" s="126" t="e">
        <f>MATCH(SMALL(X:X,COUNTIF(X:X,0)+ROWS(X$3:X16)),X:X,0)</f>
        <v>#NUM!</v>
      </c>
      <c r="Z76" s="128" t="e">
        <f ca="1">OFFSET($C$62,MATCH(INDEX(X:X,SMALL(OFFSET(Y$63,0,0,COUNTIF(X:X,"&gt;0"),1),ROWS(X$63:X76)),1),X$63:X$77,0),1,1,1)</f>
        <v>#NUM!</v>
      </c>
      <c r="AA76" s="128" t="e">
        <f ca="1">OFFSET(C$62,MATCH(INDEX(X:X,SMALL(OFFSET(Y$63,0,0,COUNTIF(X:X,"&gt;0"),1),ROWS(X$63:X76)),1),X$63:X$77,0),0,1,1)</f>
        <v>#NUM!</v>
      </c>
      <c r="AB76" s="126"/>
      <c r="AC76" s="128">
        <f>E76+(ROWS(E$63:E76)/1000*(E76&lt;&gt;0))</f>
        <v>0</v>
      </c>
      <c r="AD76" s="126" t="e">
        <f>MATCH(SMALL(AC:AC,COUNTIF(AC:AC,0)+ROWS(AC$3:AC16)),AC:AC,0)</f>
        <v>#NUM!</v>
      </c>
      <c r="AE76" s="128" t="e">
        <f ca="1">OFFSET($C$62,MATCH(INDEX(AC:AC,SMALL(OFFSET(AD$63,0,0,COUNTIF(AC:AC,"&gt;0"),1),ROWS(AC$63:AC76)),1),AC$63:AC$77,0),2,1,1)</f>
        <v>#NUM!</v>
      </c>
      <c r="AF76" s="128" t="e">
        <f ca="1">OFFSET(C$62,MATCH(INDEX(AC:AC,SMALL(OFFSET(AD$63,0,0,COUNTIF(AC:AC,"&gt;0"),1),ROWS(AC$63:AC76)),1),AC$63:AC$77,0),0,1,1)</f>
        <v>#NUM!</v>
      </c>
      <c r="AG76" s="126"/>
    </row>
    <row r="77" spans="2:33" ht="15" customHeight="1">
      <c r="B77" s="72"/>
      <c r="C77" s="127" t="str">
        <f>PROPER(Lookup!C16)</f>
        <v/>
      </c>
      <c r="D77" s="80">
        <f>SUMIF(Expense!$C$4:$C$51,C77,Expense!$E$4:$E$51)</f>
        <v>0</v>
      </c>
      <c r="E77" s="80">
        <f>SUMIF(Expense!$C$4:$C$51,C77,Expense!$F$4:$F$51)</f>
        <v>0</v>
      </c>
      <c r="F77" s="73"/>
      <c r="G77" s="73"/>
      <c r="H77" s="73"/>
      <c r="I77" s="73"/>
      <c r="J77" s="90" t="s">
        <v>124</v>
      </c>
      <c r="K77" s="73"/>
      <c r="L77" s="73"/>
      <c r="M77" s="73"/>
      <c r="N77" s="73"/>
      <c r="O77" s="75"/>
      <c r="W77" s="126"/>
      <c r="X77" s="128">
        <f>D77+(ROWS(D$63:D77)/1000*(D77&lt;&gt;0))</f>
        <v>0</v>
      </c>
      <c r="Y77" s="126" t="e">
        <f>MATCH(SMALL(X:X,COUNTIF(X:X,0)+ROWS(X$3:X17)),X:X,0)</f>
        <v>#NUM!</v>
      </c>
      <c r="Z77" s="128" t="e">
        <f ca="1">OFFSET($C$62,MATCH(INDEX(X:X,SMALL(OFFSET(Y$63,0,0,COUNTIF(X:X,"&gt;0"),1),ROWS(X$63:X77)),1),X$63:X$77,0),1,1,1)</f>
        <v>#NUM!</v>
      </c>
      <c r="AA77" s="128" t="e">
        <f ca="1">OFFSET(C$62,MATCH(INDEX(X:X,SMALL(OFFSET(Y$63,0,0,COUNTIF(X:X,"&gt;0"),1),ROWS(X$63:X77)),1),X$63:X$77,0),0,1,1)</f>
        <v>#NUM!</v>
      </c>
      <c r="AB77" s="126"/>
      <c r="AC77" s="128">
        <f>E77+(ROWS(E$63:E77)/1000*(E77&lt;&gt;0))</f>
        <v>0</v>
      </c>
      <c r="AD77" s="126" t="e">
        <f>MATCH(SMALL(AC:AC,COUNTIF(AC:AC,0)+ROWS(AC$3:AC17)),AC:AC,0)</f>
        <v>#NUM!</v>
      </c>
      <c r="AE77" s="128" t="e">
        <f ca="1">OFFSET($C$62,MATCH(INDEX(AC:AC,SMALL(OFFSET(AD$63,0,0,COUNTIF(AC:AC,"&gt;0"),1),ROWS(AC$63:AC77)),1),AC$63:AC$77,0),2,1,1)</f>
        <v>#NUM!</v>
      </c>
      <c r="AF77" s="128" t="e">
        <f ca="1">OFFSET(C$62,MATCH(INDEX(AC:AC,SMALL(OFFSET(AD$63,0,0,COUNTIF(AC:AC,"&gt;0"),1),ROWS(AC$63:AC77)),1),AC$63:AC$77,0),0,1,1)</f>
        <v>#NUM!</v>
      </c>
      <c r="AG77" s="126"/>
    </row>
    <row r="78" spans="2:33">
      <c r="B78" s="72"/>
      <c r="C78" s="129" t="s">
        <v>75</v>
      </c>
      <c r="D78" s="130">
        <f>SUMIF(D63:D77,"&lt;&gt;#N/A")</f>
        <v>39000</v>
      </c>
      <c r="E78" s="130">
        <f>SUMIF(E63:E77,"&lt;&gt;#N/A")</f>
        <v>14900</v>
      </c>
      <c r="F78" s="73"/>
      <c r="G78" s="73"/>
      <c r="H78" s="73"/>
      <c r="I78" s="73"/>
      <c r="J78" s="60" t="s">
        <v>121</v>
      </c>
      <c r="K78" s="73"/>
      <c r="L78" s="73"/>
      <c r="M78" s="73"/>
      <c r="N78" s="73"/>
      <c r="O78" s="75"/>
      <c r="W78" s="126"/>
      <c r="X78" s="126"/>
      <c r="Y78" s="126"/>
      <c r="Z78" s="126"/>
      <c r="AA78" s="126"/>
      <c r="AB78" s="126"/>
      <c r="AC78" s="126"/>
      <c r="AD78" s="126"/>
      <c r="AE78" s="126"/>
      <c r="AF78" s="126"/>
      <c r="AG78" s="126"/>
    </row>
    <row r="79" spans="2:33" ht="15.75" thickBot="1">
      <c r="B79" s="91"/>
      <c r="C79" s="92"/>
      <c r="D79" s="92"/>
      <c r="E79" s="93"/>
      <c r="F79" s="92"/>
      <c r="G79" s="92"/>
      <c r="H79" s="92"/>
      <c r="I79" s="92"/>
      <c r="J79" s="61"/>
      <c r="K79" s="92"/>
      <c r="L79" s="92"/>
      <c r="M79" s="92"/>
      <c r="N79" s="92"/>
      <c r="O79" s="95"/>
    </row>
    <row r="80" spans="2:33" ht="15.75" thickBot="1"/>
    <row r="81" spans="2:44">
      <c r="B81" s="67"/>
      <c r="C81" s="69"/>
      <c r="D81" s="69"/>
      <c r="E81" s="98"/>
      <c r="F81" s="69"/>
      <c r="G81" s="69"/>
      <c r="H81" s="69"/>
      <c r="I81" s="69"/>
      <c r="J81" s="69"/>
      <c r="K81" s="69"/>
      <c r="L81" s="69"/>
      <c r="M81" s="69"/>
      <c r="N81" s="69"/>
      <c r="O81" s="71"/>
    </row>
    <row r="82" spans="2:44" ht="15.75">
      <c r="B82" s="72"/>
      <c r="C82" s="76" t="s">
        <v>115</v>
      </c>
      <c r="D82" s="73"/>
      <c r="E82" s="74"/>
      <c r="F82" s="73"/>
      <c r="G82" s="73"/>
      <c r="H82" s="73"/>
      <c r="I82" s="73"/>
      <c r="J82" s="73"/>
      <c r="K82" s="73"/>
      <c r="L82" s="73"/>
      <c r="M82" s="73"/>
      <c r="N82" s="73"/>
      <c r="O82" s="75"/>
      <c r="AH82" s="131"/>
      <c r="AI82" s="131"/>
      <c r="AJ82" s="131"/>
      <c r="AK82" s="131"/>
      <c r="AL82" s="131"/>
      <c r="AM82" s="131"/>
      <c r="AN82" s="131"/>
      <c r="AO82" s="131"/>
      <c r="AP82" s="131"/>
      <c r="AQ82" s="131"/>
      <c r="AR82" s="131"/>
    </row>
    <row r="83" spans="2:44">
      <c r="B83" s="72"/>
      <c r="C83" s="125" t="s">
        <v>107</v>
      </c>
      <c r="D83" s="125" t="s">
        <v>82</v>
      </c>
      <c r="E83" s="125" t="s">
        <v>83</v>
      </c>
      <c r="F83" s="73"/>
      <c r="G83" s="73"/>
      <c r="H83" s="73"/>
      <c r="I83" s="73"/>
      <c r="J83" s="73"/>
      <c r="K83" s="73"/>
      <c r="L83" s="73"/>
      <c r="M83" s="73"/>
      <c r="N83" s="73"/>
      <c r="O83" s="75"/>
      <c r="Q83" s="132"/>
      <c r="R83" s="131"/>
      <c r="S83" s="131"/>
      <c r="T83" s="131"/>
      <c r="U83" s="132"/>
      <c r="V83" s="131"/>
      <c r="W83" s="131"/>
      <c r="X83" s="131"/>
      <c r="AH83" s="132"/>
      <c r="AI83" s="131"/>
      <c r="AJ83" s="131"/>
      <c r="AK83" s="131"/>
      <c r="AL83" s="131"/>
      <c r="AM83" s="131"/>
      <c r="AN83" s="131"/>
      <c r="AO83" s="131"/>
      <c r="AP83" s="131"/>
      <c r="AQ83" s="131"/>
      <c r="AR83" s="131"/>
    </row>
    <row r="84" spans="2:44">
      <c r="B84" s="72"/>
      <c r="C84" s="79" t="s">
        <v>78</v>
      </c>
      <c r="D84" s="80">
        <f>SUMIF(Expense!$K$4:$K$51,M84,Expense!$E$4:$E$51)</f>
        <v>11800</v>
      </c>
      <c r="E84" s="80">
        <f>SUMIF(Expense!$K$4:$K$51,M84,Expense!$F$4:$F$51)</f>
        <v>11800</v>
      </c>
      <c r="F84" s="73"/>
      <c r="G84" s="73"/>
      <c r="H84" s="73"/>
      <c r="I84" s="73"/>
      <c r="J84" s="73"/>
      <c r="K84" s="73"/>
      <c r="L84" s="73"/>
      <c r="M84" s="131">
        <f t="array" ref="M84">MIN(IF(Expense!K4:K51&gt;0,Expense!K4:K51))</f>
        <v>27</v>
      </c>
      <c r="N84" s="73"/>
      <c r="O84" s="75"/>
      <c r="Q84" s="133"/>
      <c r="R84" s="131"/>
      <c r="S84" s="133"/>
      <c r="T84" s="133"/>
      <c r="U84" s="133"/>
      <c r="V84" s="131"/>
      <c r="W84" s="133"/>
      <c r="X84" s="133"/>
      <c r="AH84" s="133"/>
      <c r="AI84" s="131"/>
      <c r="AJ84" s="133"/>
      <c r="AK84" s="133"/>
      <c r="AL84" s="131"/>
      <c r="AM84" s="131"/>
      <c r="AN84" s="131"/>
      <c r="AO84" s="131"/>
      <c r="AP84" s="131"/>
      <c r="AQ84" s="131"/>
      <c r="AR84" s="131"/>
    </row>
    <row r="85" spans="2:44">
      <c r="B85" s="72"/>
      <c r="C85" s="79" t="s">
        <v>79</v>
      </c>
      <c r="D85" s="80">
        <f>SUMIF(Expense!$K$4:$K$51,M85,Expense!$E$4:$E$51)</f>
        <v>5000</v>
      </c>
      <c r="E85" s="80">
        <f>SUMIF(Expense!$K$4:$K$51,M85,Expense!$F$4:$F$51)</f>
        <v>0</v>
      </c>
      <c r="F85" s="73"/>
      <c r="G85" s="73"/>
      <c r="H85" s="73"/>
      <c r="I85" s="73"/>
      <c r="J85" s="73"/>
      <c r="K85" s="73"/>
      <c r="L85" s="73"/>
      <c r="M85" s="131">
        <f>M84+1</f>
        <v>28</v>
      </c>
      <c r="N85" s="73"/>
      <c r="O85" s="75"/>
      <c r="Q85" s="133"/>
      <c r="R85" s="131"/>
      <c r="S85" s="133"/>
      <c r="T85" s="133"/>
      <c r="U85" s="133"/>
      <c r="V85" s="131"/>
      <c r="W85" s="133"/>
      <c r="X85" s="133"/>
      <c r="AH85" s="133"/>
      <c r="AI85" s="131"/>
      <c r="AJ85" s="133"/>
      <c r="AK85" s="133"/>
      <c r="AL85" s="131"/>
      <c r="AM85" s="131"/>
      <c r="AN85" s="131"/>
      <c r="AO85" s="131"/>
      <c r="AP85" s="131"/>
      <c r="AQ85" s="131"/>
      <c r="AR85" s="131"/>
    </row>
    <row r="86" spans="2:44">
      <c r="B86" s="72"/>
      <c r="C86" s="79" t="s">
        <v>80</v>
      </c>
      <c r="D86" s="80">
        <f>SUMIF(Expense!$K$4:$K$51,M86,Expense!$E$4:$E$51)</f>
        <v>3800</v>
      </c>
      <c r="E86" s="80">
        <f>SUMIF(Expense!$K$4:$K$51,M86,Expense!$F$4:$F$51)</f>
        <v>1300</v>
      </c>
      <c r="F86" s="73"/>
      <c r="G86" s="73"/>
      <c r="H86" s="73"/>
      <c r="I86" s="73"/>
      <c r="J86" s="73"/>
      <c r="K86" s="73"/>
      <c r="L86" s="73"/>
      <c r="M86" s="131">
        <f>M85+1</f>
        <v>29</v>
      </c>
      <c r="N86" s="73"/>
      <c r="O86" s="75"/>
      <c r="Q86" s="133"/>
      <c r="R86" s="131"/>
      <c r="S86" s="133"/>
      <c r="T86" s="133"/>
      <c r="U86" s="133"/>
      <c r="V86" s="131"/>
      <c r="W86" s="133"/>
      <c r="X86" s="133"/>
      <c r="AH86" s="133"/>
      <c r="AI86" s="131"/>
      <c r="AJ86" s="133"/>
      <c r="AK86" s="133"/>
      <c r="AL86" s="131"/>
      <c r="AM86" s="131"/>
      <c r="AN86" s="131"/>
      <c r="AO86" s="131"/>
      <c r="AP86" s="131"/>
      <c r="AQ86" s="131"/>
      <c r="AR86" s="131"/>
    </row>
    <row r="87" spans="2:44">
      <c r="B87" s="72"/>
      <c r="C87" s="79" t="s">
        <v>81</v>
      </c>
      <c r="D87" s="80">
        <f>SUMIF(Expense!$K$4:$K$51,M87,Expense!$E$4:$E$51)</f>
        <v>13100</v>
      </c>
      <c r="E87" s="80">
        <f>SUMIF(Expense!$K$4:$K$51,M87,Expense!$F$4:$F$51)</f>
        <v>0</v>
      </c>
      <c r="F87" s="73"/>
      <c r="G87" s="73"/>
      <c r="H87" s="73"/>
      <c r="I87" s="73"/>
      <c r="J87" s="73"/>
      <c r="K87" s="73"/>
      <c r="L87" s="73"/>
      <c r="M87" s="131">
        <f>M86+1</f>
        <v>30</v>
      </c>
      <c r="N87" s="73"/>
      <c r="O87" s="75"/>
      <c r="Q87" s="133"/>
      <c r="R87" s="131"/>
      <c r="S87" s="133"/>
      <c r="T87" s="133"/>
      <c r="U87" s="133"/>
      <c r="V87" s="131"/>
      <c r="W87" s="133"/>
      <c r="X87" s="133"/>
      <c r="AH87" s="133"/>
      <c r="AI87" s="131"/>
      <c r="AJ87" s="133"/>
      <c r="AK87" s="133"/>
      <c r="AL87" s="131"/>
      <c r="AM87" s="131"/>
      <c r="AN87" s="131"/>
      <c r="AO87" s="131"/>
      <c r="AP87" s="131"/>
      <c r="AQ87" s="131"/>
      <c r="AR87" s="131"/>
    </row>
    <row r="88" spans="2:44">
      <c r="B88" s="72"/>
      <c r="C88" s="79" t="str">
        <f>IF(M88&lt;&gt;"","Week 5","")</f>
        <v>Week 5</v>
      </c>
      <c r="D88" s="80">
        <f>IF(M88&lt;&gt;"",SUMIF(Expense!$K$4:$K$51,M88,Expense!$E$4:$E$51),"")</f>
        <v>5300</v>
      </c>
      <c r="E88" s="80">
        <f>IF(M88&lt;&gt;"",SUMIF(Expense!$K$4:$K$51,M88,Expense!$F$4:$F$51),"")</f>
        <v>1800</v>
      </c>
      <c r="F88" s="73"/>
      <c r="G88" s="73"/>
      <c r="H88" s="73"/>
      <c r="I88" s="73"/>
      <c r="J88" s="73"/>
      <c r="K88" s="73"/>
      <c r="L88" s="73"/>
      <c r="M88" s="131">
        <f>IF((MAX(Expense!K4:K21))&gt;M87,(MAX(Expense!K4:K21)),"")</f>
        <v>31</v>
      </c>
      <c r="N88" s="73"/>
      <c r="O88" s="75"/>
      <c r="Q88" s="133"/>
      <c r="R88" s="131"/>
      <c r="S88" s="133"/>
      <c r="T88" s="133"/>
      <c r="U88" s="133"/>
      <c r="V88" s="131"/>
      <c r="W88" s="133"/>
      <c r="X88" s="133"/>
      <c r="AH88" s="133"/>
      <c r="AI88" s="131"/>
      <c r="AJ88" s="133"/>
      <c r="AK88" s="133"/>
      <c r="AL88" s="131"/>
      <c r="AM88" s="131"/>
      <c r="AN88" s="131"/>
      <c r="AO88" s="131"/>
      <c r="AP88" s="131"/>
      <c r="AQ88" s="131"/>
      <c r="AR88" s="131"/>
    </row>
    <row r="89" spans="2:44">
      <c r="B89" s="72"/>
      <c r="C89" s="129" t="s">
        <v>86</v>
      </c>
      <c r="D89" s="130">
        <f>SUM(D84:D88)</f>
        <v>39000</v>
      </c>
      <c r="E89" s="130">
        <f>SUM(E84:E88)</f>
        <v>14900</v>
      </c>
      <c r="F89" s="73"/>
      <c r="G89" s="73"/>
      <c r="H89" s="73"/>
      <c r="I89" s="73"/>
      <c r="J89" s="73"/>
      <c r="K89" s="73"/>
      <c r="L89" s="73"/>
      <c r="M89" s="73"/>
      <c r="N89" s="73"/>
      <c r="O89" s="75"/>
      <c r="Q89" s="131"/>
      <c r="R89" s="131"/>
      <c r="S89" s="131"/>
      <c r="T89" s="131"/>
      <c r="U89" s="131"/>
      <c r="V89" s="131"/>
      <c r="AH89" s="131"/>
      <c r="AI89" s="131"/>
      <c r="AJ89" s="131"/>
      <c r="AK89" s="131"/>
      <c r="AL89" s="131"/>
      <c r="AM89" s="131"/>
      <c r="AN89" s="131"/>
      <c r="AO89" s="131"/>
      <c r="AP89" s="131"/>
      <c r="AQ89" s="131"/>
      <c r="AR89" s="131"/>
    </row>
    <row r="90" spans="2:44">
      <c r="B90" s="72"/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5"/>
      <c r="Q90" s="131"/>
      <c r="R90" s="131"/>
      <c r="S90" s="131"/>
      <c r="T90" s="131"/>
      <c r="U90" s="131"/>
      <c r="V90" s="131"/>
      <c r="AH90" s="131"/>
      <c r="AI90" s="131"/>
      <c r="AJ90" s="131"/>
      <c r="AK90" s="131"/>
      <c r="AL90" s="131"/>
      <c r="AM90" s="131"/>
      <c r="AN90" s="131"/>
      <c r="AO90" s="131"/>
      <c r="AP90" s="131"/>
      <c r="AQ90" s="131"/>
      <c r="AR90" s="131"/>
    </row>
    <row r="91" spans="2:44">
      <c r="B91" s="72"/>
      <c r="C91" s="73"/>
      <c r="D91" s="73"/>
      <c r="E91" s="74"/>
      <c r="F91" s="73"/>
      <c r="G91" s="73"/>
      <c r="H91" s="73"/>
      <c r="I91" s="73"/>
      <c r="J91" s="73"/>
      <c r="K91" s="73"/>
      <c r="L91" s="73"/>
      <c r="M91" s="73"/>
      <c r="N91" s="73"/>
      <c r="O91" s="75"/>
      <c r="AH91" s="131"/>
      <c r="AI91" s="131"/>
      <c r="AJ91" s="131"/>
      <c r="AK91" s="131"/>
      <c r="AL91" s="131"/>
      <c r="AM91" s="131"/>
      <c r="AN91" s="131"/>
      <c r="AO91" s="131"/>
      <c r="AP91" s="131"/>
      <c r="AQ91" s="131"/>
      <c r="AR91" s="131"/>
    </row>
    <row r="92" spans="2:44">
      <c r="B92" s="72"/>
      <c r="C92" s="73"/>
      <c r="D92" s="73"/>
      <c r="E92" s="74"/>
      <c r="F92" s="73"/>
      <c r="G92" s="73"/>
      <c r="H92" s="73"/>
      <c r="I92" s="73"/>
      <c r="J92" s="73"/>
      <c r="K92" s="73"/>
      <c r="L92" s="73"/>
      <c r="M92" s="73"/>
      <c r="N92" s="73"/>
      <c r="O92" s="75"/>
    </row>
    <row r="93" spans="2:44">
      <c r="B93" s="72"/>
      <c r="C93" s="73"/>
      <c r="D93" s="73"/>
      <c r="E93" s="74"/>
      <c r="F93" s="73"/>
      <c r="G93" s="73"/>
      <c r="H93" s="73"/>
      <c r="I93" s="73"/>
      <c r="J93" s="73"/>
      <c r="K93" s="73"/>
      <c r="L93" s="73"/>
      <c r="M93" s="73"/>
      <c r="N93" s="73"/>
      <c r="O93" s="75"/>
    </row>
    <row r="94" spans="2:44">
      <c r="B94" s="72"/>
      <c r="C94" s="73"/>
      <c r="D94" s="73"/>
      <c r="E94" s="74"/>
      <c r="F94" s="73"/>
      <c r="G94" s="73"/>
      <c r="H94" s="73"/>
      <c r="I94" s="73"/>
      <c r="J94" s="73"/>
      <c r="K94" s="73"/>
      <c r="L94" s="73"/>
      <c r="M94" s="73"/>
      <c r="N94" s="73"/>
      <c r="O94" s="75"/>
    </row>
    <row r="95" spans="2:44">
      <c r="B95" s="72"/>
      <c r="C95" s="73"/>
      <c r="D95" s="73"/>
      <c r="E95" s="74"/>
      <c r="F95" s="73"/>
      <c r="G95" s="73"/>
      <c r="H95" s="73"/>
      <c r="I95" s="73"/>
      <c r="J95" s="73"/>
      <c r="K95" s="73"/>
      <c r="L95" s="73"/>
      <c r="M95" s="73"/>
      <c r="N95" s="73"/>
      <c r="O95" s="75"/>
    </row>
    <row r="96" spans="2:44">
      <c r="B96" s="72"/>
      <c r="C96" s="73"/>
      <c r="D96" s="73"/>
      <c r="E96" s="74"/>
      <c r="F96" s="73"/>
      <c r="G96" s="73"/>
      <c r="H96" s="73"/>
      <c r="I96" s="73"/>
      <c r="J96" s="73"/>
      <c r="K96" s="73"/>
      <c r="L96" s="73"/>
      <c r="M96" s="73"/>
      <c r="N96" s="73"/>
      <c r="O96" s="75"/>
    </row>
    <row r="97" spans="2:15">
      <c r="B97" s="72"/>
      <c r="C97" s="73"/>
      <c r="D97" s="73"/>
      <c r="E97" s="74"/>
      <c r="F97" s="73"/>
      <c r="G97" s="73"/>
      <c r="H97" s="73"/>
      <c r="I97" s="73"/>
      <c r="J97" s="73"/>
      <c r="K97" s="73"/>
      <c r="L97" s="73"/>
      <c r="M97" s="73"/>
      <c r="N97" s="73"/>
      <c r="O97" s="75"/>
    </row>
    <row r="98" spans="2:15">
      <c r="B98" s="72"/>
      <c r="C98" s="73"/>
      <c r="D98" s="73"/>
      <c r="E98" s="74"/>
      <c r="F98" s="73"/>
      <c r="G98" s="73"/>
      <c r="H98" s="73"/>
      <c r="I98" s="73"/>
      <c r="J98" s="73"/>
      <c r="K98" s="73"/>
      <c r="L98" s="73"/>
      <c r="M98" s="73"/>
      <c r="N98" s="73"/>
      <c r="O98" s="75"/>
    </row>
    <row r="99" spans="2:15">
      <c r="B99" s="72"/>
      <c r="C99" s="73"/>
      <c r="D99" s="73"/>
      <c r="E99" s="74"/>
      <c r="F99" s="73"/>
      <c r="G99" s="73"/>
      <c r="H99" s="73"/>
      <c r="I99" s="73"/>
      <c r="J99" s="73"/>
      <c r="K99" s="73"/>
      <c r="L99" s="73"/>
      <c r="M99" s="73"/>
      <c r="N99" s="73"/>
      <c r="O99" s="75"/>
    </row>
    <row r="100" spans="2:15">
      <c r="B100" s="72"/>
      <c r="C100" s="73"/>
      <c r="D100" s="73"/>
      <c r="E100" s="74"/>
      <c r="F100" s="73"/>
      <c r="G100" s="73"/>
      <c r="H100" s="73"/>
      <c r="I100" s="73"/>
      <c r="J100" s="90" t="s">
        <v>124</v>
      </c>
      <c r="K100" s="73"/>
      <c r="L100" s="73"/>
      <c r="M100" s="73"/>
      <c r="N100" s="73"/>
      <c r="O100" s="75"/>
    </row>
    <row r="101" spans="2:15">
      <c r="B101" s="72"/>
      <c r="C101" s="73"/>
      <c r="D101" s="73"/>
      <c r="E101" s="74"/>
      <c r="F101" s="73"/>
      <c r="G101" s="73"/>
      <c r="H101" s="73"/>
      <c r="I101" s="73"/>
      <c r="J101" s="60" t="s">
        <v>121</v>
      </c>
      <c r="K101" s="73"/>
      <c r="L101" s="73"/>
      <c r="M101" s="73"/>
      <c r="N101" s="73"/>
      <c r="O101" s="75"/>
    </row>
    <row r="102" spans="2:15" ht="15.75" thickBot="1">
      <c r="B102" s="91"/>
      <c r="C102" s="92"/>
      <c r="D102" s="92"/>
      <c r="E102" s="93"/>
      <c r="F102" s="92"/>
      <c r="G102" s="92"/>
      <c r="H102" s="92"/>
      <c r="I102" s="92"/>
      <c r="J102" s="92"/>
      <c r="K102" s="92"/>
      <c r="L102" s="92"/>
      <c r="M102" s="92"/>
      <c r="N102" s="92"/>
      <c r="O102" s="95"/>
    </row>
    <row r="116" spans="6:8">
      <c r="G116" s="73"/>
      <c r="H116" s="73"/>
    </row>
    <row r="117" spans="6:8">
      <c r="G117" s="73"/>
      <c r="H117" s="73"/>
    </row>
    <row r="118" spans="6:8">
      <c r="F118" s="134"/>
      <c r="G118" s="134"/>
      <c r="H118" s="73"/>
    </row>
    <row r="119" spans="6:8">
      <c r="F119" s="66"/>
      <c r="G119" s="131"/>
      <c r="H119" s="73"/>
    </row>
    <row r="120" spans="6:8">
      <c r="F120" s="66"/>
      <c r="G120" s="66"/>
    </row>
    <row r="121" spans="6:8">
      <c r="F121" s="66"/>
      <c r="G121" s="66"/>
    </row>
    <row r="122" spans="6:8">
      <c r="F122" s="66"/>
      <c r="G122" s="66"/>
    </row>
    <row r="123" spans="6:8">
      <c r="F123" s="66"/>
      <c r="G123" s="66"/>
    </row>
    <row r="124" spans="6:8">
      <c r="F124" s="66"/>
      <c r="G124" s="66"/>
    </row>
    <row r="125" spans="6:8">
      <c r="F125" s="66"/>
      <c r="G125" s="66"/>
    </row>
    <row r="126" spans="6:8">
      <c r="F126" s="66"/>
      <c r="G126" s="66"/>
    </row>
    <row r="127" spans="6:8">
      <c r="F127" s="66"/>
      <c r="G127" s="66"/>
    </row>
    <row r="128" spans="6:8">
      <c r="F128" s="66"/>
      <c r="G128" s="66"/>
    </row>
    <row r="129" spans="6:7">
      <c r="F129" s="66"/>
      <c r="G129" s="66"/>
    </row>
    <row r="130" spans="6:7">
      <c r="F130" s="66"/>
      <c r="G130" s="66"/>
    </row>
    <row r="131" spans="6:7">
      <c r="F131" s="66"/>
      <c r="G131" s="66"/>
    </row>
    <row r="132" spans="6:7">
      <c r="F132" s="66"/>
      <c r="G132" s="66"/>
    </row>
    <row r="133" spans="6:7">
      <c r="F133" s="66"/>
      <c r="G133" s="66"/>
    </row>
  </sheetData>
  <sheetCalcPr fullCalcOnLoad="1"/>
  <mergeCells count="4">
    <mergeCell ref="C56:D56"/>
    <mergeCell ref="C43:D43"/>
    <mergeCell ref="C48:D48"/>
    <mergeCell ref="C55:D55"/>
  </mergeCells>
  <phoneticPr fontId="10" type="noConversion"/>
  <conditionalFormatting sqref="G6:G12">
    <cfRule type="expression" dxfId="2" priority="5" stopIfTrue="1">
      <formula>$G6&lt;0</formula>
    </cfRule>
  </conditionalFormatting>
  <conditionalFormatting sqref="E63:E77">
    <cfRule type="expression" dxfId="1" priority="2" stopIfTrue="1">
      <formula>ISERROR($E63)</formula>
    </cfRule>
  </conditionalFormatting>
  <conditionalFormatting sqref="D63:D77">
    <cfRule type="expression" dxfId="0" priority="1" stopIfTrue="1">
      <formula>ISERROR($D63)</formula>
    </cfRule>
  </conditionalFormatting>
  <hyperlinks>
    <hyperlink ref="J19" location="Instructions!F12" tooltip="Instructions Page" display="Back to Instruction Page"/>
    <hyperlink ref="J20" location="Expense!B4" tooltip="Enter Expenses for the Month" display="Enter Expenses for the Month"/>
    <hyperlink ref="J56" location="Instructions!F12" tooltip="Instructions Page" display="Back to Instruction Page"/>
    <hyperlink ref="J57" location="Expense!B4" tooltip="Enter Expenses for the Month" display="Enter Expenses for the Month"/>
    <hyperlink ref="J100" location="Instructions!F12" tooltip="Instructions Page" display="Back to Instruction Page"/>
    <hyperlink ref="J101" location="Expense!B4" tooltip="Enter Expenses for the Month" display="Enter Expenses for the Month"/>
    <hyperlink ref="J77" location="Instructions!F12" tooltip="Instructions Page" display="Back to Instruction Page"/>
    <hyperlink ref="J78" location="Expense!B4" tooltip="Enter Expenses for the Month" display="Enter Expenses for the Month"/>
  </hyperlinks>
  <pageMargins left="0.7" right="0.7" top="0.75" bottom="0.75" header="0.3" footer="0.3"/>
  <pageSetup orientation="portrait" r:id="rId1"/>
  <ignoredErrors>
    <ignoredError sqref="AD68:AF77 AD65:AF67 Y68:AB77" evalError="1"/>
    <ignoredError sqref="C26 C6" unlockedFormula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2" sqref="A2:F8"/>
    </sheetView>
  </sheetViews>
  <sheetFormatPr defaultRowHeight="15"/>
  <sheetData>
    <row r="1" spans="1:7">
      <c r="G1" s="2">
        <v>40330</v>
      </c>
    </row>
    <row r="10" spans="1:7">
      <c r="A10">
        <v>1</v>
      </c>
      <c r="B10" s="1">
        <f>DATE(YEAR($G$1),MONTH($G$1),A10)</f>
        <v>40330</v>
      </c>
    </row>
    <row r="11" spans="1:7">
      <c r="A11">
        <v>2</v>
      </c>
      <c r="B11" s="1">
        <f>DATE(YEAR($G$1),MONTH($G$1),A11)</f>
        <v>40331</v>
      </c>
    </row>
    <row r="12" spans="1:7">
      <c r="A12">
        <v>3</v>
      </c>
      <c r="B12" s="1">
        <f>DATE(YEAR($G$1),MONTH($G$1),A12)</f>
        <v>40332</v>
      </c>
    </row>
    <row r="13" spans="1:7">
      <c r="A13">
        <v>4</v>
      </c>
      <c r="B13" s="1">
        <f t="shared" ref="B13:B40" si="0">DATE(YEAR($G$1),MONTH($G$1),A13)</f>
        <v>40333</v>
      </c>
    </row>
    <row r="14" spans="1:7">
      <c r="A14">
        <v>5</v>
      </c>
      <c r="B14" s="1">
        <f t="shared" si="0"/>
        <v>40334</v>
      </c>
    </row>
    <row r="15" spans="1:7">
      <c r="A15">
        <v>6</v>
      </c>
      <c r="B15" s="1">
        <f t="shared" si="0"/>
        <v>40335</v>
      </c>
    </row>
    <row r="16" spans="1:7">
      <c r="A16">
        <v>7</v>
      </c>
      <c r="B16" s="1">
        <f t="shared" si="0"/>
        <v>40336</v>
      </c>
    </row>
    <row r="17" spans="1:2">
      <c r="A17">
        <v>8</v>
      </c>
      <c r="B17" s="1">
        <f t="shared" si="0"/>
        <v>40337</v>
      </c>
    </row>
    <row r="18" spans="1:2">
      <c r="A18">
        <v>9</v>
      </c>
      <c r="B18" s="1">
        <f t="shared" si="0"/>
        <v>40338</v>
      </c>
    </row>
    <row r="19" spans="1:2">
      <c r="A19">
        <v>10</v>
      </c>
      <c r="B19" s="1">
        <f t="shared" si="0"/>
        <v>40339</v>
      </c>
    </row>
    <row r="20" spans="1:2">
      <c r="A20">
        <v>11</v>
      </c>
      <c r="B20" s="1">
        <f t="shared" si="0"/>
        <v>40340</v>
      </c>
    </row>
    <row r="21" spans="1:2">
      <c r="A21">
        <v>12</v>
      </c>
      <c r="B21" s="1">
        <f t="shared" si="0"/>
        <v>40341</v>
      </c>
    </row>
    <row r="22" spans="1:2">
      <c r="A22">
        <v>13</v>
      </c>
      <c r="B22" s="1">
        <f t="shared" si="0"/>
        <v>40342</v>
      </c>
    </row>
    <row r="23" spans="1:2">
      <c r="A23">
        <v>14</v>
      </c>
      <c r="B23" s="1">
        <f t="shared" si="0"/>
        <v>40343</v>
      </c>
    </row>
    <row r="24" spans="1:2">
      <c r="A24">
        <v>15</v>
      </c>
      <c r="B24" s="1">
        <f t="shared" si="0"/>
        <v>40344</v>
      </c>
    </row>
    <row r="25" spans="1:2">
      <c r="A25">
        <v>16</v>
      </c>
      <c r="B25" s="1">
        <f t="shared" si="0"/>
        <v>40345</v>
      </c>
    </row>
    <row r="26" spans="1:2">
      <c r="A26">
        <v>17</v>
      </c>
      <c r="B26" s="1">
        <f t="shared" si="0"/>
        <v>40346</v>
      </c>
    </row>
    <row r="27" spans="1:2">
      <c r="A27">
        <v>18</v>
      </c>
      <c r="B27" s="1">
        <f t="shared" si="0"/>
        <v>40347</v>
      </c>
    </row>
    <row r="28" spans="1:2">
      <c r="A28">
        <v>19</v>
      </c>
      <c r="B28" s="1">
        <f t="shared" si="0"/>
        <v>40348</v>
      </c>
    </row>
    <row r="29" spans="1:2">
      <c r="A29">
        <v>20</v>
      </c>
      <c r="B29" s="1">
        <f t="shared" si="0"/>
        <v>40349</v>
      </c>
    </row>
    <row r="30" spans="1:2">
      <c r="A30">
        <v>21</v>
      </c>
      <c r="B30" s="1">
        <f t="shared" si="0"/>
        <v>40350</v>
      </c>
    </row>
    <row r="31" spans="1:2">
      <c r="A31">
        <v>22</v>
      </c>
      <c r="B31" s="1">
        <f t="shared" si="0"/>
        <v>40351</v>
      </c>
    </row>
    <row r="32" spans="1:2">
      <c r="A32">
        <v>23</v>
      </c>
      <c r="B32" s="1">
        <f t="shared" si="0"/>
        <v>40352</v>
      </c>
    </row>
    <row r="33" spans="1:2">
      <c r="A33">
        <v>24</v>
      </c>
      <c r="B33" s="1">
        <f t="shared" si="0"/>
        <v>40353</v>
      </c>
    </row>
    <row r="34" spans="1:2">
      <c r="A34">
        <v>25</v>
      </c>
      <c r="B34" s="1">
        <f t="shared" si="0"/>
        <v>40354</v>
      </c>
    </row>
    <row r="35" spans="1:2">
      <c r="A35">
        <v>26</v>
      </c>
      <c r="B35" s="1">
        <f t="shared" si="0"/>
        <v>40355</v>
      </c>
    </row>
    <row r="36" spans="1:2">
      <c r="A36">
        <v>27</v>
      </c>
      <c r="B36" s="1">
        <f t="shared" si="0"/>
        <v>40356</v>
      </c>
    </row>
    <row r="37" spans="1:2">
      <c r="A37">
        <v>28</v>
      </c>
      <c r="B37" s="1">
        <f t="shared" si="0"/>
        <v>40357</v>
      </c>
    </row>
    <row r="38" spans="1:2">
      <c r="A38">
        <v>29</v>
      </c>
      <c r="B38" s="1">
        <f t="shared" si="0"/>
        <v>40358</v>
      </c>
    </row>
    <row r="39" spans="1:2">
      <c r="A39">
        <v>30</v>
      </c>
      <c r="B39" s="1">
        <f t="shared" si="0"/>
        <v>40359</v>
      </c>
    </row>
    <row r="40" spans="1:2">
      <c r="A40">
        <v>31</v>
      </c>
      <c r="B40" s="1">
        <f t="shared" si="0"/>
        <v>40360</v>
      </c>
    </row>
  </sheetData>
  <phoneticPr fontId="10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21.85546875" bestFit="1" customWidth="1"/>
    <col min="2" max="3" width="21.85546875" customWidth="1"/>
    <col min="4" max="6" width="21.85546875" hidden="1" customWidth="1"/>
    <col min="7" max="10" width="21.85546875" customWidth="1"/>
    <col min="11" max="11" width="16.140625" bestFit="1" customWidth="1"/>
  </cols>
  <sheetData>
    <row r="1" spans="1:6">
      <c r="A1" s="48" t="s">
        <v>116</v>
      </c>
      <c r="B1" s="48" t="s">
        <v>45</v>
      </c>
      <c r="C1" s="48" t="s">
        <v>146</v>
      </c>
      <c r="F1" t="s">
        <v>117</v>
      </c>
    </row>
    <row r="2" spans="1:6">
      <c r="A2" t="s">
        <v>22</v>
      </c>
      <c r="B2" t="s">
        <v>20</v>
      </c>
      <c r="C2" t="s">
        <v>20</v>
      </c>
      <c r="D2" t="s">
        <v>69</v>
      </c>
      <c r="E2" t="s">
        <v>95</v>
      </c>
      <c r="F2" s="2">
        <v>40330</v>
      </c>
    </row>
    <row r="3" spans="1:6">
      <c r="A3" t="s">
        <v>10</v>
      </c>
      <c r="B3" t="s">
        <v>0</v>
      </c>
      <c r="C3" t="s">
        <v>0</v>
      </c>
      <c r="D3" t="s">
        <v>70</v>
      </c>
      <c r="E3" t="str">
        <f>Entry!G5</f>
        <v>IA-HDFC-John</v>
      </c>
      <c r="F3" s="2">
        <v>40360</v>
      </c>
    </row>
    <row r="4" spans="1:6">
      <c r="A4" t="s">
        <v>16</v>
      </c>
      <c r="B4" t="s">
        <v>14</v>
      </c>
      <c r="C4" t="s">
        <v>14</v>
      </c>
      <c r="D4" t="s">
        <v>71</v>
      </c>
      <c r="E4" t="str">
        <f>Entry!G6</f>
        <v>IA-CITI-Jenny</v>
      </c>
      <c r="F4" s="2">
        <v>40391</v>
      </c>
    </row>
    <row r="5" spans="1:6">
      <c r="A5" t="s">
        <v>132</v>
      </c>
      <c r="B5" t="s">
        <v>66</v>
      </c>
      <c r="C5" t="s">
        <v>53</v>
      </c>
      <c r="D5" t="s">
        <v>72</v>
      </c>
      <c r="E5" t="str">
        <f>Entry!G11</f>
        <v>CC-CITI-John-Master</v>
      </c>
      <c r="F5" s="2">
        <v>40422</v>
      </c>
    </row>
    <row r="6" spans="1:6">
      <c r="A6" t="s">
        <v>68</v>
      </c>
      <c r="B6" t="s">
        <v>29</v>
      </c>
      <c r="C6" t="s">
        <v>26</v>
      </c>
      <c r="E6" t="str">
        <f>Entry!G12</f>
        <v>CC-CITI-Jenny</v>
      </c>
      <c r="F6" s="2">
        <v>40452</v>
      </c>
    </row>
    <row r="7" spans="1:6">
      <c r="A7" t="s">
        <v>40</v>
      </c>
      <c r="B7" t="s">
        <v>53</v>
      </c>
      <c r="C7" t="s">
        <v>32</v>
      </c>
      <c r="E7" t="str">
        <f>Entry!G17</f>
        <v>SB-ICICI-John</v>
      </c>
      <c r="F7" s="2">
        <v>40483</v>
      </c>
    </row>
    <row r="8" spans="1:6">
      <c r="A8" t="s">
        <v>18</v>
      </c>
      <c r="B8" t="s">
        <v>14</v>
      </c>
      <c r="C8" t="s">
        <v>20</v>
      </c>
      <c r="E8" t="str">
        <f>Entry!G18</f>
        <v>SB-SBI-Jenny</v>
      </c>
      <c r="F8" s="2">
        <v>40513</v>
      </c>
    </row>
    <row r="9" spans="1:6">
      <c r="A9" t="str">
        <f>Entry!G11&amp;"-Payment"</f>
        <v>CC-CITI-John-Master-Payment</v>
      </c>
      <c r="B9" t="s">
        <v>26</v>
      </c>
      <c r="C9" t="s">
        <v>29</v>
      </c>
      <c r="F9" s="2">
        <v>40544</v>
      </c>
    </row>
    <row r="10" spans="1:6">
      <c r="A10" t="str">
        <f>Entry!G12&amp;"-Payment"</f>
        <v>CC-CITI-Jenny-Payment</v>
      </c>
      <c r="B10" t="s">
        <v>26</v>
      </c>
      <c r="C10" t="s">
        <v>52</v>
      </c>
      <c r="F10" s="2">
        <v>40575</v>
      </c>
    </row>
    <row r="11" spans="1:6">
      <c r="A11" t="s">
        <v>134</v>
      </c>
      <c r="B11" t="s">
        <v>0</v>
      </c>
      <c r="C11" t="s">
        <v>66</v>
      </c>
      <c r="F11" s="2">
        <v>40603</v>
      </c>
    </row>
    <row r="12" spans="1:6">
      <c r="A12" t="s">
        <v>34</v>
      </c>
      <c r="B12" t="s">
        <v>32</v>
      </c>
      <c r="C12" t="s">
        <v>31</v>
      </c>
      <c r="F12" s="2">
        <v>40634</v>
      </c>
    </row>
    <row r="13" spans="1:6">
      <c r="A13" t="s">
        <v>41</v>
      </c>
      <c r="B13" t="s">
        <v>53</v>
      </c>
      <c r="C13" t="s">
        <v>36</v>
      </c>
      <c r="F13" s="2">
        <v>40664</v>
      </c>
    </row>
    <row r="14" spans="1:6">
      <c r="A14" t="s">
        <v>7</v>
      </c>
      <c r="B14" t="s">
        <v>0</v>
      </c>
      <c r="C14" t="s">
        <v>38</v>
      </c>
      <c r="F14" s="2">
        <v>40695</v>
      </c>
    </row>
    <row r="15" spans="1:6">
      <c r="A15" t="s">
        <v>57</v>
      </c>
      <c r="B15" t="s">
        <v>26</v>
      </c>
      <c r="C15" t="s">
        <v>44</v>
      </c>
      <c r="F15" s="2">
        <v>40725</v>
      </c>
    </row>
    <row r="16" spans="1:6">
      <c r="A16" t="s">
        <v>58</v>
      </c>
      <c r="B16" t="s">
        <v>26</v>
      </c>
      <c r="F16" s="2">
        <v>40756</v>
      </c>
    </row>
    <row r="17" spans="1:6">
      <c r="A17" t="s">
        <v>84</v>
      </c>
      <c r="B17" t="s">
        <v>52</v>
      </c>
      <c r="F17" s="2">
        <v>40787</v>
      </c>
    </row>
    <row r="18" spans="1:6">
      <c r="A18" t="s">
        <v>24</v>
      </c>
      <c r="B18" t="s">
        <v>20</v>
      </c>
      <c r="F18" s="2">
        <v>40817</v>
      </c>
    </row>
    <row r="19" spans="1:6">
      <c r="A19" t="s">
        <v>8</v>
      </c>
      <c r="B19" t="s">
        <v>0</v>
      </c>
      <c r="F19" s="2">
        <v>40848</v>
      </c>
    </row>
    <row r="20" spans="1:6">
      <c r="A20" t="s">
        <v>111</v>
      </c>
      <c r="B20" t="s">
        <v>38</v>
      </c>
      <c r="F20" s="2">
        <v>40878</v>
      </c>
    </row>
    <row r="21" spans="1:6">
      <c r="A21" t="s">
        <v>33</v>
      </c>
      <c r="B21" t="s">
        <v>32</v>
      </c>
      <c r="F21" s="2">
        <v>40909</v>
      </c>
    </row>
    <row r="22" spans="1:6">
      <c r="A22" t="s">
        <v>39</v>
      </c>
      <c r="B22" t="s">
        <v>53</v>
      </c>
      <c r="F22" s="2">
        <v>40940</v>
      </c>
    </row>
    <row r="23" spans="1:6">
      <c r="A23" t="s">
        <v>30</v>
      </c>
      <c r="B23" t="s">
        <v>29</v>
      </c>
      <c r="F23" s="2">
        <v>40969</v>
      </c>
    </row>
    <row r="24" spans="1:6">
      <c r="A24" t="s">
        <v>42</v>
      </c>
      <c r="B24" t="s">
        <v>53</v>
      </c>
      <c r="F24" s="2">
        <v>41000</v>
      </c>
    </row>
    <row r="25" spans="1:6">
      <c r="A25" t="s">
        <v>47</v>
      </c>
      <c r="B25" t="s">
        <v>29</v>
      </c>
      <c r="F25" s="2">
        <v>41030</v>
      </c>
    </row>
    <row r="26" spans="1:6">
      <c r="A26" t="s">
        <v>109</v>
      </c>
      <c r="B26" t="s">
        <v>53</v>
      </c>
      <c r="F26" s="2">
        <v>41061</v>
      </c>
    </row>
    <row r="27" spans="1:6">
      <c r="A27" t="s">
        <v>48</v>
      </c>
      <c r="B27" t="s">
        <v>20</v>
      </c>
      <c r="F27" s="2">
        <v>41091</v>
      </c>
    </row>
    <row r="28" spans="1:6">
      <c r="A28" t="s">
        <v>133</v>
      </c>
      <c r="B28" t="s">
        <v>0</v>
      </c>
      <c r="F28" s="2">
        <v>41122</v>
      </c>
    </row>
    <row r="29" spans="1:6">
      <c r="A29" t="s">
        <v>59</v>
      </c>
      <c r="B29" t="s">
        <v>52</v>
      </c>
      <c r="F29" s="2">
        <v>41153</v>
      </c>
    </row>
    <row r="30" spans="1:6">
      <c r="A30" t="s">
        <v>67</v>
      </c>
      <c r="B30" t="s">
        <v>53</v>
      </c>
      <c r="F30" s="2">
        <v>41183</v>
      </c>
    </row>
    <row r="31" spans="1:6">
      <c r="A31" t="s">
        <v>23</v>
      </c>
      <c r="B31" t="s">
        <v>20</v>
      </c>
      <c r="F31" s="2">
        <v>41214</v>
      </c>
    </row>
    <row r="32" spans="1:6">
      <c r="A32" t="s">
        <v>49</v>
      </c>
      <c r="B32" t="s">
        <v>29</v>
      </c>
      <c r="F32" s="2">
        <v>41244</v>
      </c>
    </row>
    <row r="33" spans="1:2">
      <c r="A33" t="s">
        <v>25</v>
      </c>
      <c r="B33" t="s">
        <v>20</v>
      </c>
    </row>
    <row r="34" spans="1:2">
      <c r="A34" t="s">
        <v>12</v>
      </c>
      <c r="B34" t="s">
        <v>0</v>
      </c>
    </row>
    <row r="35" spans="1:2">
      <c r="A35" t="s">
        <v>37</v>
      </c>
      <c r="B35" t="s">
        <v>53</v>
      </c>
    </row>
    <row r="36" spans="1:2">
      <c r="A36" t="s">
        <v>113</v>
      </c>
      <c r="B36" t="s">
        <v>0</v>
      </c>
    </row>
    <row r="37" spans="1:2">
      <c r="A37" t="s">
        <v>114</v>
      </c>
      <c r="B37" t="s">
        <v>53</v>
      </c>
    </row>
    <row r="38" spans="1:2">
      <c r="A38" t="s">
        <v>6</v>
      </c>
      <c r="B38" t="s">
        <v>0</v>
      </c>
    </row>
    <row r="39" spans="1:2">
      <c r="A39" t="s">
        <v>17</v>
      </c>
      <c r="B39" t="s">
        <v>14</v>
      </c>
    </row>
    <row r="40" spans="1:2">
      <c r="A40" t="s">
        <v>63</v>
      </c>
      <c r="B40" t="s">
        <v>52</v>
      </c>
    </row>
    <row r="41" spans="1:2">
      <c r="A41" t="s">
        <v>112</v>
      </c>
      <c r="B41" t="s">
        <v>53</v>
      </c>
    </row>
    <row r="42" spans="1:2">
      <c r="A42" t="s">
        <v>43</v>
      </c>
      <c r="B42" t="s">
        <v>53</v>
      </c>
    </row>
    <row r="43" spans="1:2">
      <c r="A43" t="s">
        <v>27</v>
      </c>
      <c r="B43" t="s">
        <v>26</v>
      </c>
    </row>
    <row r="44" spans="1:2">
      <c r="A44" t="s">
        <v>61</v>
      </c>
      <c r="B44" t="s">
        <v>53</v>
      </c>
    </row>
    <row r="45" spans="1:2">
      <c r="A45" t="s">
        <v>62</v>
      </c>
      <c r="B45" t="s">
        <v>0</v>
      </c>
    </row>
    <row r="46" spans="1:2">
      <c r="A46" t="s">
        <v>35</v>
      </c>
      <c r="B46" t="s">
        <v>52</v>
      </c>
    </row>
    <row r="47" spans="1:2">
      <c r="A47" t="s">
        <v>50</v>
      </c>
      <c r="B47" t="s">
        <v>52</v>
      </c>
    </row>
    <row r="48" spans="1:2">
      <c r="A48" t="s">
        <v>51</v>
      </c>
      <c r="B48" t="s">
        <v>52</v>
      </c>
    </row>
    <row r="49" spans="1:2">
      <c r="A49" t="s">
        <v>110</v>
      </c>
      <c r="B49" t="s">
        <v>66</v>
      </c>
    </row>
    <row r="50" spans="1:2">
      <c r="A50" t="s">
        <v>64</v>
      </c>
      <c r="B50" t="s">
        <v>66</v>
      </c>
    </row>
    <row r="51" spans="1:2">
      <c r="A51" t="s">
        <v>65</v>
      </c>
      <c r="B51" t="s">
        <v>66</v>
      </c>
    </row>
    <row r="52" spans="1:2">
      <c r="A52" t="s">
        <v>60</v>
      </c>
      <c r="B52" t="s">
        <v>0</v>
      </c>
    </row>
    <row r="53" spans="1:2">
      <c r="A53" t="s">
        <v>19</v>
      </c>
      <c r="B53" t="s">
        <v>14</v>
      </c>
    </row>
    <row r="54" spans="1:2">
      <c r="A54" t="s">
        <v>28</v>
      </c>
      <c r="B54" t="s">
        <v>26</v>
      </c>
    </row>
    <row r="55" spans="1:2">
      <c r="A55" t="s">
        <v>13</v>
      </c>
      <c r="B55" t="s">
        <v>0</v>
      </c>
    </row>
    <row r="56" spans="1:2">
      <c r="A56" t="s">
        <v>131</v>
      </c>
      <c r="B56" t="s">
        <v>0</v>
      </c>
    </row>
    <row r="57" spans="1:2">
      <c r="A57" t="s">
        <v>21</v>
      </c>
      <c r="B57" t="s">
        <v>20</v>
      </c>
    </row>
    <row r="58" spans="1:2">
      <c r="A58" t="s">
        <v>15</v>
      </c>
      <c r="B58" t="s">
        <v>14</v>
      </c>
    </row>
    <row r="59" spans="1:2">
      <c r="A59" t="s">
        <v>11</v>
      </c>
      <c r="B59" t="s">
        <v>0</v>
      </c>
    </row>
    <row r="60" spans="1:2">
      <c r="A60" t="s">
        <v>9</v>
      </c>
      <c r="B60" t="s">
        <v>0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Instructions</vt:lpstr>
      <vt:lpstr>Entry</vt:lpstr>
      <vt:lpstr>Expense</vt:lpstr>
      <vt:lpstr>Calc</vt:lpstr>
      <vt:lpstr>Sheet3</vt:lpstr>
      <vt:lpstr>Lookup</vt:lpstr>
      <vt:lpstr>accounts</vt:lpstr>
      <vt:lpstr>Expense</vt:lpstr>
      <vt:lpstr>Month</vt:lpstr>
      <vt:lpstr>paymode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Monthly Expense Tracker</dc:title>
  <dc:creator>Karthik G</dc:creator>
  <cp:lastModifiedBy>Karthik</cp:lastModifiedBy>
  <dcterms:created xsi:type="dcterms:W3CDTF">2010-06-04T04:29:20Z</dcterms:created>
  <dcterms:modified xsi:type="dcterms:W3CDTF">2010-07-02T12:49:27Z</dcterms:modified>
</cp:coreProperties>
</file>