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tegar\Documents\Personal\Investments\"/>
    </mc:Choice>
  </mc:AlternateContent>
  <bookViews>
    <workbookView xWindow="0" yWindow="0" windowWidth="11940" windowHeight="5130" activeTab="3"/>
  </bookViews>
  <sheets>
    <sheet name="Dashboard" sheetId="7" r:id="rId1"/>
    <sheet name="Sheet1" sheetId="9" r:id="rId2"/>
    <sheet name="Scrip Wise" sheetId="10" r:id="rId3"/>
    <sheet name="Options" sheetId="1" r:id="rId4"/>
    <sheet name="Daywise" sheetId="8" r:id="rId5"/>
    <sheet name="Summary" sheetId="4" r:id="rId6"/>
    <sheet name="Equity" sheetId="6" r:id="rId7"/>
    <sheet name="Deposit" sheetId="2" r:id="rId8"/>
    <sheet name="Lookup" sheetId="5" r:id="rId9"/>
    <sheet name="smallcase" sheetId="3" r:id="rId10"/>
    <sheet name="MF" sheetId="12" r:id="rId11"/>
    <sheet name="Virtual" sheetId="11" r:id="rId12"/>
  </sheets>
  <definedNames>
    <definedName name="_xlcn.LinkedTable_Table1" hidden="1">Table1[]</definedName>
    <definedName name="NativeTimeline_Sell_Date">#N/A</definedName>
    <definedName name="OptionTable" localSheetId="3">Table1[]</definedName>
    <definedName name="Slicer_Call_By">#N/A</definedName>
    <definedName name="Slicer_Demat">#N/A</definedName>
  </definedNames>
  <calcPr calcId="152511"/>
  <pivotCaches>
    <pivotCache cacheId="10"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218a7c95-3888-4b62-a9f0-4e6ee579dc2e" name="Table1" connection="LinkedTable_Table1"/>
        </x15:modelTables>
      </x15:dataModel>
    </ext>
  </extLst>
</workbook>
</file>

<file path=xl/calcChain.xml><?xml version="1.0" encoding="utf-8"?>
<calcChain xmlns="http://schemas.openxmlformats.org/spreadsheetml/2006/main">
  <c r="I170" i="1" l="1"/>
  <c r="L170" i="1" s="1"/>
  <c r="M170" i="1"/>
  <c r="Q170" i="1"/>
  <c r="T170" i="1" s="1"/>
  <c r="W170" i="1"/>
  <c r="Y170" i="1"/>
  <c r="G22" i="8"/>
  <c r="V170" i="1" l="1"/>
  <c r="U170" i="1"/>
  <c r="N49" i="11"/>
  <c r="I45" i="11" l="1"/>
  <c r="J44" i="11"/>
  <c r="I169" i="1" l="1"/>
  <c r="L169" i="1" s="1"/>
  <c r="M169" i="1"/>
  <c r="Q169" i="1"/>
  <c r="T169" i="1" s="1"/>
  <c r="W169" i="1"/>
  <c r="Y169" i="1"/>
  <c r="W15" i="4"/>
  <c r="V169" i="1" l="1"/>
  <c r="U169" i="1"/>
  <c r="I168" i="1"/>
  <c r="L168" i="1" s="1"/>
  <c r="M168" i="1"/>
  <c r="Q168" i="1"/>
  <c r="T168" i="1" s="1"/>
  <c r="W168" i="1"/>
  <c r="Y168" i="1"/>
  <c r="U168" i="1" l="1"/>
  <c r="V168" i="1"/>
  <c r="I167" i="1"/>
  <c r="L167" i="1" s="1"/>
  <c r="M167" i="1"/>
  <c r="Q167" i="1"/>
  <c r="T167" i="1"/>
  <c r="W167" i="1"/>
  <c r="Y167" i="1"/>
  <c r="I166" i="1"/>
  <c r="L166" i="1" s="1"/>
  <c r="M166" i="1"/>
  <c r="Q166" i="1"/>
  <c r="T166" i="1" s="1"/>
  <c r="W166" i="1"/>
  <c r="Y166" i="1"/>
  <c r="I165" i="1"/>
  <c r="L165" i="1" s="1"/>
  <c r="M165" i="1"/>
  <c r="Q165" i="1"/>
  <c r="T165" i="1" s="1"/>
  <c r="W165" i="1"/>
  <c r="Y165" i="1"/>
  <c r="V167" i="1" l="1"/>
  <c r="U167" i="1"/>
  <c r="V166" i="1"/>
  <c r="U166" i="1"/>
  <c r="V165" i="1"/>
  <c r="U165" i="1"/>
  <c r="I164" i="1"/>
  <c r="L164" i="1" s="1"/>
  <c r="M164" i="1"/>
  <c r="Q164" i="1"/>
  <c r="T164" i="1" s="1"/>
  <c r="W164" i="1"/>
  <c r="Y164" i="1"/>
  <c r="V164" i="1" l="1"/>
  <c r="U164" i="1"/>
  <c r="I163" i="1"/>
  <c r="L163" i="1" s="1"/>
  <c r="M163" i="1"/>
  <c r="Q163" i="1"/>
  <c r="T163" i="1" s="1"/>
  <c r="W163" i="1"/>
  <c r="Y163"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I162" i="1"/>
  <c r="L162" i="1" s="1"/>
  <c r="Q162" i="1"/>
  <c r="T162" i="1" s="1"/>
  <c r="W162" i="1"/>
  <c r="Y162" i="1"/>
  <c r="I161" i="1"/>
  <c r="L161" i="1" s="1"/>
  <c r="Q161" i="1"/>
  <c r="T161" i="1" s="1"/>
  <c r="W161" i="1"/>
  <c r="Y161" i="1"/>
  <c r="I160" i="1"/>
  <c r="L160" i="1" s="1"/>
  <c r="Q160" i="1"/>
  <c r="T160" i="1" s="1"/>
  <c r="W160" i="1"/>
  <c r="Y160" i="1"/>
  <c r="I159" i="1"/>
  <c r="L159" i="1" s="1"/>
  <c r="Q159" i="1"/>
  <c r="W159" i="1"/>
  <c r="Y159" i="1"/>
  <c r="I158" i="1"/>
  <c r="L158" i="1" s="1"/>
  <c r="Q158" i="1"/>
  <c r="T158" i="1" s="1"/>
  <c r="W158" i="1"/>
  <c r="Y158" i="1"/>
  <c r="I157" i="1"/>
  <c r="L157" i="1" s="1"/>
  <c r="Q157" i="1"/>
  <c r="T157" i="1" s="1"/>
  <c r="W157" i="1"/>
  <c r="Y157" i="1"/>
  <c r="I156" i="1"/>
  <c r="L156" i="1" s="1"/>
  <c r="Q156" i="1"/>
  <c r="T156" i="1" s="1"/>
  <c r="W156" i="1"/>
  <c r="Y156" i="1"/>
  <c r="I155" i="1"/>
  <c r="L155" i="1" s="1"/>
  <c r="Q155" i="1"/>
  <c r="T155" i="1" s="1"/>
  <c r="W155" i="1"/>
  <c r="Y155" i="1"/>
  <c r="I154" i="1"/>
  <c r="L154" i="1" s="1"/>
  <c r="Q154" i="1"/>
  <c r="T154" i="1" s="1"/>
  <c r="W154" i="1"/>
  <c r="Y154" i="1"/>
  <c r="I153" i="1"/>
  <c r="L153" i="1" s="1"/>
  <c r="Q153" i="1"/>
  <c r="T153" i="1" s="1"/>
  <c r="W153" i="1"/>
  <c r="Y153" i="1"/>
  <c r="I152" i="1"/>
  <c r="L152" i="1" s="1"/>
  <c r="Q152" i="1"/>
  <c r="T152" i="1" s="1"/>
  <c r="W152" i="1"/>
  <c r="Y152" i="1"/>
  <c r="I151" i="1"/>
  <c r="L151" i="1" s="1"/>
  <c r="Q151" i="1"/>
  <c r="T151" i="1" s="1"/>
  <c r="W151" i="1"/>
  <c r="Y151" i="1"/>
  <c r="I150" i="1"/>
  <c r="L150" i="1" s="1"/>
  <c r="Q150" i="1"/>
  <c r="T150" i="1" s="1"/>
  <c r="W150" i="1"/>
  <c r="Y150" i="1"/>
  <c r="I149" i="1"/>
  <c r="L149" i="1" s="1"/>
  <c r="Q149" i="1"/>
  <c r="T149" i="1" s="1"/>
  <c r="W149" i="1"/>
  <c r="Y149" i="1"/>
  <c r="I148" i="1"/>
  <c r="L148" i="1" s="1"/>
  <c r="Q148" i="1"/>
  <c r="T148" i="1" s="1"/>
  <c r="W148" i="1"/>
  <c r="Y148" i="1"/>
  <c r="I147" i="1"/>
  <c r="L147" i="1" s="1"/>
  <c r="Q147" i="1"/>
  <c r="T147" i="1" s="1"/>
  <c r="W147" i="1"/>
  <c r="Y147" i="1"/>
  <c r="I146" i="1"/>
  <c r="L146" i="1" s="1"/>
  <c r="Q146" i="1"/>
  <c r="T146" i="1" s="1"/>
  <c r="W146" i="1"/>
  <c r="Y146" i="1"/>
  <c r="I145" i="1"/>
  <c r="L145" i="1" s="1"/>
  <c r="Q145" i="1"/>
  <c r="T145" i="1" s="1"/>
  <c r="W145" i="1"/>
  <c r="Y145" i="1"/>
  <c r="U163" i="1" l="1"/>
  <c r="V163" i="1"/>
  <c r="V162" i="1"/>
  <c r="U162" i="1"/>
  <c r="V161" i="1"/>
  <c r="U161" i="1"/>
  <c r="U159" i="1"/>
  <c r="V160" i="1"/>
  <c r="U160" i="1"/>
  <c r="T159" i="1"/>
  <c r="V159" i="1"/>
  <c r="V158" i="1"/>
  <c r="U158" i="1"/>
  <c r="U156" i="1"/>
  <c r="V157" i="1"/>
  <c r="U157" i="1"/>
  <c r="V156" i="1"/>
  <c r="V155" i="1"/>
  <c r="U155" i="1"/>
  <c r="V154" i="1"/>
  <c r="U154" i="1"/>
  <c r="V153" i="1"/>
  <c r="U153" i="1"/>
  <c r="V152" i="1"/>
  <c r="U152" i="1"/>
  <c r="V151" i="1"/>
  <c r="U151" i="1"/>
  <c r="V150" i="1"/>
  <c r="U150" i="1"/>
  <c r="V149" i="1"/>
  <c r="U149" i="1"/>
  <c r="V148" i="1"/>
  <c r="U148" i="1"/>
  <c r="V147" i="1"/>
  <c r="U147" i="1"/>
  <c r="V146" i="1"/>
  <c r="U146" i="1"/>
  <c r="V145" i="1"/>
  <c r="U145" i="1"/>
  <c r="I144" i="1"/>
  <c r="L144" i="1" s="1"/>
  <c r="Q144" i="1"/>
  <c r="T144" i="1" s="1"/>
  <c r="W144" i="1"/>
  <c r="Y144" i="1"/>
  <c r="I143" i="1"/>
  <c r="L143" i="1" s="1"/>
  <c r="Q143" i="1"/>
  <c r="T143" i="1" s="1"/>
  <c r="W143" i="1"/>
  <c r="Y143" i="1"/>
  <c r="V144" i="1" l="1"/>
  <c r="U144" i="1"/>
  <c r="V143" i="1"/>
  <c r="U143" i="1"/>
  <c r="I142" i="1"/>
  <c r="L142" i="1" s="1"/>
  <c r="Q142" i="1"/>
  <c r="W142" i="1"/>
  <c r="Y142" i="1"/>
  <c r="U142" i="1" l="1"/>
  <c r="T142" i="1"/>
  <c r="V142" i="1"/>
  <c r="I141" i="1"/>
  <c r="L141" i="1" s="1"/>
  <c r="Q141" i="1"/>
  <c r="T141" i="1" s="1"/>
  <c r="W141" i="1"/>
  <c r="Y141" i="1"/>
  <c r="I140" i="1"/>
  <c r="L140" i="1" s="1"/>
  <c r="Q140" i="1"/>
  <c r="T140" i="1" s="1"/>
  <c r="W140" i="1"/>
  <c r="Y140" i="1"/>
  <c r="V141" i="1" l="1"/>
  <c r="U141" i="1"/>
  <c r="U140" i="1"/>
  <c r="V140" i="1"/>
  <c r="I139" i="1"/>
  <c r="L139" i="1" s="1"/>
  <c r="Q139" i="1"/>
  <c r="T139" i="1" s="1"/>
  <c r="W139" i="1"/>
  <c r="Y139" i="1"/>
  <c r="U139" i="1" l="1"/>
  <c r="V139" i="1"/>
  <c r="N16" i="11"/>
  <c r="Q137" i="1"/>
  <c r="T137" i="1" s="1"/>
  <c r="I138" i="1"/>
  <c r="L138" i="1" s="1"/>
  <c r="Q138" i="1"/>
  <c r="T138" i="1" s="1"/>
  <c r="W138" i="1"/>
  <c r="Y138" i="1"/>
  <c r="I137" i="1"/>
  <c r="L137" i="1" s="1"/>
  <c r="W137" i="1"/>
  <c r="Y137" i="1"/>
  <c r="I136" i="1"/>
  <c r="L136" i="1" s="1"/>
  <c r="Q136" i="1"/>
  <c r="T136" i="1" s="1"/>
  <c r="W136" i="1"/>
  <c r="Y136" i="1"/>
  <c r="I135" i="1"/>
  <c r="L135" i="1" s="1"/>
  <c r="Q135" i="1"/>
  <c r="W135" i="1"/>
  <c r="Y135" i="1"/>
  <c r="I134" i="1"/>
  <c r="L134" i="1" s="1"/>
  <c r="Q134" i="1"/>
  <c r="T134" i="1" s="1"/>
  <c r="W134" i="1"/>
  <c r="Y134" i="1"/>
  <c r="I133" i="1"/>
  <c r="L133" i="1" s="1"/>
  <c r="Q133" i="1"/>
  <c r="W133" i="1"/>
  <c r="Y133" i="1"/>
  <c r="I132" i="1"/>
  <c r="L132" i="1" s="1"/>
  <c r="Q132" i="1"/>
  <c r="W132" i="1"/>
  <c r="Y132" i="1"/>
  <c r="I131" i="1"/>
  <c r="L131" i="1" s="1"/>
  <c r="Q131" i="1"/>
  <c r="T131" i="1" s="1"/>
  <c r="W131" i="1"/>
  <c r="Y131" i="1"/>
  <c r="I130" i="1"/>
  <c r="L130" i="1" s="1"/>
  <c r="Q130" i="1"/>
  <c r="T130" i="1" s="1"/>
  <c r="W130" i="1"/>
  <c r="Y130" i="1"/>
  <c r="I129" i="1"/>
  <c r="L129" i="1" s="1"/>
  <c r="Q129" i="1"/>
  <c r="T129" i="1" s="1"/>
  <c r="W129" i="1"/>
  <c r="Y129" i="1"/>
  <c r="I128" i="1"/>
  <c r="L128" i="1" s="1"/>
  <c r="Q128" i="1"/>
  <c r="T128" i="1" s="1"/>
  <c r="W128" i="1"/>
  <c r="Y128" i="1"/>
  <c r="I127" i="1"/>
  <c r="L127" i="1" s="1"/>
  <c r="Q127" i="1"/>
  <c r="T127" i="1" s="1"/>
  <c r="W127" i="1"/>
  <c r="Y127" i="1"/>
  <c r="I126" i="1"/>
  <c r="L126" i="1" s="1"/>
  <c r="Q126" i="1"/>
  <c r="T126" i="1" s="1"/>
  <c r="W126" i="1"/>
  <c r="Y126" i="1"/>
  <c r="I125" i="1"/>
  <c r="L125" i="1" s="1"/>
  <c r="Q125" i="1"/>
  <c r="T125" i="1" s="1"/>
  <c r="W125" i="1"/>
  <c r="Y125" i="1"/>
  <c r="I124" i="1"/>
  <c r="L124" i="1" s="1"/>
  <c r="Q124" i="1"/>
  <c r="T124" i="1" s="1"/>
  <c r="W124" i="1"/>
  <c r="Y124" i="1"/>
  <c r="I123" i="1"/>
  <c r="L123" i="1" s="1"/>
  <c r="Q123" i="1"/>
  <c r="T123" i="1" s="1"/>
  <c r="W123" i="1"/>
  <c r="Y123" i="1"/>
  <c r="I122" i="1"/>
  <c r="L122" i="1" s="1"/>
  <c r="Q122" i="1"/>
  <c r="T122" i="1" s="1"/>
  <c r="W122" i="1"/>
  <c r="Y122" i="1"/>
  <c r="I121" i="1"/>
  <c r="L121" i="1" s="1"/>
  <c r="Q121" i="1"/>
  <c r="T121" i="1" s="1"/>
  <c r="W121" i="1"/>
  <c r="Y121" i="1"/>
  <c r="I120" i="1"/>
  <c r="L120" i="1" s="1"/>
  <c r="Q120" i="1"/>
  <c r="T120" i="1" s="1"/>
  <c r="W120" i="1"/>
  <c r="Y120" i="1"/>
  <c r="I119" i="1"/>
  <c r="L119" i="1" s="1"/>
  <c r="Q119" i="1"/>
  <c r="T119" i="1" s="1"/>
  <c r="W119" i="1"/>
  <c r="Y119" i="1"/>
  <c r="I118" i="1"/>
  <c r="L118" i="1" s="1"/>
  <c r="Q118" i="1"/>
  <c r="W118" i="1"/>
  <c r="Y118" i="1"/>
  <c r="I117" i="1"/>
  <c r="L117" i="1" s="1"/>
  <c r="Q117" i="1"/>
  <c r="T117" i="1" s="1"/>
  <c r="W117" i="1"/>
  <c r="Y117" i="1"/>
  <c r="I116" i="1"/>
  <c r="L116" i="1" s="1"/>
  <c r="Q116" i="1"/>
  <c r="T116" i="1" s="1"/>
  <c r="W116" i="1"/>
  <c r="Y116" i="1"/>
  <c r="I115" i="1"/>
  <c r="L115" i="1" s="1"/>
  <c r="Q115" i="1"/>
  <c r="T115" i="1" s="1"/>
  <c r="W115" i="1"/>
  <c r="Y115" i="1"/>
  <c r="I114" i="1"/>
  <c r="L114" i="1" s="1"/>
  <c r="Q114" i="1"/>
  <c r="T114" i="1" s="1"/>
  <c r="W114" i="1"/>
  <c r="Y114" i="1"/>
  <c r="I113" i="1"/>
  <c r="L113" i="1" s="1"/>
  <c r="Q113" i="1"/>
  <c r="T113" i="1" s="1"/>
  <c r="W113" i="1"/>
  <c r="Y113" i="1"/>
  <c r="I112" i="1"/>
  <c r="L112" i="1" s="1"/>
  <c r="Q112" i="1"/>
  <c r="W112" i="1"/>
  <c r="Y112" i="1"/>
  <c r="I111" i="1"/>
  <c r="L111" i="1" s="1"/>
  <c r="Q111" i="1"/>
  <c r="T111" i="1" s="1"/>
  <c r="W111" i="1"/>
  <c r="Y111" i="1"/>
  <c r="I110" i="1"/>
  <c r="L110" i="1" s="1"/>
  <c r="Q110" i="1"/>
  <c r="T110" i="1" s="1"/>
  <c r="W110" i="1"/>
  <c r="Y110" i="1"/>
  <c r="I109" i="1"/>
  <c r="L109" i="1" s="1"/>
  <c r="Q109" i="1"/>
  <c r="T109" i="1" s="1"/>
  <c r="W109" i="1"/>
  <c r="Y109" i="1"/>
  <c r="I108" i="1"/>
  <c r="L108" i="1" s="1"/>
  <c r="Q108" i="1"/>
  <c r="T108" i="1" s="1"/>
  <c r="W108" i="1"/>
  <c r="Y108" i="1"/>
  <c r="I107" i="1"/>
  <c r="L107" i="1" s="1"/>
  <c r="Q107" i="1"/>
  <c r="T107" i="1" s="1"/>
  <c r="W107" i="1"/>
  <c r="Y107" i="1"/>
  <c r="I106" i="1"/>
  <c r="L106" i="1" s="1"/>
  <c r="Q106" i="1"/>
  <c r="T106" i="1" s="1"/>
  <c r="W106" i="1"/>
  <c r="Y106" i="1"/>
  <c r="I105" i="1"/>
  <c r="L105" i="1" s="1"/>
  <c r="Q105" i="1"/>
  <c r="T105" i="1" s="1"/>
  <c r="W105" i="1"/>
  <c r="Y105" i="1"/>
  <c r="I104" i="1"/>
  <c r="L104" i="1" s="1"/>
  <c r="Q104" i="1"/>
  <c r="T104" i="1" s="1"/>
  <c r="W104" i="1"/>
  <c r="Y104" i="1"/>
  <c r="I103" i="1"/>
  <c r="L103" i="1" s="1"/>
  <c r="Q103" i="1"/>
  <c r="T103" i="1" s="1"/>
  <c r="W103" i="1"/>
  <c r="Y103" i="1"/>
  <c r="I102" i="1"/>
  <c r="L102" i="1" s="1"/>
  <c r="Q102" i="1"/>
  <c r="T102" i="1" s="1"/>
  <c r="W102" i="1"/>
  <c r="Y102" i="1"/>
  <c r="I101" i="1"/>
  <c r="L101" i="1" s="1"/>
  <c r="Q101" i="1"/>
  <c r="T101" i="1" s="1"/>
  <c r="W101" i="1"/>
  <c r="Y101" i="1"/>
  <c r="I100" i="1"/>
  <c r="L100" i="1" s="1"/>
  <c r="Q100" i="1"/>
  <c r="T100" i="1" s="1"/>
  <c r="W100" i="1"/>
  <c r="Y100" i="1"/>
  <c r="I99" i="1"/>
  <c r="L99" i="1" s="1"/>
  <c r="Q99" i="1"/>
  <c r="T99" i="1" s="1"/>
  <c r="W99" i="1"/>
  <c r="Y99" i="1"/>
  <c r="I98" i="1"/>
  <c r="Q98" i="1"/>
  <c r="T98" i="1" s="1"/>
  <c r="W98" i="1"/>
  <c r="Y98" i="1"/>
  <c r="I97" i="1"/>
  <c r="L97" i="1" s="1"/>
  <c r="Q97" i="1"/>
  <c r="T97" i="1" s="1"/>
  <c r="W97" i="1"/>
  <c r="Y97" i="1"/>
  <c r="V138" i="1" l="1"/>
  <c r="U138" i="1"/>
  <c r="U136" i="1"/>
  <c r="U137" i="1"/>
  <c r="V137" i="1"/>
  <c r="U135" i="1"/>
  <c r="V136" i="1"/>
  <c r="U134" i="1"/>
  <c r="V135" i="1"/>
  <c r="T135" i="1"/>
  <c r="V133" i="1"/>
  <c r="V134" i="1"/>
  <c r="U132" i="1"/>
  <c r="T133" i="1"/>
  <c r="U133" i="1"/>
  <c r="V131" i="1"/>
  <c r="V132" i="1"/>
  <c r="T132" i="1"/>
  <c r="U131" i="1"/>
  <c r="U130" i="1"/>
  <c r="V130" i="1"/>
  <c r="V128" i="1"/>
  <c r="U128" i="1"/>
  <c r="V129" i="1"/>
  <c r="U129" i="1"/>
  <c r="U126" i="1"/>
  <c r="V127" i="1"/>
  <c r="U127" i="1"/>
  <c r="V126" i="1"/>
  <c r="V125" i="1"/>
  <c r="U125" i="1"/>
  <c r="V124" i="1"/>
  <c r="U124" i="1"/>
  <c r="V123" i="1"/>
  <c r="U123" i="1"/>
  <c r="U121" i="1"/>
  <c r="U122" i="1"/>
  <c r="V121" i="1"/>
  <c r="V122" i="1"/>
  <c r="U119" i="1"/>
  <c r="V120" i="1"/>
  <c r="U120" i="1"/>
  <c r="V118" i="1"/>
  <c r="V119" i="1"/>
  <c r="V117" i="1"/>
  <c r="T118" i="1"/>
  <c r="U118" i="1"/>
  <c r="U117" i="1"/>
  <c r="U116" i="1"/>
  <c r="V116" i="1"/>
  <c r="V115" i="1"/>
  <c r="U115" i="1"/>
  <c r="V114" i="1"/>
  <c r="U114" i="1"/>
  <c r="V113" i="1"/>
  <c r="U113" i="1"/>
  <c r="U112" i="1"/>
  <c r="T112" i="1"/>
  <c r="V112" i="1"/>
  <c r="U111" i="1"/>
  <c r="U110" i="1"/>
  <c r="V111" i="1"/>
  <c r="V110" i="1"/>
  <c r="V109" i="1"/>
  <c r="U109" i="1"/>
  <c r="V108" i="1"/>
  <c r="U108" i="1"/>
  <c r="V107" i="1"/>
  <c r="U107" i="1"/>
  <c r="V106" i="1"/>
  <c r="U106" i="1"/>
  <c r="V105" i="1"/>
  <c r="U105" i="1"/>
  <c r="U104" i="1"/>
  <c r="V104" i="1"/>
  <c r="U103" i="1"/>
  <c r="V103" i="1"/>
  <c r="V102" i="1"/>
  <c r="U102" i="1"/>
  <c r="V101" i="1"/>
  <c r="U101" i="1"/>
  <c r="V98" i="1"/>
  <c r="V100" i="1"/>
  <c r="U100" i="1"/>
  <c r="U99" i="1"/>
  <c r="V99" i="1"/>
  <c r="U98" i="1"/>
  <c r="L98" i="1"/>
  <c r="V97" i="1"/>
  <c r="U97" i="1"/>
  <c r="F31" i="3"/>
  <c r="D29" i="3" l="1"/>
  <c r="J25" i="3"/>
  <c r="P13" i="3"/>
  <c r="Q19" i="3"/>
  <c r="P18" i="3"/>
  <c r="M26" i="3" l="1"/>
  <c r="K13" i="12" l="1"/>
  <c r="S11" i="3" l="1"/>
  <c r="D24" i="11"/>
  <c r="D25" i="11"/>
  <c r="D26" i="11"/>
  <c r="D27" i="11"/>
  <c r="D28" i="11"/>
  <c r="D29" i="11"/>
  <c r="D30" i="11"/>
  <c r="D31" i="11"/>
  <c r="D32" i="11"/>
  <c r="D33" i="11"/>
  <c r="D34" i="11"/>
  <c r="D35" i="11"/>
  <c r="D36" i="11"/>
  <c r="D37" i="11"/>
  <c r="D23" i="11"/>
  <c r="I7" i="3"/>
  <c r="I8" i="3"/>
  <c r="I9" i="3"/>
  <c r="I10" i="3"/>
  <c r="I11" i="3"/>
  <c r="I12" i="3"/>
  <c r="I13" i="3"/>
  <c r="I14" i="3"/>
  <c r="I15" i="3"/>
  <c r="I16" i="3"/>
  <c r="I17" i="3"/>
  <c r="I18" i="3"/>
  <c r="I19" i="3"/>
  <c r="I20" i="3"/>
  <c r="I6" i="3"/>
  <c r="G14" i="3"/>
  <c r="G19" i="3"/>
  <c r="G20" i="3"/>
  <c r="E7" i="3"/>
  <c r="G7" i="3" s="1"/>
  <c r="E8" i="3"/>
  <c r="G8" i="3" s="1"/>
  <c r="E9" i="3"/>
  <c r="G9" i="3" s="1"/>
  <c r="E10" i="3"/>
  <c r="G10" i="3" s="1"/>
  <c r="E11" i="3"/>
  <c r="G11" i="3" s="1"/>
  <c r="E12" i="3"/>
  <c r="G12" i="3" s="1"/>
  <c r="E13" i="3"/>
  <c r="G13" i="3" s="1"/>
  <c r="E14" i="3"/>
  <c r="E15" i="3"/>
  <c r="G15" i="3" s="1"/>
  <c r="E16" i="3"/>
  <c r="G16" i="3" s="1"/>
  <c r="E17" i="3"/>
  <c r="G17" i="3" s="1"/>
  <c r="E18" i="3"/>
  <c r="G18" i="3" s="1"/>
  <c r="E19" i="3"/>
  <c r="E20" i="3"/>
  <c r="E6" i="3"/>
  <c r="G6" i="3" s="1"/>
  <c r="G22" i="6" l="1"/>
  <c r="I22" i="6" s="1"/>
  <c r="Q22" i="6"/>
  <c r="S22" i="6" s="1"/>
  <c r="AB22" i="6"/>
  <c r="G21" i="6"/>
  <c r="I21" i="6" s="1"/>
  <c r="Q21" i="6"/>
  <c r="S21" i="6" s="1"/>
  <c r="AB21" i="6"/>
  <c r="G20" i="6"/>
  <c r="I20" i="6" s="1"/>
  <c r="Q20" i="6"/>
  <c r="S20" i="6" s="1"/>
  <c r="AB20" i="6"/>
  <c r="G19" i="6"/>
  <c r="I19" i="6" s="1"/>
  <c r="Q19" i="6"/>
  <c r="X19" i="6" s="1"/>
  <c r="AB19" i="6"/>
  <c r="G18" i="6"/>
  <c r="Q18" i="6"/>
  <c r="S18" i="6" s="1"/>
  <c r="AB18" i="6"/>
  <c r="G17" i="6"/>
  <c r="I17" i="6" s="1"/>
  <c r="Q17" i="6"/>
  <c r="X17" i="6" s="1"/>
  <c r="AB17" i="6"/>
  <c r="G16" i="6"/>
  <c r="J16" i="6" s="1"/>
  <c r="K16" i="6" s="1"/>
  <c r="Q16" i="6"/>
  <c r="X16" i="6" s="1"/>
  <c r="AB16" i="6"/>
  <c r="G15" i="6"/>
  <c r="J15" i="6" s="1"/>
  <c r="K15" i="6" s="1"/>
  <c r="Q15" i="6"/>
  <c r="T15" i="6" s="1"/>
  <c r="U15" i="6" s="1"/>
  <c r="AB15" i="6"/>
  <c r="G14" i="6"/>
  <c r="Q14" i="6"/>
  <c r="T14" i="6" s="1"/>
  <c r="U14" i="6" s="1"/>
  <c r="AB14" i="6"/>
  <c r="G13" i="6"/>
  <c r="I13" i="6" s="1"/>
  <c r="Q13" i="6"/>
  <c r="S13" i="6" s="1"/>
  <c r="AB13" i="6"/>
  <c r="G12" i="6"/>
  <c r="J12" i="6" s="1"/>
  <c r="K12" i="6" s="1"/>
  <c r="Q12" i="6"/>
  <c r="S12" i="6" s="1"/>
  <c r="AB12" i="6"/>
  <c r="T22" i="6" l="1"/>
  <c r="U22" i="6" s="1"/>
  <c r="T18" i="6"/>
  <c r="U18" i="6" s="1"/>
  <c r="Y22" i="6"/>
  <c r="W22" i="6"/>
  <c r="T19" i="6"/>
  <c r="U19" i="6" s="1"/>
  <c r="T21" i="6"/>
  <c r="U21" i="6" s="1"/>
  <c r="X22" i="6"/>
  <c r="J22" i="6"/>
  <c r="K22" i="6" s="1"/>
  <c r="S19" i="6"/>
  <c r="W19" i="6" s="1"/>
  <c r="I15" i="6"/>
  <c r="M15" i="6" s="1"/>
  <c r="Y21" i="6"/>
  <c r="T20" i="6"/>
  <c r="U20" i="6" s="1"/>
  <c r="X21" i="6"/>
  <c r="J21" i="6"/>
  <c r="K21" i="6" s="1"/>
  <c r="S15" i="6"/>
  <c r="W15" i="6" s="1"/>
  <c r="T17" i="6"/>
  <c r="U17" i="6" s="1"/>
  <c r="S17" i="6"/>
  <c r="J20" i="6"/>
  <c r="K20" i="6" s="1"/>
  <c r="Y19" i="6"/>
  <c r="Y20" i="6"/>
  <c r="X20" i="6"/>
  <c r="T13" i="6"/>
  <c r="U13" i="6" s="1"/>
  <c r="J19" i="6"/>
  <c r="K19" i="6" s="1"/>
  <c r="M19" i="6" s="1"/>
  <c r="AA19" i="6" s="1"/>
  <c r="S16" i="6"/>
  <c r="J18" i="6"/>
  <c r="K18" i="6" s="1"/>
  <c r="I18" i="6"/>
  <c r="Y18" i="6"/>
  <c r="X18" i="6"/>
  <c r="T16" i="6"/>
  <c r="U16" i="6" s="1"/>
  <c r="Y17" i="6"/>
  <c r="J17" i="6"/>
  <c r="K17" i="6" s="1"/>
  <c r="I16" i="6"/>
  <c r="M16" i="6" s="1"/>
  <c r="AA16" i="6" s="1"/>
  <c r="Y16" i="6"/>
  <c r="Y15" i="6"/>
  <c r="X15" i="6"/>
  <c r="J14" i="6"/>
  <c r="K14" i="6" s="1"/>
  <c r="I14" i="6"/>
  <c r="S14" i="6"/>
  <c r="Y14" i="6"/>
  <c r="X14" i="6"/>
  <c r="X12" i="6"/>
  <c r="T12" i="6"/>
  <c r="U12" i="6" s="1"/>
  <c r="Y13" i="6"/>
  <c r="X13" i="6"/>
  <c r="J13" i="6"/>
  <c r="K13" i="6" s="1"/>
  <c r="Y12" i="6"/>
  <c r="I12" i="6"/>
  <c r="N15" i="11"/>
  <c r="N14" i="11"/>
  <c r="N12" i="11"/>
  <c r="G5" i="11"/>
  <c r="W18" i="6" l="1"/>
  <c r="M20" i="6"/>
  <c r="W17" i="6"/>
  <c r="W13" i="6"/>
  <c r="Z13" i="6"/>
  <c r="W21" i="6"/>
  <c r="M22" i="6"/>
  <c r="AA22" i="6"/>
  <c r="Z19" i="6"/>
  <c r="Z22" i="6"/>
  <c r="W20" i="6"/>
  <c r="Z20" i="6"/>
  <c r="Z21" i="6"/>
  <c r="Z15" i="6"/>
  <c r="M21" i="6"/>
  <c r="AA21" i="6" s="1"/>
  <c r="AA20" i="6"/>
  <c r="M14" i="6"/>
  <c r="AA14" i="6" s="1"/>
  <c r="Z18" i="6"/>
  <c r="W16" i="6"/>
  <c r="M18" i="6"/>
  <c r="AA18" i="6" s="1"/>
  <c r="Z16" i="6"/>
  <c r="M17" i="6"/>
  <c r="AA17" i="6" s="1"/>
  <c r="Z17" i="6"/>
  <c r="AA15" i="6"/>
  <c r="Z12" i="6"/>
  <c r="Z14" i="6"/>
  <c r="W14" i="6"/>
  <c r="W12" i="6"/>
  <c r="M13" i="6"/>
  <c r="AA13" i="6" s="1"/>
  <c r="M12" i="6"/>
  <c r="AA12" i="6" s="1"/>
  <c r="K4" i="11"/>
  <c r="K3" i="11"/>
  <c r="G4" i="11"/>
  <c r="G3" i="11"/>
  <c r="Q96" i="1" l="1"/>
  <c r="T96" i="1" s="1"/>
  <c r="I96" i="1"/>
  <c r="L96" i="1" s="1"/>
  <c r="W96" i="1"/>
  <c r="Y96" i="1"/>
  <c r="I95" i="1"/>
  <c r="L95" i="1" s="1"/>
  <c r="Q95" i="1"/>
  <c r="T95" i="1" s="1"/>
  <c r="W95" i="1"/>
  <c r="Y95" i="1"/>
  <c r="I94" i="1"/>
  <c r="L94" i="1" s="1"/>
  <c r="Q94" i="1"/>
  <c r="T94" i="1" s="1"/>
  <c r="W94" i="1"/>
  <c r="Y94" i="1"/>
  <c r="I93" i="1"/>
  <c r="L93" i="1" s="1"/>
  <c r="T93" i="1"/>
  <c r="W93" i="1"/>
  <c r="Y93" i="1"/>
  <c r="I92" i="1"/>
  <c r="L92" i="1" s="1"/>
  <c r="Q92" i="1"/>
  <c r="T92" i="1" s="1"/>
  <c r="W92" i="1"/>
  <c r="Y92" i="1"/>
  <c r="I91" i="1"/>
  <c r="L91" i="1" s="1"/>
  <c r="Q91" i="1"/>
  <c r="T91" i="1" s="1"/>
  <c r="W91" i="1"/>
  <c r="Y91" i="1"/>
  <c r="I90" i="1"/>
  <c r="L90" i="1" s="1"/>
  <c r="Q90" i="1"/>
  <c r="T90" i="1" s="1"/>
  <c r="W90" i="1"/>
  <c r="Y90" i="1"/>
  <c r="I89" i="1"/>
  <c r="L89" i="1" s="1"/>
  <c r="Q89" i="1"/>
  <c r="T89" i="1" s="1"/>
  <c r="W89" i="1"/>
  <c r="Y89" i="1"/>
  <c r="I88" i="1"/>
  <c r="L88" i="1" s="1"/>
  <c r="Q88" i="1"/>
  <c r="T88" i="1" s="1"/>
  <c r="W88" i="1"/>
  <c r="Y88" i="1"/>
  <c r="I87" i="1"/>
  <c r="L87" i="1" s="1"/>
  <c r="Q87" i="1"/>
  <c r="W87" i="1"/>
  <c r="Y87" i="1"/>
  <c r="I86" i="1"/>
  <c r="L86" i="1" s="1"/>
  <c r="Q86" i="1"/>
  <c r="T86" i="1" s="1"/>
  <c r="W86" i="1"/>
  <c r="Y86" i="1"/>
  <c r="I85" i="1"/>
  <c r="L85" i="1" s="1"/>
  <c r="Q85" i="1"/>
  <c r="T85" i="1" s="1"/>
  <c r="W85" i="1"/>
  <c r="Y85" i="1"/>
  <c r="I84" i="1"/>
  <c r="L84" i="1" s="1"/>
  <c r="Q84" i="1"/>
  <c r="T84" i="1" s="1"/>
  <c r="W84" i="1"/>
  <c r="Y84" i="1"/>
  <c r="I83" i="1"/>
  <c r="L83" i="1" s="1"/>
  <c r="Q83" i="1"/>
  <c r="T83" i="1" s="1"/>
  <c r="W83" i="1"/>
  <c r="Y83" i="1"/>
  <c r="I82" i="1"/>
  <c r="L82" i="1" s="1"/>
  <c r="T82" i="1"/>
  <c r="W82" i="1"/>
  <c r="Y82" i="1"/>
  <c r="I81" i="1"/>
  <c r="Q81" i="1"/>
  <c r="T81" i="1" s="1"/>
  <c r="W81" i="1"/>
  <c r="Y81" i="1"/>
  <c r="I80" i="1"/>
  <c r="L80" i="1" s="1"/>
  <c r="Q80" i="1"/>
  <c r="W80" i="1"/>
  <c r="Y80" i="1"/>
  <c r="I79" i="1"/>
  <c r="T79" i="1"/>
  <c r="W79" i="1"/>
  <c r="Y79" i="1"/>
  <c r="I78" i="1"/>
  <c r="Q78" i="1"/>
  <c r="T78" i="1" s="1"/>
  <c r="W78" i="1"/>
  <c r="Y78" i="1"/>
  <c r="I77" i="1"/>
  <c r="L77" i="1" s="1"/>
  <c r="Q77" i="1"/>
  <c r="T77" i="1" s="1"/>
  <c r="W77" i="1"/>
  <c r="Y77" i="1"/>
  <c r="G20" i="8"/>
  <c r="U96" i="1" l="1"/>
  <c r="V96" i="1"/>
  <c r="U95" i="1"/>
  <c r="V95" i="1"/>
  <c r="V93" i="1"/>
  <c r="U94" i="1"/>
  <c r="V94" i="1"/>
  <c r="U93" i="1"/>
  <c r="U92" i="1"/>
  <c r="V92" i="1"/>
  <c r="V91" i="1"/>
  <c r="U91" i="1"/>
  <c r="V90" i="1"/>
  <c r="U90" i="1"/>
  <c r="U89" i="1"/>
  <c r="V89" i="1"/>
  <c r="U87" i="1"/>
  <c r="U88" i="1"/>
  <c r="V88" i="1"/>
  <c r="T87" i="1"/>
  <c r="V87" i="1"/>
  <c r="U86" i="1"/>
  <c r="V86" i="1"/>
  <c r="U85" i="1"/>
  <c r="V85" i="1"/>
  <c r="U84" i="1"/>
  <c r="V84" i="1"/>
  <c r="U83" i="1"/>
  <c r="V83" i="1"/>
  <c r="V82" i="1"/>
  <c r="U82" i="1"/>
  <c r="U81" i="1"/>
  <c r="L81" i="1"/>
  <c r="V81" i="1"/>
  <c r="U80" i="1"/>
  <c r="T80" i="1"/>
  <c r="V80" i="1"/>
  <c r="U79" i="1"/>
  <c r="L79" i="1"/>
  <c r="V79" i="1"/>
  <c r="V78" i="1"/>
  <c r="L78" i="1"/>
  <c r="U78" i="1"/>
  <c r="V77" i="1"/>
  <c r="U77" i="1"/>
  <c r="I76" i="1" l="1"/>
  <c r="L76" i="1" s="1"/>
  <c r="Q76" i="1"/>
  <c r="T76" i="1" s="1"/>
  <c r="W76" i="1"/>
  <c r="Y76" i="1"/>
  <c r="I75" i="1"/>
  <c r="L75" i="1" s="1"/>
  <c r="Q75" i="1"/>
  <c r="T75" i="1" s="1"/>
  <c r="W75" i="1"/>
  <c r="Y75" i="1"/>
  <c r="I74" i="1"/>
  <c r="L74" i="1" s="1"/>
  <c r="Q74" i="1"/>
  <c r="T74" i="1" s="1"/>
  <c r="W74" i="1"/>
  <c r="Y74" i="1"/>
  <c r="V76" i="1" l="1"/>
  <c r="U76" i="1"/>
  <c r="U75" i="1"/>
  <c r="V75" i="1"/>
  <c r="V74" i="1"/>
  <c r="U74" i="1"/>
  <c r="I73" i="1" l="1"/>
  <c r="L73" i="1" s="1"/>
  <c r="Q73" i="1"/>
  <c r="T73" i="1" s="1"/>
  <c r="W73" i="1"/>
  <c r="Y73" i="1"/>
  <c r="I72" i="1"/>
  <c r="L72" i="1" s="1"/>
  <c r="Q72" i="1"/>
  <c r="T72" i="1" s="1"/>
  <c r="W72" i="1"/>
  <c r="Y72" i="1"/>
  <c r="I71" i="1"/>
  <c r="Q71" i="1"/>
  <c r="T71" i="1" s="1"/>
  <c r="W71" i="1"/>
  <c r="Y71" i="1"/>
  <c r="I70" i="1"/>
  <c r="L70" i="1" s="1"/>
  <c r="Q70" i="1"/>
  <c r="T70" i="1" s="1"/>
  <c r="W70" i="1"/>
  <c r="Y70" i="1"/>
  <c r="U73" i="1" l="1"/>
  <c r="V73" i="1"/>
  <c r="U72" i="1"/>
  <c r="V72" i="1"/>
  <c r="U71" i="1"/>
  <c r="L71" i="1"/>
  <c r="V71" i="1"/>
  <c r="V70" i="1"/>
  <c r="U70" i="1"/>
  <c r="I69" i="1"/>
  <c r="L69" i="1" s="1"/>
  <c r="Q69" i="1"/>
  <c r="T69" i="1" s="1"/>
  <c r="W69" i="1"/>
  <c r="Y69" i="1"/>
  <c r="V69" i="1" l="1"/>
  <c r="U69" i="1"/>
  <c r="G11" i="6"/>
  <c r="I11" i="6" s="1"/>
  <c r="Q11" i="6"/>
  <c r="S11" i="6" s="1"/>
  <c r="AB11" i="6"/>
  <c r="T11" i="6" l="1"/>
  <c r="U11" i="6" s="1"/>
  <c r="Y11" i="6"/>
  <c r="X11" i="6"/>
  <c r="J11" i="6"/>
  <c r="K11" i="6" s="1"/>
  <c r="I68" i="1"/>
  <c r="L68" i="1" s="1"/>
  <c r="Q68" i="1"/>
  <c r="T68" i="1" s="1"/>
  <c r="W68" i="1"/>
  <c r="Y68" i="1"/>
  <c r="I67" i="1"/>
  <c r="Q67" i="1"/>
  <c r="T67" i="1" s="1"/>
  <c r="W67" i="1"/>
  <c r="Y67" i="1"/>
  <c r="I66" i="1"/>
  <c r="L66" i="1" s="1"/>
  <c r="Q66" i="1"/>
  <c r="T66" i="1" s="1"/>
  <c r="W66" i="1"/>
  <c r="Y66" i="1"/>
  <c r="I65" i="1"/>
  <c r="L65" i="1" s="1"/>
  <c r="Q65" i="1"/>
  <c r="T65" i="1" s="1"/>
  <c r="W65" i="1"/>
  <c r="Y65" i="1"/>
  <c r="W11" i="6" l="1"/>
  <c r="M11" i="6"/>
  <c r="AA11" i="6" s="1"/>
  <c r="Z11" i="6"/>
  <c r="U68" i="1"/>
  <c r="V68" i="1"/>
  <c r="V66" i="1"/>
  <c r="U67" i="1"/>
  <c r="L67" i="1"/>
  <c r="V67" i="1"/>
  <c r="U66" i="1"/>
  <c r="V65" i="1"/>
  <c r="U65" i="1"/>
  <c r="G10" i="6"/>
  <c r="I10" i="6" s="1"/>
  <c r="Q10" i="6"/>
  <c r="S10" i="6" s="1"/>
  <c r="AB10" i="6"/>
  <c r="X10" i="6" l="1"/>
  <c r="T10" i="6"/>
  <c r="U10" i="6" s="1"/>
  <c r="W10" i="6" s="1"/>
  <c r="Y10" i="6"/>
  <c r="J10" i="6"/>
  <c r="K10" i="6" s="1"/>
  <c r="C5" i="9"/>
  <c r="M10" i="6" l="1"/>
  <c r="AA10" i="6" s="1"/>
  <c r="Z10" i="6"/>
  <c r="S62" i="1" l="1"/>
  <c r="K63" i="1"/>
  <c r="K64" i="1" l="1"/>
  <c r="I64" i="1" l="1"/>
  <c r="L64" i="1" s="1"/>
  <c r="Q64" i="1"/>
  <c r="T64" i="1" s="1"/>
  <c r="W64" i="1"/>
  <c r="Y64" i="1"/>
  <c r="U64" i="1" l="1"/>
  <c r="V64" i="1"/>
  <c r="I63" i="1"/>
  <c r="L63" i="1" s="1"/>
  <c r="Q63" i="1"/>
  <c r="T63" i="1" s="1"/>
  <c r="W63" i="1"/>
  <c r="Y63" i="1"/>
  <c r="C9" i="7"/>
  <c r="V63" i="1" l="1"/>
  <c r="U63" i="1"/>
  <c r="I61" i="1" l="1"/>
  <c r="L61" i="1" s="1"/>
  <c r="Q61" i="1"/>
  <c r="W61" i="1"/>
  <c r="Y61" i="1"/>
  <c r="I62" i="1"/>
  <c r="L62" i="1" s="1"/>
  <c r="Q62" i="1"/>
  <c r="W62" i="1"/>
  <c r="Y62" i="1"/>
  <c r="T62" i="1" l="1"/>
  <c r="U62" i="1"/>
  <c r="T61" i="1"/>
  <c r="U61" i="1"/>
  <c r="V61" i="1"/>
  <c r="V62" i="1"/>
  <c r="K60" i="1" l="1"/>
  <c r="G9" i="6" l="1"/>
  <c r="I9" i="6" s="1"/>
  <c r="Q9" i="6"/>
  <c r="S9" i="6" s="1"/>
  <c r="AB9" i="6"/>
  <c r="X9" i="6" l="1"/>
  <c r="Y9" i="6"/>
  <c r="T9" i="6"/>
  <c r="U9" i="6" s="1"/>
  <c r="W9" i="6" s="1"/>
  <c r="J9" i="6"/>
  <c r="K9" i="6" s="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Z9" i="6" l="1"/>
  <c r="M9" i="6"/>
  <c r="AA9" i="6" s="1"/>
  <c r="I60" i="1"/>
  <c r="Q60" i="1"/>
  <c r="W60" i="1"/>
  <c r="I59" i="1"/>
  <c r="L59" i="1" s="1"/>
  <c r="Q59" i="1"/>
  <c r="W59" i="1"/>
  <c r="I58" i="1"/>
  <c r="L58" i="1" s="1"/>
  <c r="Q58" i="1"/>
  <c r="W58" i="1"/>
  <c r="I57" i="1"/>
  <c r="L57" i="1" s="1"/>
  <c r="Q57" i="1"/>
  <c r="W57" i="1"/>
  <c r="I56" i="1"/>
  <c r="L56" i="1" s="1"/>
  <c r="Q56" i="1"/>
  <c r="W56" i="1"/>
  <c r="U56" i="1" l="1"/>
  <c r="T60" i="1"/>
  <c r="U60" i="1"/>
  <c r="T57" i="1"/>
  <c r="U57" i="1"/>
  <c r="T59" i="1"/>
  <c r="U59" i="1"/>
  <c r="T58" i="1"/>
  <c r="U58" i="1"/>
  <c r="V56" i="1"/>
  <c r="V60" i="1"/>
  <c r="L60" i="1"/>
  <c r="V59" i="1"/>
  <c r="V58" i="1"/>
  <c r="V57" i="1"/>
  <c r="T56" i="1"/>
  <c r="G8" i="6"/>
  <c r="I8" i="6" s="1"/>
  <c r="Q8" i="6"/>
  <c r="Y8" i="6" s="1"/>
  <c r="AB8" i="6"/>
  <c r="I55" i="1"/>
  <c r="L55" i="1" s="1"/>
  <c r="Q55" i="1"/>
  <c r="W55" i="1"/>
  <c r="T8" i="6" l="1"/>
  <c r="U8" i="6" s="1"/>
  <c r="J8" i="6"/>
  <c r="K8" i="6" s="1"/>
  <c r="T55" i="1"/>
  <c r="U55" i="1"/>
  <c r="S8" i="6"/>
  <c r="X8" i="6"/>
  <c r="V55" i="1"/>
  <c r="S54" i="1"/>
  <c r="K54" i="1"/>
  <c r="M8" i="6" l="1"/>
  <c r="W8" i="6"/>
  <c r="Z8" i="6"/>
  <c r="AA8" i="6"/>
  <c r="G7" i="6"/>
  <c r="J7" i="6" s="1"/>
  <c r="Q7" i="6"/>
  <c r="AB7" i="6"/>
  <c r="Y7" i="6" l="1"/>
  <c r="K7" i="6"/>
  <c r="T7" i="6"/>
  <c r="U7" i="6" s="1"/>
  <c r="S7" i="6"/>
  <c r="X7" i="6"/>
  <c r="G6" i="6"/>
  <c r="Q6" i="6"/>
  <c r="AB6" i="6"/>
  <c r="AC8" i="1"/>
  <c r="Y6" i="6" l="1"/>
  <c r="S6" i="6"/>
  <c r="Z7" i="6"/>
  <c r="M7" i="6"/>
  <c r="AA7" i="6" s="1"/>
  <c r="W7" i="6"/>
  <c r="T6" i="6"/>
  <c r="U6" i="6" s="1"/>
  <c r="X6" i="6"/>
  <c r="K6" i="6"/>
  <c r="I54" i="1"/>
  <c r="L54" i="1" s="1"/>
  <c r="Q54" i="1"/>
  <c r="W54" i="1"/>
  <c r="G5" i="6"/>
  <c r="J5" i="6" s="1"/>
  <c r="Q5" i="6"/>
  <c r="AB5" i="6"/>
  <c r="W6" i="6" l="1"/>
  <c r="Z6" i="6"/>
  <c r="T54" i="1"/>
  <c r="U54" i="1"/>
  <c r="X5" i="6"/>
  <c r="Y5" i="6"/>
  <c r="M6" i="6"/>
  <c r="AA6" i="6" s="1"/>
  <c r="V54" i="1"/>
  <c r="K5" i="6"/>
  <c r="M5" i="6" s="1"/>
  <c r="T5" i="6"/>
  <c r="U5" i="6" s="1"/>
  <c r="S5" i="6"/>
  <c r="Q4" i="6"/>
  <c r="G4" i="6"/>
  <c r="J4" i="6" s="1"/>
  <c r="AB4" i="6"/>
  <c r="AB23" i="6" s="1"/>
  <c r="K4" i="6" l="1"/>
  <c r="M4" i="6" s="1"/>
  <c r="M23" i="6" s="1"/>
  <c r="Z5" i="6"/>
  <c r="Y4" i="6"/>
  <c r="Y23" i="6" s="1"/>
  <c r="C6" i="7" s="1"/>
  <c r="S4" i="6"/>
  <c r="X4" i="6"/>
  <c r="W5" i="6"/>
  <c r="AA5" i="6" s="1"/>
  <c r="T4" i="6"/>
  <c r="U4" i="6" s="1"/>
  <c r="G23" i="6"/>
  <c r="Q23" i="6"/>
  <c r="W4" i="6" l="1"/>
  <c r="W23" i="6" s="1"/>
  <c r="Z4" i="6"/>
  <c r="Z23" i="6" s="1"/>
  <c r="C13" i="7" s="1"/>
  <c r="I53" i="1"/>
  <c r="L53" i="1" s="1"/>
  <c r="Q53" i="1"/>
  <c r="W53" i="1"/>
  <c r="I52" i="1"/>
  <c r="L52" i="1" s="1"/>
  <c r="Q52" i="1"/>
  <c r="W52" i="1"/>
  <c r="I51" i="1"/>
  <c r="L51" i="1" s="1"/>
  <c r="Q51" i="1"/>
  <c r="W51" i="1"/>
  <c r="T52" i="1" l="1"/>
  <c r="U52" i="1"/>
  <c r="T51" i="1"/>
  <c r="U51" i="1"/>
  <c r="T53" i="1"/>
  <c r="U53" i="1"/>
  <c r="AA4" i="6"/>
  <c r="X23" i="6"/>
  <c r="V53" i="1"/>
  <c r="V52" i="1"/>
  <c r="V51" i="1"/>
  <c r="I50" i="1"/>
  <c r="L50" i="1" s="1"/>
  <c r="Q50" i="1"/>
  <c r="W50" i="1"/>
  <c r="T50" i="1" l="1"/>
  <c r="U50" i="1"/>
  <c r="V50" i="1"/>
  <c r="I49" i="1" l="1"/>
  <c r="L49" i="1" s="1"/>
  <c r="Q49" i="1"/>
  <c r="W49" i="1"/>
  <c r="I48" i="1"/>
  <c r="L48" i="1" s="1"/>
  <c r="Q48" i="1"/>
  <c r="W48" i="1"/>
  <c r="I47" i="1"/>
  <c r="L47" i="1" s="1"/>
  <c r="Q47" i="1"/>
  <c r="W47" i="1"/>
  <c r="I46" i="1"/>
  <c r="L46" i="1" s="1"/>
  <c r="Q46" i="1"/>
  <c r="W46" i="1"/>
  <c r="T46" i="1" l="1"/>
  <c r="U46" i="1"/>
  <c r="T48" i="1"/>
  <c r="U48" i="1"/>
  <c r="T49" i="1"/>
  <c r="U49" i="1"/>
  <c r="T47" i="1"/>
  <c r="U47" i="1"/>
  <c r="V49" i="1"/>
  <c r="V46" i="1"/>
  <c r="V47" i="1"/>
  <c r="V48" i="1"/>
  <c r="I45" i="1"/>
  <c r="L45" i="1" s="1"/>
  <c r="Q45" i="1"/>
  <c r="W45" i="1"/>
  <c r="T45" i="1" l="1"/>
  <c r="U45" i="1"/>
  <c r="V45" i="1"/>
  <c r="I44" i="1"/>
  <c r="L44" i="1" s="1"/>
  <c r="Q44" i="1"/>
  <c r="W44" i="1"/>
  <c r="I43" i="1"/>
  <c r="L43" i="1" s="1"/>
  <c r="Q43" i="1"/>
  <c r="W43" i="1"/>
  <c r="I42" i="1"/>
  <c r="L42" i="1" s="1"/>
  <c r="Q42" i="1"/>
  <c r="W42" i="1"/>
  <c r="T42" i="1" l="1"/>
  <c r="U42" i="1"/>
  <c r="T44" i="1"/>
  <c r="U44" i="1"/>
  <c r="T43" i="1"/>
  <c r="U43" i="1"/>
  <c r="V44" i="1"/>
  <c r="V43" i="1"/>
  <c r="V42"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I41" i="1"/>
  <c r="L41" i="1" s="1"/>
  <c r="Q41" i="1"/>
  <c r="I40" i="1"/>
  <c r="L40" i="1" s="1"/>
  <c r="Q40" i="1"/>
  <c r="T40" i="1" l="1"/>
  <c r="U40" i="1"/>
  <c r="U41" i="1"/>
  <c r="V41" i="1"/>
  <c r="T41" i="1"/>
  <c r="V40" i="1"/>
  <c r="S11" i="2"/>
  <c r="S22" i="2" s="1"/>
  <c r="S23" i="2" s="1"/>
  <c r="M16" i="2"/>
  <c r="E26" i="2"/>
  <c r="C3" i="7" s="1"/>
  <c r="I39" i="1"/>
  <c r="Q39" i="1"/>
  <c r="T39" i="1" l="1"/>
  <c r="U39" i="1"/>
  <c r="V39" i="1"/>
  <c r="L39" i="1"/>
  <c r="I38" i="1" l="1"/>
  <c r="L38" i="1" s="1"/>
  <c r="Q38" i="1"/>
  <c r="I37" i="1"/>
  <c r="L37" i="1" s="1"/>
  <c r="Q37" i="1"/>
  <c r="T38" i="1" l="1"/>
  <c r="U38" i="1"/>
  <c r="T37" i="1"/>
  <c r="U37" i="1"/>
  <c r="V38" i="1"/>
  <c r="V37" i="1"/>
  <c r="I36" i="1"/>
  <c r="L36" i="1" s="1"/>
  <c r="Q36" i="1"/>
  <c r="I35" i="1"/>
  <c r="L35" i="1" s="1"/>
  <c r="Q35" i="1"/>
  <c r="U35" i="1" l="1"/>
  <c r="T36" i="1"/>
  <c r="U36" i="1"/>
  <c r="V36" i="1"/>
  <c r="V35" i="1"/>
  <c r="T35" i="1"/>
  <c r="I34" i="1" l="1"/>
  <c r="L34" i="1" s="1"/>
  <c r="Q34" i="1"/>
  <c r="T34" i="1" l="1"/>
  <c r="U34" i="1"/>
  <c r="V34" i="1"/>
  <c r="I33" i="1"/>
  <c r="L33" i="1" s="1"/>
  <c r="Q33" i="1"/>
  <c r="I32" i="1"/>
  <c r="L32" i="1" s="1"/>
  <c r="Q32" i="1"/>
  <c r="T33" i="1" l="1"/>
  <c r="U33" i="1"/>
  <c r="T32" i="1"/>
  <c r="U32" i="1"/>
  <c r="V33" i="1"/>
  <c r="V32" i="1"/>
  <c r="I31" i="1" l="1"/>
  <c r="Q31" i="1"/>
  <c r="T31" i="1" l="1"/>
  <c r="U31" i="1"/>
  <c r="V31" i="1"/>
  <c r="L31" i="1"/>
  <c r="I30" i="1"/>
  <c r="L30" i="1" s="1"/>
  <c r="Q30" i="1"/>
  <c r="I29" i="1"/>
  <c r="L29" i="1" s="1"/>
  <c r="Q29" i="1"/>
  <c r="I28" i="1"/>
  <c r="L28" i="1" s="1"/>
  <c r="Q28" i="1"/>
  <c r="T28" i="1" l="1"/>
  <c r="U28" i="1"/>
  <c r="T29" i="1"/>
  <c r="U29" i="1"/>
  <c r="T30" i="1"/>
  <c r="U30" i="1"/>
  <c r="V30" i="1"/>
  <c r="V29" i="1"/>
  <c r="V28" i="1"/>
  <c r="I27" i="1"/>
  <c r="L27" i="1" s="1"/>
  <c r="Q27" i="1"/>
  <c r="T27" i="1" l="1"/>
  <c r="U27" i="1"/>
  <c r="V27" i="1"/>
  <c r="I26" i="1"/>
  <c r="L26" i="1" s="1"/>
  <c r="Q26" i="1"/>
  <c r="I25" i="1"/>
  <c r="L25" i="1" s="1"/>
  <c r="Q25" i="1"/>
  <c r="T25" i="1" l="1"/>
  <c r="U25" i="1"/>
  <c r="T26" i="1"/>
  <c r="U26" i="1"/>
  <c r="V26" i="1"/>
  <c r="V25" i="1"/>
  <c r="I24" i="1" l="1"/>
  <c r="L24" i="1" s="1"/>
  <c r="Q24" i="1"/>
  <c r="I23" i="1"/>
  <c r="L23" i="1" s="1"/>
  <c r="Q23" i="1"/>
  <c r="T23" i="1" l="1"/>
  <c r="U23" i="1"/>
  <c r="AA8" i="1" s="1"/>
  <c r="T24" i="1"/>
  <c r="U24" i="1"/>
  <c r="V24" i="1"/>
  <c r="V23" i="1"/>
  <c r="I22" i="1" l="1"/>
  <c r="L22" i="1" s="1"/>
  <c r="Q22" i="1"/>
  <c r="U22" i="1" l="1"/>
  <c r="T22" i="1"/>
  <c r="V22" i="1"/>
  <c r="I21" i="1" l="1"/>
  <c r="L21" i="1" s="1"/>
  <c r="Q21" i="1"/>
  <c r="U21" i="1" l="1"/>
  <c r="T21" i="1"/>
  <c r="V21" i="1"/>
  <c r="I20" i="1"/>
  <c r="L20" i="1" s="1"/>
  <c r="Q20" i="1"/>
  <c r="I19" i="1"/>
  <c r="L19" i="1" s="1"/>
  <c r="Q19" i="1"/>
  <c r="U19" i="1" l="1"/>
  <c r="U20" i="1"/>
  <c r="T19" i="1"/>
  <c r="V19" i="1"/>
  <c r="T20" i="1"/>
  <c r="V20" i="1"/>
  <c r="I18" i="1"/>
  <c r="L18" i="1" s="1"/>
  <c r="Q18" i="1"/>
  <c r="U18" i="1" l="1"/>
  <c r="T18" i="1"/>
  <c r="V18" i="1"/>
  <c r="I17" i="1" l="1"/>
  <c r="L17" i="1" s="1"/>
  <c r="Q17" i="1"/>
  <c r="I16" i="1"/>
  <c r="L16" i="1" s="1"/>
  <c r="Q16" i="1"/>
  <c r="U16" i="1" l="1"/>
  <c r="U17" i="1"/>
  <c r="T16" i="1"/>
  <c r="V16" i="1"/>
  <c r="T17" i="1"/>
  <c r="V17" i="1"/>
  <c r="I15" i="1"/>
  <c r="L15" i="1" s="1"/>
  <c r="Q15" i="1"/>
  <c r="U15" i="1" l="1"/>
  <c r="T15" i="1"/>
  <c r="V15" i="1"/>
  <c r="I14" i="1"/>
  <c r="L14" i="1" s="1"/>
  <c r="Q14" i="1"/>
  <c r="U14" i="1" l="1"/>
  <c r="T14" i="1"/>
  <c r="V14" i="1"/>
  <c r="S171" i="1" l="1"/>
  <c r="R171" i="1"/>
  <c r="K171" i="1"/>
  <c r="J171" i="1"/>
  <c r="C14" i="7"/>
  <c r="I13" i="1" l="1"/>
  <c r="L13" i="1" s="1"/>
  <c r="Q13" i="1"/>
  <c r="U13" i="1" l="1"/>
  <c r="T13" i="1"/>
  <c r="V13" i="1"/>
  <c r="Q12" i="1"/>
  <c r="I12" i="1"/>
  <c r="L12" i="1" s="1"/>
  <c r="U12" i="1" l="1"/>
  <c r="T12" i="1"/>
  <c r="V12" i="1"/>
  <c r="I11" i="1"/>
  <c r="L11" i="1" s="1"/>
  <c r="Q11" i="1"/>
  <c r="U11" i="1" l="1"/>
  <c r="T11" i="1"/>
  <c r="V11" i="1"/>
  <c r="I10" i="1" l="1"/>
  <c r="L10" i="1" s="1"/>
  <c r="Q10" i="1"/>
  <c r="U10" i="1" l="1"/>
  <c r="T10" i="1"/>
  <c r="V10" i="1"/>
  <c r="I9" i="1" l="1"/>
  <c r="L9" i="1" s="1"/>
  <c r="Q9" i="1"/>
  <c r="U9" i="1" l="1"/>
  <c r="T9" i="1"/>
  <c r="V9" i="1"/>
  <c r="I8" i="1" l="1"/>
  <c r="L8" i="1" s="1"/>
  <c r="Q8" i="1"/>
  <c r="U8" i="1" l="1"/>
  <c r="T8" i="1"/>
  <c r="V8" i="1"/>
  <c r="I5" i="1" l="1"/>
  <c r="I6" i="1"/>
  <c r="I7" i="1"/>
  <c r="Q5" i="1"/>
  <c r="Q6" i="1"/>
  <c r="Q7" i="1"/>
  <c r="U7" i="1" l="1"/>
  <c r="U6" i="1"/>
  <c r="U5" i="1"/>
  <c r="V7" i="1"/>
  <c r="V6" i="1"/>
  <c r="V5" i="1"/>
  <c r="T5" i="1"/>
  <c r="T6" i="1"/>
  <c r="T7" i="1"/>
  <c r="L5" i="1"/>
  <c r="L6" i="1"/>
  <c r="L7" i="1"/>
  <c r="T171" i="1" l="1"/>
  <c r="L171" i="1"/>
  <c r="AA7" i="1" l="1"/>
  <c r="AA9" i="1" s="1"/>
  <c r="U171" i="1"/>
  <c r="AC7" i="1" l="1"/>
  <c r="AC9" i="1" s="1"/>
  <c r="AC10" i="1" s="1"/>
  <c r="C10" i="7"/>
  <c r="F3" i="7" l="1"/>
  <c r="F5" i="7" s="1"/>
</calcChain>
</file>

<file path=xl/connections.xml><?xml version="1.0" encoding="utf-8"?>
<connections xmlns="http://schemas.openxmlformats.org/spreadsheetml/2006/main">
  <connection id="1" name="LinkedTable_Table1" type="102" refreshedVersion="5" minRefreshableVersion="5">
    <extLst>
      <ext xmlns:x15="http://schemas.microsoft.com/office/spreadsheetml/2010/11/main" uri="{DE250136-89BD-433C-8126-D09CA5730AF9}">
        <x15:connection id="Table1-218a7c95-3888-4b62-a9f0-4e6ee579dc2e">
          <x15:rangePr sourceName="_xlcn.LinkedTable_Table1"/>
        </x15:connection>
      </ext>
    </extLst>
  </connection>
  <connection id="2"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<sst xmlns="http://schemas.openxmlformats.org/spreadsheetml/2006/main" count="1050" uniqueCount="217">
  <si>
    <t>Buy Date</t>
  </si>
  <si>
    <t>Quantity</t>
  </si>
  <si>
    <t>Price</t>
  </si>
  <si>
    <t>Value</t>
  </si>
  <si>
    <t>Brokerage</t>
  </si>
  <si>
    <t>Taxes</t>
  </si>
  <si>
    <t>Total</t>
  </si>
  <si>
    <t>Contract Date</t>
  </si>
  <si>
    <t>Contract</t>
  </si>
  <si>
    <t>Sell Date</t>
  </si>
  <si>
    <t>Profit</t>
  </si>
  <si>
    <t>ADANIPOR</t>
  </si>
  <si>
    <t>COALINDIA</t>
  </si>
  <si>
    <t>Quantity2</t>
  </si>
  <si>
    <t>Price3</t>
  </si>
  <si>
    <t>Value4</t>
  </si>
  <si>
    <t>Brokerage5</t>
  </si>
  <si>
    <t>Taxes6</t>
  </si>
  <si>
    <t>Total7</t>
  </si>
  <si>
    <t>BANKNIFTY</t>
  </si>
  <si>
    <t>Call</t>
  </si>
  <si>
    <t>Strike Price</t>
  </si>
  <si>
    <t>Type</t>
  </si>
  <si>
    <t>Put</t>
  </si>
  <si>
    <t>HDFC</t>
  </si>
  <si>
    <t>LTP</t>
  </si>
  <si>
    <t>S. No.</t>
  </si>
  <si>
    <t>DIV</t>
  </si>
  <si>
    <t>TCS</t>
  </si>
  <si>
    <t>EQUITAS</t>
  </si>
  <si>
    <t>Percentage</t>
  </si>
  <si>
    <t>SUNPHARMA</t>
  </si>
  <si>
    <t>AXISBANK</t>
  </si>
  <si>
    <t>Row Labels</t>
  </si>
  <si>
    <t>Grand Total</t>
  </si>
  <si>
    <t>Sum of Profit</t>
  </si>
  <si>
    <t>actual</t>
  </si>
  <si>
    <t>disclosed</t>
  </si>
  <si>
    <t>HDFCBANK</t>
  </si>
  <si>
    <t>Equity</t>
  </si>
  <si>
    <t>Month</t>
  </si>
  <si>
    <t>Demat</t>
  </si>
  <si>
    <t>From Account</t>
  </si>
  <si>
    <t>Date</t>
  </si>
  <si>
    <t>Amount</t>
  </si>
  <si>
    <t>ICICI Direct</t>
  </si>
  <si>
    <t>Demat A/C</t>
  </si>
  <si>
    <t>Zerodha</t>
  </si>
  <si>
    <t>Bank Account</t>
  </si>
  <si>
    <t>ICICI</t>
  </si>
  <si>
    <t>Axis Atul</t>
  </si>
  <si>
    <t>Axis Esha</t>
  </si>
  <si>
    <t>SBI Barwaha</t>
  </si>
  <si>
    <t>(All)</t>
  </si>
  <si>
    <t>Sum of Brokerage</t>
  </si>
  <si>
    <t>Sum of Brokerage5</t>
  </si>
  <si>
    <t>S Value</t>
  </si>
  <si>
    <t>B Value</t>
  </si>
  <si>
    <t>S Brokerage</t>
  </si>
  <si>
    <t>B Brokerage</t>
  </si>
  <si>
    <t>B STT</t>
  </si>
  <si>
    <t>B Trans Chg</t>
  </si>
  <si>
    <t>B S. Tax</t>
  </si>
  <si>
    <t>B SEBI Chgs</t>
  </si>
  <si>
    <t>Buy Total</t>
  </si>
  <si>
    <t>S STT</t>
  </si>
  <si>
    <t>S Trans Chg</t>
  </si>
  <si>
    <t>S S. Tax</t>
  </si>
  <si>
    <t>S SEBI Chgs</t>
  </si>
  <si>
    <t>Sell Total</t>
  </si>
  <si>
    <t>JPASSOCIAT</t>
  </si>
  <si>
    <t>HCC</t>
  </si>
  <si>
    <t>IDBI</t>
  </si>
  <si>
    <t>ABIRLANUVO</t>
  </si>
  <si>
    <t>JPINFRATEC</t>
  </si>
  <si>
    <t>YESBANK</t>
  </si>
  <si>
    <t>Amount Deposit</t>
  </si>
  <si>
    <t>Investments</t>
  </si>
  <si>
    <t>F &amp; O</t>
  </si>
  <si>
    <t>Open</t>
  </si>
  <si>
    <t>Profit/Loss</t>
  </si>
  <si>
    <t>Demat Balance</t>
  </si>
  <si>
    <t>Assets</t>
  </si>
  <si>
    <t>approx</t>
  </si>
  <si>
    <t>Day</t>
  </si>
  <si>
    <t>Mon</t>
  </si>
  <si>
    <t>Tue</t>
  </si>
  <si>
    <t>Wed</t>
  </si>
  <si>
    <t>Thu</t>
  </si>
  <si>
    <t>Fri</t>
  </si>
  <si>
    <t>JKPAPER</t>
  </si>
  <si>
    <t>Call By</t>
  </si>
  <si>
    <t>Sandeep</t>
  </si>
  <si>
    <t>Self</t>
  </si>
  <si>
    <t>Others</t>
  </si>
  <si>
    <t>TATACOMM</t>
  </si>
  <si>
    <t>ITC</t>
  </si>
  <si>
    <t>Holding</t>
  </si>
  <si>
    <t>Total Brokerage</t>
  </si>
  <si>
    <t>Count of Contract</t>
  </si>
  <si>
    <t>SCI</t>
  </si>
  <si>
    <t>PFC</t>
  </si>
  <si>
    <t>TATAMOTORS</t>
  </si>
  <si>
    <t>INFY</t>
  </si>
  <si>
    <t>SUNTV</t>
  </si>
  <si>
    <t>Scrip</t>
  </si>
  <si>
    <t>Call/Put</t>
  </si>
  <si>
    <t>Units</t>
  </si>
  <si>
    <t>CALL</t>
  </si>
  <si>
    <t>target price</t>
  </si>
  <si>
    <t>16-17</t>
  </si>
  <si>
    <t>Sell Price</t>
  </si>
  <si>
    <t>PUT</t>
  </si>
  <si>
    <t>14-15</t>
  </si>
  <si>
    <t>BODALCHEM</t>
  </si>
  <si>
    <t>EIDPARRY</t>
  </si>
  <si>
    <t>KEC</t>
  </si>
  <si>
    <t>MANINFRA</t>
  </si>
  <si>
    <t>MARALOVER</t>
  </si>
  <si>
    <t>DIVISLAB</t>
  </si>
  <si>
    <t>HINDZINC</t>
  </si>
  <si>
    <t>IRB</t>
  </si>
  <si>
    <t>LTI</t>
  </si>
  <si>
    <t>SHANKARA</t>
  </si>
  <si>
    <t>Name</t>
  </si>
  <si>
    <t>Magic Formula</t>
  </si>
  <si>
    <t>Total Amount</t>
  </si>
  <si>
    <t>Stock</t>
  </si>
  <si>
    <t>Weightage</t>
  </si>
  <si>
    <t>Sonata Software</t>
  </si>
  <si>
    <t>Code</t>
  </si>
  <si>
    <t>Dwarikesh Sugar Industries Ltd</t>
  </si>
  <si>
    <t>Triveni Engineering and Industries Ltd</t>
  </si>
  <si>
    <t>LT Foods Ltd</t>
  </si>
  <si>
    <t>Dalmia Bharat Sugar and Industries Ltd</t>
  </si>
  <si>
    <t>Kitex Garments Ltd</t>
  </si>
  <si>
    <t>Indo Count Industries</t>
  </si>
  <si>
    <t>8K Miles Software Services Ltd</t>
  </si>
  <si>
    <t>Bodal Chemicals Ltd</t>
  </si>
  <si>
    <t>Thirumalai Chemicals Ltd</t>
  </si>
  <si>
    <t>GHCL Ltd</t>
  </si>
  <si>
    <t>Apar Industries Ltd</t>
  </si>
  <si>
    <t>Tata Metaliks Ltd</t>
  </si>
  <si>
    <t>KEI Industries Ltd</t>
  </si>
  <si>
    <t>SONATASOFTW</t>
  </si>
  <si>
    <t>TRIVENI</t>
  </si>
  <si>
    <t>KITEX</t>
  </si>
  <si>
    <t>DWARKESH</t>
  </si>
  <si>
    <t>BALRAMCHIN</t>
  </si>
  <si>
    <t>DAAWAT</t>
  </si>
  <si>
    <t>1 yr return</t>
  </si>
  <si>
    <t>8KMILES</t>
  </si>
  <si>
    <t>TIRUMALCHM</t>
  </si>
  <si>
    <t>GHCL</t>
  </si>
  <si>
    <t>KEI</t>
  </si>
  <si>
    <t>APARINDS</t>
  </si>
  <si>
    <t>TATAMETALI</t>
  </si>
  <si>
    <t>No. of Shares</t>
  </si>
  <si>
    <t>No</t>
  </si>
  <si>
    <t>ICIL</t>
  </si>
  <si>
    <t>DALMIASUG</t>
  </si>
  <si>
    <t>NSE</t>
  </si>
  <si>
    <t>NSE:SONATASOFTW</t>
  </si>
  <si>
    <t>NSE:DWARKESH</t>
  </si>
  <si>
    <t>NSE:BALRAMCHIN</t>
  </si>
  <si>
    <t>NSE:TRIVENI</t>
  </si>
  <si>
    <t>NSE:DAAWAT</t>
  </si>
  <si>
    <t>NSE:DALMIASUG</t>
  </si>
  <si>
    <t>NSE:KITEX</t>
  </si>
  <si>
    <t>NSE:ICIL</t>
  </si>
  <si>
    <t>NSE:8KMILES</t>
  </si>
  <si>
    <t>NSE:BODALCHEM</t>
  </si>
  <si>
    <t>NSE:TIRUMALCHM</t>
  </si>
  <si>
    <t>NSE:GHCL</t>
  </si>
  <si>
    <t>NSE:APARINDS</t>
  </si>
  <si>
    <t>NSE:TATAMETALI</t>
  </si>
  <si>
    <t>NSE:KEI</t>
  </si>
  <si>
    <t>Balrampur Chini Mills Ltd</t>
  </si>
  <si>
    <t>Fund</t>
  </si>
  <si>
    <t>NAV</t>
  </si>
  <si>
    <t>YTD</t>
  </si>
  <si>
    <t>Aditya Birla Sun Life Small &amp; Midcap Fund Growth - Direct</t>
  </si>
  <si>
    <t>Aditya Birla Sun Life Midcap Fund Growth - Direct</t>
  </si>
  <si>
    <t>5 Years</t>
  </si>
  <si>
    <t>1 year</t>
  </si>
  <si>
    <t>3 Years</t>
  </si>
  <si>
    <t>Aditya Birla Sun Life Pure Value Fund Growth - Direct</t>
  </si>
  <si>
    <t>Aditya Birla Sun LifeManufacturing Equity Fund Growth - Direct</t>
  </si>
  <si>
    <t>Aditya Birla Sun Life Banking and Financial Services Fund Growth - Direct</t>
  </si>
  <si>
    <t>FEDERALBNK</t>
  </si>
  <si>
    <t>IDEA</t>
  </si>
  <si>
    <t>MFSL</t>
  </si>
  <si>
    <t>VOLTAS</t>
  </si>
  <si>
    <t>NIFTY</t>
  </si>
  <si>
    <t>RELIANCE</t>
  </si>
  <si>
    <t>Sat</t>
  </si>
  <si>
    <t>Apr</t>
  </si>
  <si>
    <t>May</t>
  </si>
  <si>
    <t>Jun</t>
  </si>
  <si>
    <t>Jul</t>
  </si>
  <si>
    <t>Aug</t>
  </si>
  <si>
    <t>Sep</t>
  </si>
  <si>
    <t>Oct</t>
  </si>
  <si>
    <t>Nov</t>
  </si>
  <si>
    <t>Dec</t>
  </si>
  <si>
    <t>ASHOKLEY</t>
  </si>
  <si>
    <t>HINDUNILVR</t>
  </si>
  <si>
    <t>VEDL</t>
  </si>
  <si>
    <t>HCLTECH</t>
  </si>
  <si>
    <t>Jan</t>
  </si>
  <si>
    <t>Feb</t>
  </si>
  <si>
    <t>UPL</t>
  </si>
  <si>
    <t>HINDALCO</t>
  </si>
  <si>
    <t>Years</t>
  </si>
  <si>
    <t>&lt;07-04-2017</t>
  </si>
  <si>
    <t>2017</t>
  </si>
  <si>
    <t>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</si>
</sst>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 &quot;₹&quot;\ * #,##0.00_ ;_ &quot;₹&quot;\ * \-#,##0.00_ ;_ &quot;₹&quot;\ * &quot;-&quot;??_ ;_ @_ "/>
    <numFmt numFmtId="164" formatCode="&quot;₹&quot;\ #,##0.00"/>
  </numFmts>
  <fonts count="5" x14ac:knownFonts="1">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3">
    <xf numFmtId="0" fontId="0" fillId="0" borderId="0" xfId="0"/>
    <xf numFmtId="14" fontId="0" fillId="0" borderId="0" xfId="0" applyNumberFormat="1"/>
    <xf numFmtId="44" fontId="0" fillId="0" borderId="0" xfId="0" applyNumberFormat="1"/>
    <xf numFmtId="16" fontId="0" fillId="0" borderId="0" xfId="0" applyNumberFormat="1"/>
    <xf numFmtId="2" fontId="0" fillId="0" borderId="0" xfId="0" applyNumberFormat="1"/>
    <xf numFmtId="164" fontId="0" fillId="0" borderId="0" xfId="0" applyNumberFormat="1"/>
    <xf numFmtId="0" fontId="0" fillId="0" borderId="0" xfId="0" applyNumberFormat="1"/>
    <xf numFmtId="9" fontId="0" fillId="0" borderId="0" xfId="1" applyFont="1"/>
    <xf numFmtId="0" fontId="0" fillId="0" borderId="0" xfId="0" pivotButton="1"/>
    <xf numFmtId="17" fontId="0" fillId="0" borderId="0" xfId="1" applyNumberFormat="1" applyFont="1"/>
    <xf numFmtId="44" fontId="0" fillId="0" borderId="0" xfId="1" applyNumberFormat="1" applyFont="1"/>
    <xf numFmtId="20" fontId="0" fillId="0" borderId="0" xfId="0" applyNumberFormat="1"/>
    <xf numFmtId="0" fontId="0" fillId="0" borderId="0" xfId="0" applyAlignment="1">
      <alignment horizontal="left"/>
    </xf>
    <xf numFmtId="9" fontId="2" fillId="0" borderId="0" xfId="1" applyFont="1"/>
    <xf numFmtId="10" fontId="0" fillId="0" borderId="0" xfId="1" applyNumberFormat="1" applyFont="1"/>
    <xf numFmtId="17" fontId="0" fillId="0" borderId="0" xfId="0" applyNumberFormat="1"/>
    <xf numFmtId="9" fontId="0" fillId="0" borderId="0" xfId="0" applyNumberFormat="1"/>
    <xf numFmtId="9" fontId="3" fillId="0" borderId="0" xfId="1" applyFont="1"/>
    <xf numFmtId="0" fontId="3" fillId="0" borderId="0" xfId="0" applyNumberFormat="1" applyFont="1"/>
    <xf numFmtId="2" fontId="0" fillId="0" borderId="0" xfId="1" applyNumberFormat="1" applyFont="1"/>
    <xf numFmtId="0" fontId="0" fillId="2" borderId="0" xfId="0" applyFill="1"/>
    <xf numFmtId="10" fontId="0" fillId="2" borderId="0" xfId="1" applyNumberFormat="1" applyFont="1" applyFill="1"/>
    <xf numFmtId="9" fontId="4" fillId="0" borderId="0" xfId="0" applyNumberFormat="1" applyFont="1"/>
  </cellXfs>
  <cellStyles count="2">
    <cellStyle name="Normal" xfId="0" builtinId="0"/>
    <cellStyle name="Percent" xfId="1" builtinId="5"/>
  </cellStyles>
  <dxfs count="57">
    <dxf>
      <numFmt numFmtId="19" formatCode="dd/mm/yyyy"/>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9" formatCode="dd/mm/yyyy"/>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9" formatCode="dd/mm/yyyy"/>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22" formatCode="mmm/yy"/>
    </dxf>
    <dxf>
      <font>
        <b val="0"/>
        <i val="0"/>
        <strike val="0"/>
        <condense val="0"/>
        <extend val="0"/>
        <outline val="0"/>
        <shadow val="0"/>
        <u val="none"/>
        <vertAlign val="baseline"/>
        <sz val="11"/>
        <color theme="1"/>
        <name val="Calibri"/>
        <scheme val="minor"/>
      </font>
      <numFmt numFmtId="13" formatCode="0%"/>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9" formatCode="dd/mm/yyyy"/>
    </dxf>
    <dxf>
      <numFmt numFmtId="0" formatCode="General"/>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9" formatCode="dd/mm/yyyy"/>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openxmlformats.org/officeDocument/2006/relationships/connections" Target="connections.xml"/><Relationship Id="rId26" Type="http://schemas.openxmlformats.org/officeDocument/2006/relationships/customXml" Target="../customXml/item4.xml"/><Relationship Id="rId21" Type="http://schemas.openxmlformats.org/officeDocument/2006/relationships/powerPivotData" Target="model/item.data"/><Relationship Id="rId34" Type="http://schemas.openxmlformats.org/officeDocument/2006/relationships/customXml" Target="../customXml/item1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worksheet" Target="worksheets/sheet10.xml"/><Relationship Id="rId19" Type="http://schemas.openxmlformats.org/officeDocument/2006/relationships/styles" Target="style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[Investments.xlsx]Scrip Wise!PivotTable1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'Scrip Wise'!$B$3</c:f>
              <c:strCache>
                <c:ptCount val="1"/>
                <c:pt idx="0">
                  <c:v>Total</c:v>
                </c:pt>
              </c:strCache>
            </c:strRef>
          </c:tx>
          <c:spPr>
            <a:solidFill>
              <a:schemeClr val="accent1"/>
            </a:solidFill>
            <a:ln>
              <a:noFill/>
            </a:ln>
            <a:effectLst/>
          </c:spPr>
          <c:invertIfNegative val="0"/>
          <c:cat>
            <c:strRef>
              <c:f>'Scrip Wise'!$A$4:$A$32</c:f>
              <c:strCache>
                <c:ptCount val="28"/>
                <c:pt idx="0">
                  <c:v>ABIRLANUVO</c:v>
                </c:pt>
                <c:pt idx="1">
                  <c:v>ADANIPOR</c:v>
                </c:pt>
                <c:pt idx="2">
                  <c:v>AXISBANK</c:v>
                </c:pt>
                <c:pt idx="3">
                  <c:v>BANKNIFTY</c:v>
                </c:pt>
                <c:pt idx="4">
                  <c:v>COALINDIA</c:v>
                </c:pt>
                <c:pt idx="5">
                  <c:v>EQUITAS</c:v>
                </c:pt>
                <c:pt idx="6">
                  <c:v>HDFC</c:v>
                </c:pt>
                <c:pt idx="7">
                  <c:v>HDFCBANK</c:v>
                </c:pt>
                <c:pt idx="8">
                  <c:v>ITC</c:v>
                </c:pt>
                <c:pt idx="9">
                  <c:v>SUNPHARMA</c:v>
                </c:pt>
                <c:pt idx="10">
                  <c:v>TATACOMM</c:v>
                </c:pt>
                <c:pt idx="11">
                  <c:v>TCS</c:v>
                </c:pt>
                <c:pt idx="12">
                  <c:v>YESBANK</c:v>
                </c:pt>
                <c:pt idx="13">
                  <c:v>TATAMOTORS</c:v>
                </c:pt>
                <c:pt idx="14">
                  <c:v>INFY</c:v>
                </c:pt>
                <c:pt idx="15">
                  <c:v>SUNTV</c:v>
                </c:pt>
                <c:pt idx="16">
                  <c:v>FEDERALBNK</c:v>
                </c:pt>
                <c:pt idx="17">
                  <c:v>IDEA</c:v>
                </c:pt>
                <c:pt idx="18">
                  <c:v>MFSL</c:v>
                </c:pt>
                <c:pt idx="19">
                  <c:v>VOLTAS</c:v>
                </c:pt>
                <c:pt idx="20">
                  <c:v>NIFTY</c:v>
                </c:pt>
                <c:pt idx="21">
                  <c:v>RELIANCE</c:v>
                </c:pt>
                <c:pt idx="22">
                  <c:v>ASHOKLEY</c:v>
                </c:pt>
                <c:pt idx="23">
                  <c:v>HINDUNILVR</c:v>
                </c:pt>
                <c:pt idx="24">
                  <c:v>VEDL</c:v>
                </c:pt>
                <c:pt idx="25">
                  <c:v>HCLTECH</c:v>
                </c:pt>
                <c:pt idx="26">
                  <c:v>UPL</c:v>
                </c:pt>
                <c:pt idx="27">
                  <c:v>HINDALCO</c:v>
                </c:pt>
              </c:strCache>
            </c:strRef>
          </c:cat>
          <c:val>
            <c:numRef>
              <c:f>'Scrip Wise'!$B$4:$B$32</c:f>
              <c:numCache>
                <c:formatCode>General</c:formatCode>
                <c:ptCount val="28"/>
                <c:pt idx="0">
                  <c:v>-200</c:v>
                </c:pt>
                <c:pt idx="1">
                  <c:v>-250</c:v>
                </c:pt>
                <c:pt idx="2">
                  <c:v>-300</c:v>
                </c:pt>
                <c:pt idx="3">
                  <c:v>-17990</c:v>
                </c:pt>
                <c:pt idx="4">
                  <c:v>-2210</c:v>
                </c:pt>
                <c:pt idx="5">
                  <c:v>1600</c:v>
                </c:pt>
                <c:pt idx="6">
                  <c:v>-2550</c:v>
                </c:pt>
                <c:pt idx="7">
                  <c:v>2450</c:v>
                </c:pt>
                <c:pt idx="8">
                  <c:v>-7440</c:v>
                </c:pt>
                <c:pt idx="9">
                  <c:v>-4200</c:v>
                </c:pt>
                <c:pt idx="10">
                  <c:v>2344.9999999999995</c:v>
                </c:pt>
                <c:pt idx="11">
                  <c:v>3400</c:v>
                </c:pt>
                <c:pt idx="12">
                  <c:v>1575</c:v>
                </c:pt>
                <c:pt idx="13">
                  <c:v>-3300.0000000000005</c:v>
                </c:pt>
                <c:pt idx="14">
                  <c:v>-1650</c:v>
                </c:pt>
                <c:pt idx="15">
                  <c:v>-3650</c:v>
                </c:pt>
                <c:pt idx="16">
                  <c:v>-5500</c:v>
                </c:pt>
                <c:pt idx="17">
                  <c:v>-1400</c:v>
                </c:pt>
                <c:pt idx="18">
                  <c:v>0</c:v>
                </c:pt>
                <c:pt idx="19">
                  <c:v>0</c:v>
                </c:pt>
                <c:pt idx="20">
                  <c:v>-2017.5</c:v>
                </c:pt>
                <c:pt idx="21">
                  <c:v>-1100</c:v>
                </c:pt>
                <c:pt idx="22">
                  <c:v>-1400</c:v>
                </c:pt>
                <c:pt idx="23">
                  <c:v>300</c:v>
                </c:pt>
                <c:pt idx="24">
                  <c:v>0</c:v>
                </c:pt>
                <c:pt idx="25">
                  <c:v>7000</c:v>
                </c:pt>
                <c:pt idx="26">
                  <c:v>2400</c:v>
                </c:pt>
                <c:pt idx="27">
                  <c:v>175.00000000000364</c:v>
                </c:pt>
              </c:numCache>
            </c:numRef>
          </c:val>
        </c:ser>
        <c:dLbls>
          <c:showLegendKey val="0"/>
          <c:showVal val="0"/>
          <c:showCatName val="0"/>
          <c:showSerName val="0"/>
          <c:showPercent val="0"/>
          <c:showBubbleSize val="0"/>
        </c:dLbls>
        <c:gapWidth val="182"/>
        <c:axId val="418836608"/>
        <c:axId val="418837168"/>
      </c:barChart>
      <c:catAx>
        <c:axId val="418836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837168"/>
        <c:crosses val="autoZero"/>
        <c:auto val="1"/>
        <c:lblAlgn val="ctr"/>
        <c:lblOffset val="100"/>
        <c:noMultiLvlLbl val="0"/>
      </c:catAx>
      <c:valAx>
        <c:axId val="418837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8366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[Investments.xlsx]Daywise!PivotTable3</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s>
    <c:plotArea>
      <c:layout/>
      <c:barChart>
        <c:barDir val="col"/>
        <c:grouping val="clustered"/>
        <c:varyColors val="0"/>
        <c:ser>
          <c:idx val="0"/>
          <c:order val="0"/>
          <c:tx>
            <c:strRef>
              <c:f>Daywise!$B$3</c:f>
              <c:strCache>
                <c:ptCount val="1"/>
                <c:pt idx="0">
                  <c:v>Total</c:v>
                </c:pt>
              </c:strCache>
            </c:strRef>
          </c:tx>
          <c:spPr>
            <a:solidFill>
              <a:schemeClr val="accent2"/>
            </a:solidFill>
            <a:ln>
              <a:noFill/>
            </a:ln>
            <a:effectLst/>
          </c:spPr>
          <c:invertIfNegative val="0"/>
          <c:cat>
            <c:strRef>
              <c:f>Daywise!$A$4:$A$10</c:f>
              <c:strCache>
                <c:ptCount val="6"/>
                <c:pt idx="0">
                  <c:v>Mon</c:v>
                </c:pt>
                <c:pt idx="1">
                  <c:v>Tue</c:v>
                </c:pt>
                <c:pt idx="2">
                  <c:v>Wed</c:v>
                </c:pt>
                <c:pt idx="3">
                  <c:v>Thu</c:v>
                </c:pt>
                <c:pt idx="4">
                  <c:v>Fri</c:v>
                </c:pt>
                <c:pt idx="5">
                  <c:v>Sat</c:v>
                </c:pt>
              </c:strCache>
            </c:strRef>
          </c:cat>
          <c:val>
            <c:numRef>
              <c:f>Daywise!$B$4:$B$10</c:f>
              <c:numCache>
                <c:formatCode>General</c:formatCode>
                <c:ptCount val="6"/>
                <c:pt idx="0">
                  <c:v>5372</c:v>
                </c:pt>
                <c:pt idx="1">
                  <c:v>9995.5</c:v>
                </c:pt>
                <c:pt idx="2">
                  <c:v>4615.5000000000036</c:v>
                </c:pt>
                <c:pt idx="3">
                  <c:v>-49247</c:v>
                </c:pt>
                <c:pt idx="4">
                  <c:v>8051.5</c:v>
                </c:pt>
                <c:pt idx="5">
                  <c:v>-12700</c:v>
                </c:pt>
              </c:numCache>
            </c:numRef>
          </c:val>
        </c:ser>
        <c:dLbls>
          <c:showLegendKey val="0"/>
          <c:showVal val="0"/>
          <c:showCatName val="0"/>
          <c:showSerName val="0"/>
          <c:showPercent val="0"/>
          <c:showBubbleSize val="0"/>
        </c:dLbls>
        <c:gapWidth val="219"/>
        <c:overlap val="-27"/>
        <c:axId val="557623024"/>
        <c:axId val="557623584"/>
      </c:barChart>
      <c:catAx>
        <c:axId val="557623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623584"/>
        <c:crosses val="autoZero"/>
        <c:auto val="1"/>
        <c:lblAlgn val="ctr"/>
        <c:lblOffset val="100"/>
        <c:noMultiLvlLbl val="0"/>
      </c:catAx>
      <c:valAx>
        <c:axId val="55762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62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[Investments.xlsx]Summary!PivotTable1</c:name>
    <c:fmtId val="7"/>
  </c:pivotSource>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Summary!$D$4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Summary!$A$5:$C$19</c:f>
              <c:multiLvlStrCache>
                <c:ptCount val="12"/>
                <c:lvl>
                  <c:pt idx="1">
                    <c:v>Apr</c:v>
                  </c:pt>
                  <c:pt idx="2">
                    <c:v>May</c:v>
                  </c:pt>
                  <c:pt idx="3">
                    <c:v>Jun</c:v>
                  </c:pt>
                  <c:pt idx="4">
                    <c:v>Jul</c:v>
                  </c:pt>
                  <c:pt idx="5">
                    <c:v>Aug</c:v>
                  </c:pt>
                  <c:pt idx="6">
                    <c:v>Sep</c:v>
                  </c:pt>
                  <c:pt idx="7">
                    <c:v>Oct</c:v>
                  </c:pt>
                  <c:pt idx="8">
                    <c:v>Nov</c:v>
                  </c:pt>
                  <c:pt idx="9">
                    <c:v>Dec</c:v>
                  </c:pt>
                  <c:pt idx="10">
                    <c:v>Jan</c:v>
                  </c:pt>
                  <c:pt idx="11">
                    <c:v>Feb</c:v>
                  </c:pt>
                </c:lvl>
                <c:lvl>
                  <c:pt idx="0">
                    <c:v>&lt;07-04-2017</c:v>
                  </c:pt>
                  <c:pt idx="1">
                    <c:v>2017</c:v>
                  </c:pt>
                  <c:pt idx="10">
                    <c:v>2018</c:v>
                  </c:pt>
                </c:lvl>
              </c:multiLvlStrCache>
            </c:multiLvlStrRef>
          </c:cat>
          <c:val>
            <c:numRef>
              <c:f>Summary!$D$5:$D$19</c:f>
              <c:numCache>
                <c:formatCode>General</c:formatCode>
                <c:ptCount val="12"/>
                <c:pt idx="0">
                  <c:v>-12700</c:v>
                </c:pt>
                <c:pt idx="1">
                  <c:v>-3440</c:v>
                </c:pt>
                <c:pt idx="2">
                  <c:v>-10291.5</c:v>
                </c:pt>
                <c:pt idx="3">
                  <c:v>-5315</c:v>
                </c:pt>
                <c:pt idx="4">
                  <c:v>-4532</c:v>
                </c:pt>
                <c:pt idx="5">
                  <c:v>-7246</c:v>
                </c:pt>
                <c:pt idx="6">
                  <c:v>-1152</c:v>
                </c:pt>
                <c:pt idx="7">
                  <c:v>1946</c:v>
                </c:pt>
                <c:pt idx="8">
                  <c:v>-4138</c:v>
                </c:pt>
                <c:pt idx="9">
                  <c:v>-6730</c:v>
                </c:pt>
                <c:pt idx="10">
                  <c:v>-2094</c:v>
                </c:pt>
                <c:pt idx="11">
                  <c:v>21780.000000000004</c:v>
                </c:pt>
              </c:numCache>
            </c:numRef>
          </c:val>
        </c:ser>
        <c:dLbls>
          <c:dLblPos val="outEnd"/>
          <c:showLegendKey val="0"/>
          <c:showVal val="1"/>
          <c:showCatName val="0"/>
          <c:showSerName val="0"/>
          <c:showPercent val="0"/>
          <c:showBubbleSize val="0"/>
        </c:dLbls>
        <c:gapWidth val="100"/>
        <c:overlap val="-24"/>
        <c:axId val="557626384"/>
        <c:axId val="215542736"/>
      </c:barChart>
      <c:catAx>
        <c:axId val="5576263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542736"/>
        <c:crosses val="autoZero"/>
        <c:auto val="1"/>
        <c:lblAlgn val="ctr"/>
        <c:lblOffset val="100"/>
        <c:noMultiLvlLbl val="0"/>
      </c:catAx>
      <c:valAx>
        <c:axId val="21554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626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452437</xdr:colOff>
      <xdr:row>1</xdr:row>
      <xdr:rowOff>161925</xdr:rowOff>
    </xdr:from>
    <xdr:to>
      <xdr:col>15</xdr:col>
      <xdr:colOff>104775</xdr:colOff>
      <xdr:row>35</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xdr:row>
      <xdr:rowOff>4762</xdr:rowOff>
    </xdr:from>
    <xdr:to>
      <xdr:col>11</xdr:col>
      <xdr:colOff>304800</xdr:colOff>
      <xdr:row>16</xdr:row>
      <xdr:rowOff>80962</xdr:rowOff>
    </xdr:to>
    <xdr:graphicFrame macro="">
      <xdr:nvGraphicFramePr>
        <xdr:cNvPr id="2"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266700</xdr:colOff>
      <xdr:row>1</xdr:row>
      <xdr:rowOff>171450</xdr:rowOff>
    </xdr:from>
    <xdr:to>
      <xdr:col>8</xdr:col>
      <xdr:colOff>609600</xdr:colOff>
      <xdr:row>15</xdr:row>
      <xdr:rowOff>28575</xdr:rowOff>
    </xdr:to>
    <mc:AlternateContent xmlns:mc="http://schemas.openxmlformats.org/markup-compatibility/2006" xmlns:a14="http://schemas.microsoft.com/office/drawing/2010/main">
      <mc:Choice Requires="a14">
        <xdr:graphicFrame macro="">
          <xdr:nvGraphicFramePr>
            <xdr:cNvPr id="2" name="Demat"/>
            <xdr:cNvGraphicFramePr/>
          </xdr:nvGraphicFramePr>
          <xdr:xfrm>
            <a:off x="0" y="0"/>
            <a:ext cx="0" cy="0"/>
          </xdr:xfrm>
          <a:graphic>
            <a:graphicData uri="http://schemas.microsoft.com/office/drawing/2010/slicer">
              <sle:slicer xmlns:sle="http://schemas.microsoft.com/office/drawing/2010/slicer" name="Demat"/>
            </a:graphicData>
          </a:graphic>
        </xdr:graphicFrame>
      </mc:Choice>
      <mc:Fallback xmlns="">
        <xdr:sp macro="" textlink="">
          <xdr:nvSpPr>
            <xdr:cNvPr id="0" name=""/>
            <xdr:cNvSpPr>
              <a:spLocks noTextEdit="1"/>
            </xdr:cNvSpPr>
          </xdr:nvSpPr>
          <xdr:spPr>
            <a:xfrm>
              <a:off x="4762500" y="361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266700</xdr:colOff>
      <xdr:row>15</xdr:row>
      <xdr:rowOff>114300</xdr:rowOff>
    </xdr:from>
    <xdr:to>
      <xdr:col>8</xdr:col>
      <xdr:colOff>609600</xdr:colOff>
      <xdr:row>21</xdr:row>
      <xdr:rowOff>161925</xdr:rowOff>
    </xdr:to>
    <mc:AlternateContent xmlns:mc="http://schemas.openxmlformats.org/markup-compatibility/2006" xmlns:a14="http://schemas.microsoft.com/office/drawing/2010/main">
      <mc:Choice Requires="a14">
        <xdr:graphicFrame macro="">
          <xdr:nvGraphicFramePr>
            <xdr:cNvPr id="4" name="Call By"/>
            <xdr:cNvGraphicFramePr/>
          </xdr:nvGraphicFramePr>
          <xdr:xfrm>
            <a:off x="0" y="0"/>
            <a:ext cx="0" cy="0"/>
          </xdr:xfrm>
          <a:graphic>
            <a:graphicData uri="http://schemas.microsoft.com/office/drawing/2010/slicer">
              <sle:slicer xmlns:sle="http://schemas.microsoft.com/office/drawing/2010/slicer" name="Call By"/>
            </a:graphicData>
          </a:graphic>
        </xdr:graphicFrame>
      </mc:Choice>
      <mc:Fallback xmlns="">
        <xdr:sp macro="" textlink="">
          <xdr:nvSpPr>
            <xdr:cNvPr id="0" name=""/>
            <xdr:cNvSpPr>
              <a:spLocks noTextEdit="1"/>
            </xdr:cNvSpPr>
          </xdr:nvSpPr>
          <xdr:spPr>
            <a:xfrm>
              <a:off x="4762500" y="2971800"/>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838199</xdr:colOff>
      <xdr:row>8</xdr:row>
      <xdr:rowOff>19050</xdr:rowOff>
    </xdr:from>
    <xdr:to>
      <xdr:col>20</xdr:col>
      <xdr:colOff>371475</xdr:colOff>
      <xdr:row>15</xdr:row>
      <xdr:rowOff>152400</xdr:rowOff>
    </xdr:to>
    <mc:AlternateContent xmlns:mc="http://schemas.openxmlformats.org/markup-compatibility/2006" xmlns:tsle="http://schemas.microsoft.com/office/drawing/2012/timeslicer">
      <mc:Choice Requires="tsle">
        <xdr:graphicFrame macro="">
          <xdr:nvGraphicFramePr>
            <xdr:cNvPr id="5" name="Sell Date"/>
            <xdr:cNvGraphicFramePr/>
          </xdr:nvGraphicFramePr>
          <xdr:xfrm>
            <a:off x="0" y="0"/>
            <a:ext cx="0" cy="0"/>
          </xdr:xfrm>
          <a:graphic>
            <a:graphicData uri="http://schemas.microsoft.com/office/drawing/2012/timeslicer">
              <tsle:timeslicer name="Sell Date"/>
            </a:graphicData>
          </a:graphic>
        </xdr:graphicFrame>
      </mc:Choice>
      <mc:Fallback xmlns="">
        <xdr:sp macro="" textlink="">
          <xdr:nvSpPr>
            <xdr:cNvPr id="0" name=""/>
            <xdr:cNvSpPr>
              <a:spLocks noTextEdit="1"/>
            </xdr:cNvSpPr>
          </xdr:nvSpPr>
          <xdr:spPr>
            <a:xfrm>
              <a:off x="6819899" y="1543050"/>
              <a:ext cx="5915025" cy="14668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9</xdr:col>
      <xdr:colOff>9525</xdr:colOff>
      <xdr:row>18</xdr:row>
      <xdr:rowOff>0</xdr:rowOff>
    </xdr:from>
    <xdr:to>
      <xdr:col>20</xdr:col>
      <xdr:colOff>0</xdr:colOff>
      <xdr:row>37</xdr:row>
      <xdr:rowOff>19049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tul Tegar" refreshedDate="43150.705325578703" createdVersion="5" refreshedVersion="5" minRefreshableVersion="3" recordCount="166">
  <cacheSource type="worksheet">
    <worksheetSource name="Table1"/>
  </cacheSource>
  <cacheFields count="27">
    <cacheField name="S. No." numFmtId="0">
      <sharedItems containsSemiMixedTypes="0" containsString="0" containsNumber="1" containsInteger="1" minValue="1" maxValue="166"/>
    </cacheField>
    <cacheField name="Buy Date" numFmtId="14">
      <sharedItems containsSemiMixedTypes="0" containsNonDate="0" containsDate="1" containsString="0" minDate="2017-04-06T00:00:00" maxDate="2018-12-29T00:00:00"/>
    </cacheField>
    <cacheField name="Contract" numFmtId="0">
      <sharedItems containsBlank="1" count="29">
        <s v="ADANIPOR"/>
        <s v="COALINDIA"/>
        <s v="BANKNIFTY"/>
        <s v="HDFC"/>
        <s v="TCS"/>
        <s v="EQUITAS"/>
        <s v="SUNPHARMA"/>
        <s v="AXISBANK"/>
        <s v="HDFCBANK"/>
        <s v="ABIRLANUVO"/>
        <s v="YESBANK"/>
        <s v="TATACOMM"/>
        <s v="ITC"/>
        <s v="TATAMOTORS"/>
        <s v="INFY"/>
        <s v="SUNTV"/>
        <s v="FEDERALBNK"/>
        <s v="IDEA"/>
        <s v="MFSL"/>
        <s v="VOLTAS"/>
        <s v="NIFTY"/>
        <s v="RELIANCE"/>
        <s v="ASHOKLEY"/>
        <s v="HINDUNILVR"/>
        <s v="VEDL"/>
        <s v="HCLTECH"/>
        <s v="UPL"/>
        <s v="HINDALCO"/>
        <m u="1"/>
      </sharedItems>
    </cacheField>
    <cacheField name="Strike Price" numFmtId="0">
      <sharedItems containsSemiMixedTypes="0" containsString="0" containsNumber="1" containsInteger="1" minValue="90" maxValue="28000"/>
    </cacheField>
    <cacheField name="Type" numFmtId="0">
      <sharedItems/>
    </cacheField>
    <cacheField name="Contract Date" numFmtId="14">
      <sharedItems containsSemiMixedTypes="0" containsNonDate="0" containsDate="1" containsString="0" minDate="2017-04-25T00:00:00" maxDate="2018-12-29T00:00:00"/>
    </cacheField>
    <cacheField name="Quantity" numFmtId="0">
      <sharedItems containsSemiMixedTypes="0" containsString="0" containsNumber="1" containsInteger="1" minValue="40" maxValue="11000"/>
    </cacheField>
    <cacheField name="Price" numFmtId="44">
      <sharedItems containsSemiMixedTypes="0" containsString="0" containsNumber="1" minValue="0.2" maxValue="134"/>
    </cacheField>
    <cacheField name="Value" numFmtId="44">
      <sharedItems containsSemiMixedTypes="0" containsString="0" containsNumber="1" minValue="52" maxValue="14349.999999999998"/>
    </cacheField>
    <cacheField name="Brokerage" numFmtId="44">
      <sharedItems containsString="0" containsBlank="1" containsNumber="1" containsInteger="1" minValue="20" maxValue="190"/>
    </cacheField>
    <cacheField name="Taxes" numFmtId="44">
      <sharedItems containsString="0" containsBlank="1" containsNumber="1" minValue="3.33" maxValue="30.9"/>
    </cacheField>
    <cacheField name="Total" numFmtId="44">
      <sharedItems containsSemiMixedTypes="0" containsString="0" containsNumber="1" minValue="72" maxValue="14349.999999999998"/>
    </cacheField>
    <cacheField name="DIV" numFmtId="0">
      <sharedItems containsBlank="1" count="95">
        <s v="ADANIPOR 320PE"/>
        <s v="COALINDIA 300CE"/>
        <s v="BANKNIFTY 22300CE"/>
        <s v="BANKNIFTY 22600CE"/>
        <s v="BANKNIFTY 22300PE"/>
        <s v="HDFC 1540PE"/>
        <s v="BANKNIFTY 22500PE"/>
        <s v="BANKNIFTY 22600PE"/>
        <s v="BANKNIFTY 23000CE"/>
        <s v="BANKNIFTY 22800CE"/>
        <s v="BANKNIFTY 22900PE"/>
        <s v="BANKNIFTY 22700PE"/>
        <s v="BANKNIFTY 22800PE"/>
        <s v="BANKNIFTY 22900CE"/>
        <s v="TCS 2500CE"/>
        <s v="BANKNIFTY 23100CE"/>
        <s v="EQUITAS 160PE"/>
        <s v="SUNPHARMA 680CE"/>
        <s v="TCS 2550CE"/>
        <s v="AXISBANK 510CE"/>
        <s v="TCS 2500PE"/>
        <s v="HDFCBANK 1580CE"/>
        <s v="TCS 2800CE"/>
        <s v="BANKNIFTY 23800CE"/>
        <s v="BANKNIFTY 23300CE"/>
        <s v="BANKNIFTY 23500CE"/>
        <s v="HDFCBANK 1660CE"/>
        <s v="BANKNIFTY 23400CE"/>
        <s v="TCS 2700CE"/>
        <s v="BANKNIFTY 23900CE"/>
        <s v="BANKNIFTY 24000CE"/>
        <s v="BANKNIFTY 23600CE"/>
        <s v="ABIRLANUVO 2000CE"/>
        <s v="YESBANK 1600CE"/>
        <s v="BANKNIFTY 23000PE"/>
        <s v="BANKNIFTY 23700CE"/>
        <s v="BANKNIFTY 23700PE"/>
        <s v="TATACOMM 700CE"/>
        <s v="ITC 340CE"/>
        <s v="BANKNIFTY 23900PE"/>
        <s v="BANKNIFTY 24900CE"/>
        <s v="BANKNIFTY 24800CE"/>
        <s v="BANKNIFTY 24700CE"/>
        <s v="BANKNIFTY 24400CE"/>
        <s v="BANKNIFTY 24100PE"/>
        <s v="TATAMOTORS 400CE"/>
        <s v="BANKNIFTY 25000CE"/>
        <s v="INFY 780PE"/>
        <s v="BANKNIFTY 24500CE"/>
        <s v="BANKNIFTY 24200PE"/>
        <s v="ITC 285CE"/>
        <s v="SUNTV 740CE"/>
        <s v="BANKNIFTY 25100CE"/>
        <s v="BANKNIFTY 24600PE"/>
        <s v="BANKNIFTY 24300CE"/>
        <s v="BANKNIFTY 24400PE"/>
        <s v="BANKNIFTY 24500PE"/>
        <s v="FEDERALBNK 120PE"/>
        <s v="IDEA 90PE"/>
        <s v="FEDERALBNK 115PE"/>
        <s v="BANKNIFTY 23500PE"/>
        <s v="BANKNIFTY 25500CE"/>
        <s v="BANKNIFTY 25000PE"/>
        <s v="BANKNIFTY 25500PE"/>
        <s v="MFSL 600CE"/>
        <s v="BANKNIFTY 25900CE"/>
        <s v="BANKNIFTY 25700PE"/>
        <s v="VOLTAS 630CE"/>
        <s v="NIFTY 10700CE"/>
        <s v="SUNTV 840PE"/>
        <s v="BANKNIFTY 26000CE"/>
        <s v="RELIANCE 940CE"/>
        <s v="NIFTY 10500CE"/>
        <s v="HDFC 1720CE"/>
        <s v="BANKNIFTY 25600CE"/>
        <s v="ASHOKLEY 100PE"/>
        <s v="HINDUNILVR 1340PE"/>
        <s v="BANKNIFTY 28000CE"/>
        <s v="BANKNIFTY 27500CE"/>
        <s v="BANKNIFTY 27100PE"/>
        <s v="FEDERALBNK 120CE"/>
        <s v="VEDL 410CE"/>
        <s v="NIFTY 10500PE"/>
        <s v="NIFTY 10600PE"/>
        <s v="HCLTECH 940PE"/>
        <s v="TCS 2850PE"/>
        <s v="NIFTY 10300PE"/>
        <s v="HDFC 1820CE"/>
        <s v="UPL 740CE"/>
        <s v="HINDALCO 250CE"/>
        <s v="HDFC 1860CE"/>
        <s v="FEDERALBNK 100CE"/>
        <s v="TCS 2900PE"/>
        <m u="1"/>
        <s v=" CE" u="1"/>
      </sharedItems>
    </cacheField>
    <cacheField name="Sell Date" numFmtId="14">
      <sharedItems containsNonDate="0" containsDate="1" containsString="0" containsBlank="1" minDate="2017-04-07T00:00:00" maxDate="2018-02-20T00:00:00" count="90">
        <d v="2017-04-07T00:00:00"/>
        <d v="2017-04-27T00:00:00"/>
        <d v="2017-05-02T00:00:00"/>
        <d v="2017-05-03T00:00:00"/>
        <d v="2017-05-04T00:00:00"/>
        <d v="2017-05-09T00:00:00"/>
        <d v="2017-05-08T00:00:00"/>
        <d v="2017-05-10T00:00:00"/>
        <d v="2017-05-11T00:00:00"/>
        <d v="2017-05-15T00:00:00"/>
        <d v="2017-05-16T00:00:00"/>
        <d v="2017-05-17T00:00:00"/>
        <d v="2017-05-18T00:00:00"/>
        <d v="2017-05-25T00:00:00"/>
        <d v="2017-05-19T00:00:00"/>
        <d v="2017-05-22T00:00:00"/>
        <d v="2017-05-23T00:00:00"/>
        <d v="2017-05-24T00:00:00"/>
        <d v="2017-05-26T00:00:00"/>
        <d v="2017-06-06T00:00:00"/>
        <d v="2017-05-29T00:00:00"/>
        <d v="2017-06-01T00:00:00"/>
        <d v="2017-06-02T00:00:00"/>
        <d v="2017-06-29T00:00:00"/>
        <d v="2017-06-15T00:00:00"/>
        <d v="2017-06-21T00:00:00"/>
        <d v="2017-06-22T00:00:00"/>
        <d v="2017-07-03T00:00:00"/>
        <d v="2017-07-04T00:00:00"/>
        <d v="2017-07-13T00:00:00"/>
        <d v="2017-07-05T00:00:00"/>
        <d v="2017-07-06T00:00:00"/>
        <d v="2017-07-14T00:00:00"/>
        <d v="2017-07-27T00:00:00"/>
        <d v="2017-07-20T00:00:00"/>
        <d v="2017-08-08T00:00:00"/>
        <d v="2017-08-10T00:00:00"/>
        <d v="2017-08-14T00:00:00"/>
        <d v="2017-08-16T00:00:00"/>
        <d v="2017-08-17T00:00:00"/>
        <d v="2017-08-18T00:00:00"/>
        <d v="2017-08-21T00:00:00"/>
        <d v="2017-08-31T00:00:00"/>
        <d v="2017-08-23T00:00:00"/>
        <d v="2017-08-24T00:00:00"/>
        <d v="2017-08-28T00:00:00"/>
        <d v="2017-08-29T00:00:00"/>
        <d v="2017-08-30T00:00:00"/>
        <d v="2017-09-04T00:00:00"/>
        <d v="2017-09-05T00:00:00"/>
        <d v="2017-09-07T00:00:00"/>
        <d v="2017-09-11T00:00:00"/>
        <d v="2017-09-12T00:00:00"/>
        <d v="2017-09-13T00:00:00"/>
        <d v="2017-09-14T00:00:00"/>
        <d v="2017-09-21T00:00:00"/>
        <d v="2017-10-12T00:00:00"/>
        <d v="2017-10-16T00:00:00"/>
        <d v="2017-10-18T00:00:00"/>
        <d v="2017-10-25T00:00:00"/>
        <d v="2017-10-26T00:00:00"/>
        <d v="2017-11-02T00:00:00"/>
        <d v="2017-11-09T00:00:00"/>
        <d v="2017-11-21T00:00:00"/>
        <d v="2017-11-22T00:00:00"/>
        <d v="2017-11-23T00:00:00"/>
        <d v="2017-11-24T00:00:00"/>
        <d v="2017-11-27T00:00:00"/>
        <d v="2017-11-30T00:00:00"/>
        <d v="2017-12-28T00:00:00"/>
        <d v="2017-11-28T00:00:00"/>
        <d v="2017-12-19T00:00:00"/>
        <d v="2017-12-27T00:00:00"/>
        <d v="2017-12-22T00:00:00"/>
        <d v="2017-12-26T00:00:00"/>
        <d v="2018-01-25T00:00:00"/>
        <d v="2018-01-11T00:00:00"/>
        <d v="2018-01-29T00:00:00"/>
        <d v="2018-01-31T00:00:00"/>
        <d v="2018-02-01T00:00:00"/>
        <d v="2018-02-02T00:00:00"/>
        <d v="2018-02-06T00:00:00"/>
        <d v="2018-02-08T00:00:00"/>
        <d v="2018-02-09T00:00:00"/>
        <d v="2018-02-12T00:00:00"/>
        <d v="2018-02-14T00:00:00"/>
        <d v="2018-02-15T00:00:00"/>
        <m/>
        <d v="2018-02-16T00:00:00"/>
        <d v="2018-02-19T00:00:00"/>
      </sharedItems>
      <fieldGroup par="26" base="13">
        <rangePr groupBy="months" startDate="2017-04-07T00:00:00" endDate="2018-02-20T00:00:00"/>
        <groupItems count="14">
          <s v="(blank)"/>
          <s v="Jan"/>
          <s v="Feb"/>
          <s v="Mar"/>
          <s v="Apr"/>
          <s v="May"/>
          <s v="Jun"/>
          <s v="Jul"/>
          <s v="Aug"/>
          <s v="Sep"/>
          <s v="Oct"/>
          <s v="Nov"/>
          <s v="Dec"/>
          <s v="&gt;20-02-2018"/>
        </groupItems>
      </fieldGroup>
    </cacheField>
    <cacheField name="Quantity2" numFmtId="0">
      <sharedItems containsString="0" containsBlank="1" containsNumber="1" containsInteger="1" minValue="40" maxValue="11000"/>
    </cacheField>
    <cacheField name="Price3" numFmtId="44">
      <sharedItems containsString="0" containsBlank="1" containsNumber="1" minValue="0" maxValue="135"/>
    </cacheField>
    <cacheField name="Value4" numFmtId="44">
      <sharedItems containsSemiMixedTypes="0" containsString="0" containsNumber="1" minValue="0" maxValue="16300"/>
    </cacheField>
    <cacheField name="Brokerage5" numFmtId="44">
      <sharedItems containsString="0" containsBlank="1" containsNumber="1" containsInteger="1" minValue="0" maxValue="190"/>
    </cacheField>
    <cacheField name="Taxes6" numFmtId="44">
      <sharedItems containsString="0" containsBlank="1" containsNumber="1" minValue="0" maxValue="31.16"/>
    </cacheField>
    <cacheField name="Total7" numFmtId="44">
      <sharedItems containsSemiMixedTypes="0" containsString="0" containsNumber="1" minValue="-24.33" maxValue="16300"/>
    </cacheField>
    <cacheField name="Profit" numFmtId="44">
      <sharedItems containsSemiMixedTypes="0" containsString="0" containsNumber="1" minValue="-7750" maxValue="7000"/>
    </cacheField>
    <cacheField name="Percentage" numFmtId="9">
      <sharedItems containsSemiMixedTypes="0" containsString="0" containsNumber="1" minValue="-1" maxValue="42.75"/>
    </cacheField>
    <cacheField name="Month" numFmtId="17">
      <sharedItems/>
    </cacheField>
    <cacheField name="Demat" numFmtId="44">
      <sharedItems containsBlank="1" count="3">
        <s v="ICICI Direct"/>
        <s v="Zerodha"/>
        <m u="1"/>
      </sharedItems>
    </cacheField>
    <cacheField name="Day" numFmtId="44">
      <sharedItems count="6">
        <s v="Fri"/>
        <s v="Thu"/>
        <s v="Tue"/>
        <s v="Wed"/>
        <s v="Mon"/>
        <s v="Sat"/>
      </sharedItems>
    </cacheField>
    <cacheField name="Call By" numFmtId="44">
      <sharedItems containsBlank="1" count="3">
        <s v="Sandeep"/>
        <s v="Self"/>
        <m u="1"/>
      </sharedItems>
    </cacheField>
    <cacheField name="Years" numFmtId="0" databaseField="0">
      <fieldGroup base="13">
        <rangePr groupBy="years" startDate="2017-04-07T00:00:00" endDate="2018-02-20T00:00:00"/>
        <groupItems count="4">
          <s v="&lt;07-04-2017"/>
          <s v="2017"/>
          <s v="2018"/>
          <s v="&gt;20-02-2018"/>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66">
  <r>
    <n v="1"/>
    <d v="2017-04-06T00:00:00"/>
    <x v="0"/>
    <n v="320"/>
    <s v="Put"/>
    <d v="2017-04-27T00:00:00"/>
    <n v="2500"/>
    <n v="1.9"/>
    <n v="4750"/>
    <n v="95"/>
    <n v="16.98"/>
    <n v="4861.9799999999996"/>
    <x v="0"/>
    <x v="0"/>
    <n v="2500"/>
    <n v="1.8"/>
    <n v="4500"/>
    <n v="95"/>
    <n v="18.829999999999998"/>
    <n v="4386.17"/>
    <n v="-250"/>
    <n v="-5.2631578947368418E-2"/>
    <s v="Apr-17"/>
    <x v="0"/>
    <x v="0"/>
    <x v="0"/>
  </r>
  <r>
    <n v="2"/>
    <d v="2017-04-07T00:00:00"/>
    <x v="1"/>
    <n v="300"/>
    <s v="Call"/>
    <d v="2017-04-27T00:00:00"/>
    <n v="1700"/>
    <n v="1.35"/>
    <n v="2295"/>
    <n v="95"/>
    <n v="15.57"/>
    <n v="2405.5700000000002"/>
    <x v="1"/>
    <x v="1"/>
    <n v="1700"/>
    <n v="0.05"/>
    <n v="85"/>
    <n v="95"/>
    <n v="14.33"/>
    <n v="-24.33"/>
    <n v="-2210"/>
    <n v="-0.96296296296296291"/>
    <s v="Apr-17"/>
    <x v="0"/>
    <x v="1"/>
    <x v="0"/>
  </r>
  <r>
    <n v="3"/>
    <d v="2017-04-26T00:00:00"/>
    <x v="2"/>
    <n v="22300"/>
    <s v="Call"/>
    <d v="2017-04-27T00:00:00"/>
    <n v="80"/>
    <n v="47.85"/>
    <n v="3828"/>
    <n v="190"/>
    <n v="30.7"/>
    <n v="4048.7"/>
    <x v="2"/>
    <x v="1"/>
    <n v="80"/>
    <n v="35.6"/>
    <n v="2848"/>
    <n v="190"/>
    <n v="31"/>
    <n v="2627"/>
    <n v="-980"/>
    <n v="-0.2560083594566353"/>
    <s v="Apr-17"/>
    <x v="0"/>
    <x v="1"/>
    <x v="0"/>
  </r>
  <r>
    <n v="4"/>
    <d v="2017-05-02T00:00:00"/>
    <x v="2"/>
    <n v="22600"/>
    <s v="Call"/>
    <d v="2017-05-04T00:00:00"/>
    <n v="80"/>
    <n v="20"/>
    <n v="1600"/>
    <n v="100"/>
    <n v="15.91"/>
    <n v="1715.91"/>
    <x v="3"/>
    <x v="2"/>
    <n v="80"/>
    <n v="30"/>
    <n v="2400"/>
    <n v="190"/>
    <n v="30.87"/>
    <n v="2179.13"/>
    <n v="800"/>
    <n v="0.5"/>
    <s v="May-17"/>
    <x v="0"/>
    <x v="2"/>
    <x v="0"/>
  </r>
  <r>
    <n v="5"/>
    <d v="2017-05-03T00:00:00"/>
    <x v="2"/>
    <n v="22300"/>
    <s v="Put"/>
    <d v="2017-05-04T00:00:00"/>
    <n v="40"/>
    <n v="60"/>
    <n v="2400"/>
    <n v="50"/>
    <n v="8.8699999999999992"/>
    <n v="2458.87"/>
    <x v="4"/>
    <x v="3"/>
    <n v="40"/>
    <n v="71.3"/>
    <n v="2852"/>
    <n v="95"/>
    <n v="16.89"/>
    <n v="2740.11"/>
    <n v="452"/>
    <n v="0.18833333333333332"/>
    <s v="May-17"/>
    <x v="0"/>
    <x v="3"/>
    <x v="0"/>
  </r>
  <r>
    <n v="6"/>
    <d v="2017-05-04T00:00:00"/>
    <x v="3"/>
    <n v="1540"/>
    <s v="Put"/>
    <d v="2017-04-25T00:00:00"/>
    <n v="500"/>
    <n v="14.6"/>
    <n v="7300"/>
    <n v="95"/>
    <n v="18.440000000000001"/>
    <n v="7413.44"/>
    <x v="5"/>
    <x v="4"/>
    <n v="500"/>
    <n v="12"/>
    <n v="6000"/>
    <n v="50"/>
    <n v="13.94"/>
    <n v="5936.06"/>
    <n v="-1300"/>
    <n v="-0.17808219178082191"/>
    <s v="May-17"/>
    <x v="0"/>
    <x v="1"/>
    <x v="0"/>
  </r>
  <r>
    <n v="7"/>
    <d v="2017-05-05T00:00:00"/>
    <x v="2"/>
    <n v="22500"/>
    <s v="Put"/>
    <d v="2017-05-11T00:00:00"/>
    <n v="40"/>
    <n v="98"/>
    <n v="3920"/>
    <n v="95"/>
    <n v="16.5"/>
    <n v="4031.5"/>
    <x v="6"/>
    <x v="5"/>
    <n v="40"/>
    <n v="49.2"/>
    <n v="1968"/>
    <n v="95"/>
    <n v="16.579999999999998"/>
    <n v="1856.42"/>
    <n v="-1952"/>
    <n v="-0.49795918367346936"/>
    <s v="May-17"/>
    <x v="0"/>
    <x v="2"/>
    <x v="0"/>
  </r>
  <r>
    <n v="8"/>
    <d v="2017-05-08T00:00:00"/>
    <x v="2"/>
    <n v="22600"/>
    <s v="Put"/>
    <d v="2017-05-11T00:00:00"/>
    <n v="40"/>
    <n v="78.5"/>
    <n v="3140"/>
    <n v="95"/>
    <n v="16.05"/>
    <n v="3251.05"/>
    <x v="7"/>
    <x v="6"/>
    <n v="40"/>
    <n v="61"/>
    <n v="2440"/>
    <n v="50"/>
    <n v="9.9"/>
    <n v="2380.1"/>
    <n v="-700"/>
    <n v="-0.22292993630573249"/>
    <s v="May-17"/>
    <x v="0"/>
    <x v="4"/>
    <x v="0"/>
  </r>
  <r>
    <n v="9"/>
    <d v="2017-05-09T00:00:00"/>
    <x v="2"/>
    <n v="23000"/>
    <s v="Call"/>
    <d v="2017-05-11T00:00:00"/>
    <n v="80"/>
    <n v="25"/>
    <n v="2000"/>
    <n v="190"/>
    <n v="29.64"/>
    <n v="2219.64"/>
    <x v="8"/>
    <x v="5"/>
    <n v="80"/>
    <n v="20"/>
    <n v="1600"/>
    <n v="100"/>
    <n v="16.71"/>
    <n v="1483.29"/>
    <n v="-400"/>
    <n v="-0.2"/>
    <s v="May-17"/>
    <x v="0"/>
    <x v="2"/>
    <x v="0"/>
  </r>
  <r>
    <n v="10"/>
    <d v="2017-05-10T00:00:00"/>
    <x v="2"/>
    <n v="22800"/>
    <s v="Call"/>
    <d v="2017-05-11T00:00:00"/>
    <n v="40"/>
    <n v="68.900000000000006"/>
    <n v="2756"/>
    <n v="50"/>
    <n v="9.09"/>
    <n v="2815.09"/>
    <x v="9"/>
    <x v="7"/>
    <n v="40"/>
    <n v="99.45"/>
    <n v="3978"/>
    <n v="95"/>
    <n v="18.54"/>
    <n v="3864.46"/>
    <n v="1222"/>
    <n v="0.44339622641509435"/>
    <s v="May-17"/>
    <x v="0"/>
    <x v="3"/>
    <x v="0"/>
  </r>
  <r>
    <n v="11"/>
    <d v="2017-05-11T00:00:00"/>
    <x v="2"/>
    <n v="22900"/>
    <s v="Put"/>
    <d v="2017-05-11T00:00:00"/>
    <n v="80"/>
    <n v="40"/>
    <n v="3200"/>
    <n v="190"/>
    <n v="30.34"/>
    <n v="3420.34"/>
    <x v="10"/>
    <x v="8"/>
    <n v="80"/>
    <n v="30"/>
    <n v="2400"/>
    <n v="100"/>
    <n v="17.37"/>
    <n v="2282.63"/>
    <n v="-800"/>
    <n v="-0.25"/>
    <s v="May-17"/>
    <x v="0"/>
    <x v="1"/>
    <x v="0"/>
  </r>
  <r>
    <n v="12"/>
    <d v="2017-05-15T00:00:00"/>
    <x v="2"/>
    <n v="22700"/>
    <s v="Put"/>
    <d v="2017-05-18T00:00:00"/>
    <n v="40"/>
    <n v="70"/>
    <n v="2800"/>
    <n v="50"/>
    <n v="9.1199999999999992"/>
    <n v="2859.12"/>
    <x v="11"/>
    <x v="9"/>
    <n v="40"/>
    <n v="81.3"/>
    <n v="3252"/>
    <n v="95"/>
    <n v="17.41"/>
    <n v="3139.59"/>
    <n v="452"/>
    <n v="0.16142857142857142"/>
    <s v="May-17"/>
    <x v="0"/>
    <x v="4"/>
    <x v="0"/>
  </r>
  <r>
    <n v="13"/>
    <d v="2017-05-15T00:00:00"/>
    <x v="2"/>
    <n v="22800"/>
    <s v="Put"/>
    <d v="2017-05-18T00:00:00"/>
    <n v="40"/>
    <n v="92"/>
    <n v="3680"/>
    <n v="95"/>
    <n v="16.36"/>
    <n v="3791.36"/>
    <x v="12"/>
    <x v="9"/>
    <n v="40"/>
    <n v="85"/>
    <n v="3400"/>
    <n v="50"/>
    <n v="11.16"/>
    <n v="3338.84"/>
    <n v="-280"/>
    <n v="-7.6086956521739135E-2"/>
    <s v="May-17"/>
    <x v="0"/>
    <x v="4"/>
    <x v="0"/>
  </r>
  <r>
    <n v="14"/>
    <d v="2017-05-15T00:00:00"/>
    <x v="2"/>
    <n v="22900"/>
    <s v="Call"/>
    <d v="2017-05-18T00:00:00"/>
    <n v="40"/>
    <n v="58.15"/>
    <n v="2326"/>
    <n v="95"/>
    <n v="15.58"/>
    <n v="2436.58"/>
    <x v="13"/>
    <x v="9"/>
    <n v="40"/>
    <n v="51"/>
    <n v="2040"/>
    <n v="50"/>
    <n v="9.69"/>
    <n v="1980.31"/>
    <n v="-286"/>
    <n v="-0.12295786758383491"/>
    <s v="May-17"/>
    <x v="0"/>
    <x v="4"/>
    <x v="0"/>
  </r>
  <r>
    <n v="15"/>
    <d v="2017-05-16T00:00:00"/>
    <x v="2"/>
    <n v="23000"/>
    <s v="Call"/>
    <d v="2017-05-18T00:00:00"/>
    <n v="40"/>
    <n v="31"/>
    <n v="1240"/>
    <n v="50"/>
    <n v="8.1999999999999993"/>
    <n v="1298.2"/>
    <x v="8"/>
    <x v="10"/>
    <n v="40"/>
    <n v="36.049999999999997"/>
    <n v="1442"/>
    <n v="95"/>
    <m/>
    <n v="1347"/>
    <n v="202"/>
    <n v="0.16290322580645161"/>
    <s v="May-17"/>
    <x v="0"/>
    <x v="2"/>
    <x v="0"/>
  </r>
  <r>
    <n v="16"/>
    <d v="2017-05-16T00:00:00"/>
    <x v="2"/>
    <n v="23000"/>
    <s v="Call"/>
    <d v="2017-05-18T00:00:00"/>
    <n v="40"/>
    <n v="20"/>
    <n v="800"/>
    <n v="50"/>
    <n v="7.96"/>
    <n v="857.96"/>
    <x v="8"/>
    <x v="10"/>
    <n v="40"/>
    <n v="36.049999999999997"/>
    <n v="1442"/>
    <n v="95"/>
    <n v="31.16"/>
    <n v="1315.84"/>
    <n v="642"/>
    <n v="0.80249999999999999"/>
    <s v="May-17"/>
    <x v="0"/>
    <x v="2"/>
    <x v="0"/>
  </r>
  <r>
    <n v="17"/>
    <d v="2017-05-16T00:00:00"/>
    <x v="4"/>
    <n v="2500"/>
    <s v="Call"/>
    <d v="2017-05-25T00:00:00"/>
    <n v="250"/>
    <n v="9"/>
    <n v="2250"/>
    <n v="95"/>
    <n v="15.54"/>
    <n v="2360.54"/>
    <x v="14"/>
    <x v="11"/>
    <n v="250"/>
    <n v="10.4"/>
    <n v="2600"/>
    <n v="95"/>
    <n v="17.05"/>
    <n v="2487.9499999999998"/>
    <n v="350"/>
    <n v="0.15555555555555556"/>
    <s v="May-17"/>
    <x v="0"/>
    <x v="3"/>
    <x v="1"/>
  </r>
  <r>
    <n v="18"/>
    <d v="2017-05-17T00:00:00"/>
    <x v="2"/>
    <n v="23100"/>
    <s v="Call"/>
    <d v="2017-05-18T00:00:00"/>
    <n v="40"/>
    <n v="16"/>
    <n v="640"/>
    <n v="95"/>
    <n v="14.61"/>
    <n v="749.61"/>
    <x v="15"/>
    <x v="11"/>
    <n v="40"/>
    <n v="11"/>
    <n v="440"/>
    <n v="50"/>
    <n v="8.4499999999999993"/>
    <n v="381.55"/>
    <n v="-200"/>
    <n v="-0.3125"/>
    <s v="May-17"/>
    <x v="0"/>
    <x v="3"/>
    <x v="0"/>
  </r>
  <r>
    <n v="19"/>
    <d v="2017-05-18T00:00:00"/>
    <x v="2"/>
    <n v="22800"/>
    <s v="Call"/>
    <d v="2017-05-18T00:00:00"/>
    <n v="80"/>
    <n v="32"/>
    <n v="2560"/>
    <n v="190"/>
    <n v="29.97"/>
    <n v="2779.97"/>
    <x v="9"/>
    <x v="12"/>
    <n v="80"/>
    <n v="6.45"/>
    <n v="516"/>
    <n v="100"/>
    <n v="15.81"/>
    <n v="400.19"/>
    <n v="-2044"/>
    <n v="-0.79843750000000002"/>
    <s v="May-17"/>
    <x v="0"/>
    <x v="1"/>
    <x v="0"/>
  </r>
  <r>
    <n v="20"/>
    <d v="2017-05-18T00:00:00"/>
    <x v="5"/>
    <n v="160"/>
    <s v="Put"/>
    <d v="2017-05-25T00:00:00"/>
    <n v="3200"/>
    <n v="1.05"/>
    <n v="3360"/>
    <n v="50"/>
    <n v="9.43"/>
    <n v="3419.43"/>
    <x v="16"/>
    <x v="12"/>
    <n v="3200"/>
    <n v="1.55"/>
    <n v="4960"/>
    <n v="95"/>
    <n v="19.579999999999998"/>
    <n v="4845.42"/>
    <n v="1600"/>
    <n v="0.47619047619047616"/>
    <s v="May-17"/>
    <x v="0"/>
    <x v="1"/>
    <x v="0"/>
  </r>
  <r>
    <n v="21"/>
    <d v="2017-05-19T00:00:00"/>
    <x v="6"/>
    <n v="680"/>
    <s v="Call"/>
    <d v="2017-05-25T00:00:00"/>
    <n v="1400"/>
    <n v="3"/>
    <n v="4200"/>
    <n v="190"/>
    <n v="30.9"/>
    <n v="4420.8999999999996"/>
    <x v="17"/>
    <x v="13"/>
    <n v="1400"/>
    <n v="0"/>
    <n v="0"/>
    <n v="0"/>
    <n v="0"/>
    <n v="0"/>
    <n v="-4200"/>
    <n v="-1"/>
    <s v="May-17"/>
    <x v="0"/>
    <x v="1"/>
    <x v="0"/>
  </r>
  <r>
    <n v="22"/>
    <d v="2017-05-19T00:00:00"/>
    <x v="2"/>
    <n v="22800"/>
    <s v="Put"/>
    <d v="2017-05-25T00:00:00"/>
    <n v="40"/>
    <n v="104.45"/>
    <n v="4178"/>
    <n v="50"/>
    <n v="9.9"/>
    <n v="4237.8999999999996"/>
    <x v="12"/>
    <x v="14"/>
    <n v="40"/>
    <n v="125.9"/>
    <n v="5036"/>
    <n v="95"/>
    <n v="20.14"/>
    <n v="4920.8599999999997"/>
    <n v="858"/>
    <n v="0.20536141694590712"/>
    <s v="May-17"/>
    <x v="0"/>
    <x v="0"/>
    <x v="0"/>
  </r>
  <r>
    <n v="23"/>
    <d v="2017-05-19T00:00:00"/>
    <x v="4"/>
    <n v="2550"/>
    <s v="Call"/>
    <d v="2017-05-25T00:00:00"/>
    <n v="250"/>
    <n v="12"/>
    <n v="3000"/>
    <n v="95"/>
    <n v="15.98"/>
    <n v="3110.98"/>
    <x v="18"/>
    <x v="15"/>
    <n v="250"/>
    <n v="22"/>
    <n v="5500"/>
    <n v="95"/>
    <n v="20.16"/>
    <n v="5384.84"/>
    <n v="2500"/>
    <n v="0.83333333333333337"/>
    <s v="May-17"/>
    <x v="0"/>
    <x v="4"/>
    <x v="1"/>
  </r>
  <r>
    <n v="24"/>
    <d v="2017-05-22T00:00:00"/>
    <x v="7"/>
    <n v="510"/>
    <s v="Call"/>
    <d v="2017-05-25T00:00:00"/>
    <n v="1200"/>
    <n v="4"/>
    <n v="4800"/>
    <n v="95"/>
    <n v="17.010000000000002"/>
    <n v="4912.01"/>
    <x v="19"/>
    <x v="15"/>
    <n v="1200"/>
    <n v="3.75"/>
    <n v="4500"/>
    <n v="50"/>
    <n v="12.33"/>
    <n v="4437.67"/>
    <n v="-300"/>
    <n v="-6.25E-2"/>
    <s v="May-17"/>
    <x v="0"/>
    <x v="4"/>
    <x v="0"/>
  </r>
  <r>
    <n v="25"/>
    <d v="2017-05-22T00:00:00"/>
    <x v="2"/>
    <n v="22900"/>
    <s v="Call"/>
    <d v="2017-05-25T00:00:00"/>
    <n v="40"/>
    <n v="85"/>
    <n v="3400"/>
    <n v="95"/>
    <n v="16.21"/>
    <n v="3511.21"/>
    <x v="13"/>
    <x v="13"/>
    <n v="40"/>
    <n v="2.85"/>
    <n v="114"/>
    <n v="95"/>
    <m/>
    <n v="19"/>
    <n v="-3286"/>
    <n v="-0.96647058823529408"/>
    <s v="May-17"/>
    <x v="0"/>
    <x v="1"/>
    <x v="0"/>
  </r>
  <r>
    <n v="26"/>
    <d v="2017-05-22T00:00:00"/>
    <x v="2"/>
    <n v="22900"/>
    <s v="Call"/>
    <d v="2017-05-25T00:00:00"/>
    <n v="40"/>
    <n v="70"/>
    <n v="2800"/>
    <n v="95"/>
    <n v="15.87"/>
    <n v="2910.87"/>
    <x v="13"/>
    <x v="13"/>
    <n v="40"/>
    <n v="2.85"/>
    <n v="114"/>
    <n v="95"/>
    <m/>
    <n v="19"/>
    <n v="-2686"/>
    <n v="-0.9592857142857143"/>
    <s v="May-17"/>
    <x v="0"/>
    <x v="1"/>
    <x v="0"/>
  </r>
  <r>
    <n v="27"/>
    <d v="2017-05-22T00:00:00"/>
    <x v="2"/>
    <n v="22900"/>
    <s v="Call"/>
    <d v="2017-05-25T00:00:00"/>
    <n v="40"/>
    <n v="55"/>
    <n v="2200"/>
    <n v="95"/>
    <n v="15.5"/>
    <n v="2310.5"/>
    <x v="13"/>
    <x v="13"/>
    <n v="40"/>
    <n v="2.85"/>
    <n v="114"/>
    <n v="95"/>
    <m/>
    <n v="19"/>
    <n v="-2086"/>
    <n v="-0.94818181818181824"/>
    <s v="May-17"/>
    <x v="0"/>
    <x v="1"/>
    <x v="0"/>
  </r>
  <r>
    <n v="28"/>
    <d v="2017-05-23T00:00:00"/>
    <x v="4"/>
    <n v="2500"/>
    <s v="Put"/>
    <d v="2017-05-25T00:00:00"/>
    <n v="500"/>
    <n v="4.5"/>
    <n v="2250"/>
    <n v="190"/>
    <m/>
    <n v="2440"/>
    <x v="20"/>
    <x v="16"/>
    <n v="500"/>
    <n v="5.4"/>
    <n v="2700"/>
    <n v="100"/>
    <m/>
    <n v="2600"/>
    <n v="450"/>
    <n v="0.2"/>
    <s v="May-17"/>
    <x v="0"/>
    <x v="2"/>
    <x v="1"/>
  </r>
  <r>
    <n v="29"/>
    <d v="2017-05-23T00:00:00"/>
    <x v="4"/>
    <n v="2550"/>
    <s v="Call"/>
    <d v="2017-05-25T00:00:00"/>
    <n v="250"/>
    <n v="15"/>
    <n v="3750"/>
    <n v="95"/>
    <m/>
    <n v="3845"/>
    <x v="18"/>
    <x v="17"/>
    <n v="250"/>
    <n v="14.05"/>
    <n v="3512.5"/>
    <n v="95"/>
    <m/>
    <n v="3417.5"/>
    <n v="-237.5"/>
    <n v="-6.3333333333333339E-2"/>
    <s v="May-17"/>
    <x v="0"/>
    <x v="3"/>
    <x v="0"/>
  </r>
  <r>
    <n v="30"/>
    <d v="2017-05-25T00:00:00"/>
    <x v="8"/>
    <n v="1580"/>
    <s v="Call"/>
    <d v="2017-05-25T00:00:00"/>
    <n v="1000"/>
    <n v="2.75"/>
    <n v="2750"/>
    <n v="190"/>
    <m/>
    <n v="2940"/>
    <x v="21"/>
    <x v="13"/>
    <n v="1000"/>
    <n v="3.95"/>
    <n v="3950"/>
    <n v="100"/>
    <m/>
    <n v="3850"/>
    <n v="1200"/>
    <n v="0.43636363636363634"/>
    <s v="May-17"/>
    <x v="0"/>
    <x v="1"/>
    <x v="0"/>
  </r>
  <r>
    <n v="31"/>
    <d v="2017-05-26T00:00:00"/>
    <x v="2"/>
    <n v="22700"/>
    <s v="Put"/>
    <d v="2017-06-01T00:00:00"/>
    <n v="40"/>
    <n v="45.55"/>
    <n v="1822"/>
    <n v="20"/>
    <m/>
    <n v="1842"/>
    <x v="11"/>
    <x v="18"/>
    <n v="40"/>
    <n v="47"/>
    <n v="1880"/>
    <n v="20"/>
    <m/>
    <n v="1860"/>
    <n v="58"/>
    <n v="3.1833150384193196E-2"/>
    <s v="May-17"/>
    <x v="1"/>
    <x v="0"/>
    <x v="1"/>
  </r>
  <r>
    <n v="32"/>
    <d v="2017-05-26T00:00:00"/>
    <x v="4"/>
    <n v="2800"/>
    <s v="Call"/>
    <d v="2017-06-29T00:00:00"/>
    <n v="250"/>
    <n v="7.6"/>
    <n v="1900"/>
    <n v="20"/>
    <m/>
    <n v="1920"/>
    <x v="22"/>
    <x v="19"/>
    <n v="250"/>
    <n v="18"/>
    <n v="4500"/>
    <n v="20"/>
    <m/>
    <n v="4480"/>
    <n v="2600"/>
    <n v="1.368421052631579"/>
    <s v="Jun-17"/>
    <x v="1"/>
    <x v="2"/>
    <x v="1"/>
  </r>
  <r>
    <n v="33"/>
    <d v="2017-05-29T00:00:00"/>
    <x v="2"/>
    <n v="23800"/>
    <s v="Call"/>
    <d v="2017-06-01T00:00:00"/>
    <n v="80"/>
    <n v="12"/>
    <n v="960"/>
    <n v="20"/>
    <m/>
    <n v="980"/>
    <x v="23"/>
    <x v="20"/>
    <n v="80"/>
    <n v="8"/>
    <n v="640"/>
    <n v="20"/>
    <m/>
    <n v="620"/>
    <n v="-320"/>
    <n v="-0.33333333333333331"/>
    <s v="May-17"/>
    <x v="1"/>
    <x v="4"/>
    <x v="0"/>
  </r>
  <r>
    <n v="34"/>
    <d v="2017-05-29T00:00:00"/>
    <x v="2"/>
    <n v="23800"/>
    <s v="Call"/>
    <d v="2017-06-01T00:00:00"/>
    <n v="80"/>
    <n v="9"/>
    <n v="720"/>
    <n v="20"/>
    <m/>
    <n v="740"/>
    <x v="23"/>
    <x v="21"/>
    <n v="80"/>
    <n v="0"/>
    <n v="0"/>
    <n v="0"/>
    <n v="0"/>
    <n v="0"/>
    <n v="-720"/>
    <n v="-1"/>
    <s v="Jun-17"/>
    <x v="1"/>
    <x v="1"/>
    <x v="0"/>
  </r>
  <r>
    <n v="35"/>
    <d v="2017-05-31T00:00:00"/>
    <x v="2"/>
    <n v="23800"/>
    <s v="Call"/>
    <d v="2017-06-01T00:00:00"/>
    <n v="40"/>
    <n v="2.5"/>
    <n v="100"/>
    <n v="20"/>
    <m/>
    <n v="120"/>
    <x v="23"/>
    <x v="21"/>
    <n v="40"/>
    <n v="0"/>
    <n v="0"/>
    <n v="0"/>
    <n v="0"/>
    <n v="0"/>
    <n v="-100"/>
    <n v="-1"/>
    <s v="Jun-17"/>
    <x v="1"/>
    <x v="1"/>
    <x v="0"/>
  </r>
  <r>
    <n v="36"/>
    <d v="2017-06-01T00:00:00"/>
    <x v="2"/>
    <n v="23300"/>
    <s v="Call"/>
    <d v="2017-06-01T00:00:00"/>
    <n v="40"/>
    <n v="90"/>
    <n v="3600"/>
    <n v="20"/>
    <m/>
    <n v="3620"/>
    <x v="24"/>
    <x v="21"/>
    <n v="40"/>
    <n v="65"/>
    <n v="2600"/>
    <n v="20"/>
    <m/>
    <n v="2580"/>
    <n v="-1000"/>
    <n v="-0.27777777777777779"/>
    <s v="Jun-17"/>
    <x v="1"/>
    <x v="1"/>
    <x v="0"/>
  </r>
  <r>
    <n v="37"/>
    <d v="2017-06-01T00:00:00"/>
    <x v="2"/>
    <n v="23300"/>
    <s v="Call"/>
    <d v="2017-06-01T00:00:00"/>
    <n v="40"/>
    <n v="80"/>
    <n v="3200"/>
    <n v="20"/>
    <m/>
    <n v="3220"/>
    <x v="24"/>
    <x v="21"/>
    <n v="40"/>
    <n v="65"/>
    <n v="2600"/>
    <n v="20"/>
    <m/>
    <n v="2580"/>
    <n v="-600"/>
    <n v="-0.1875"/>
    <s v="Jun-17"/>
    <x v="1"/>
    <x v="1"/>
    <x v="0"/>
  </r>
  <r>
    <n v="38"/>
    <d v="2017-06-01T00:00:00"/>
    <x v="2"/>
    <n v="23500"/>
    <s v="Call"/>
    <d v="2017-06-01T00:00:00"/>
    <n v="80"/>
    <n v="8"/>
    <n v="640"/>
    <n v="20"/>
    <m/>
    <n v="660"/>
    <x v="25"/>
    <x v="21"/>
    <n v="80"/>
    <n v="0"/>
    <n v="0"/>
    <n v="0"/>
    <n v="0"/>
    <n v="0"/>
    <n v="-640"/>
    <n v="-1"/>
    <s v="Jun-17"/>
    <x v="1"/>
    <x v="1"/>
    <x v="0"/>
  </r>
  <r>
    <n v="39"/>
    <d v="2017-06-01T00:00:00"/>
    <x v="2"/>
    <n v="23300"/>
    <s v="Call"/>
    <d v="2017-06-01T00:00:00"/>
    <n v="40"/>
    <n v="65"/>
    <n v="2600"/>
    <n v="20"/>
    <m/>
    <n v="2620"/>
    <x v="24"/>
    <x v="21"/>
    <n v="40"/>
    <n v="7.6"/>
    <n v="304"/>
    <n v="20"/>
    <m/>
    <n v="284"/>
    <n v="-2296"/>
    <n v="-0.88307692307692309"/>
    <s v="Jun-17"/>
    <x v="1"/>
    <x v="1"/>
    <x v="0"/>
  </r>
  <r>
    <n v="40"/>
    <d v="2017-06-01T00:00:00"/>
    <x v="8"/>
    <n v="1660"/>
    <s v="Call"/>
    <d v="2017-06-29T00:00:00"/>
    <n v="500"/>
    <n v="10"/>
    <n v="5000"/>
    <n v="20"/>
    <m/>
    <n v="5020"/>
    <x v="26"/>
    <x v="22"/>
    <n v="500"/>
    <n v="12.5"/>
    <n v="6250"/>
    <n v="20"/>
    <m/>
    <n v="6230"/>
    <n v="1250"/>
    <n v="0.25"/>
    <s v="Jun-17"/>
    <x v="1"/>
    <x v="0"/>
    <x v="0"/>
  </r>
  <r>
    <n v="41"/>
    <d v="2017-06-02T00:00:00"/>
    <x v="2"/>
    <n v="23400"/>
    <s v="Call"/>
    <d v="2017-06-08T00:00:00"/>
    <n v="40"/>
    <n v="125"/>
    <n v="5000"/>
    <n v="20"/>
    <m/>
    <n v="5020"/>
    <x v="27"/>
    <x v="22"/>
    <n v="40"/>
    <n v="135"/>
    <n v="5400"/>
    <n v="20"/>
    <m/>
    <n v="5380"/>
    <n v="400"/>
    <n v="0.08"/>
    <s v="Jun-17"/>
    <x v="1"/>
    <x v="0"/>
    <x v="0"/>
  </r>
  <r>
    <n v="42"/>
    <d v="2017-06-12T00:00:00"/>
    <x v="4"/>
    <n v="2700"/>
    <s v="Call"/>
    <d v="2017-06-29T00:00:00"/>
    <n v="500"/>
    <n v="4.5"/>
    <n v="2250"/>
    <n v="20"/>
    <m/>
    <n v="2270"/>
    <x v="28"/>
    <x v="23"/>
    <n v="500"/>
    <n v="0"/>
    <n v="0"/>
    <n v="0"/>
    <n v="0"/>
    <n v="0"/>
    <n v="-2250"/>
    <n v="-1"/>
    <s v="Jun-17"/>
    <x v="1"/>
    <x v="1"/>
    <x v="1"/>
  </r>
  <r>
    <n v="43"/>
    <d v="2017-06-12T00:00:00"/>
    <x v="4"/>
    <n v="2800"/>
    <s v="Call"/>
    <d v="2017-06-29T00:00:00"/>
    <n v="500"/>
    <n v="2.15"/>
    <n v="1075"/>
    <n v="20"/>
    <m/>
    <n v="1095"/>
    <x v="22"/>
    <x v="23"/>
    <n v="500"/>
    <n v="0"/>
    <n v="0"/>
    <n v="0"/>
    <n v="0"/>
    <n v="0"/>
    <n v="-1075"/>
    <n v="-1"/>
    <s v="Jun-17"/>
    <x v="1"/>
    <x v="1"/>
    <x v="1"/>
  </r>
  <r>
    <n v="44"/>
    <d v="2017-06-12T00:00:00"/>
    <x v="2"/>
    <n v="23800"/>
    <s v="Call"/>
    <d v="2017-06-15T00:00:00"/>
    <n v="80"/>
    <n v="15"/>
    <n v="1200"/>
    <n v="20"/>
    <m/>
    <n v="1220"/>
    <x v="23"/>
    <x v="24"/>
    <n v="80"/>
    <n v="0"/>
    <n v="0"/>
    <n v="0"/>
    <n v="0"/>
    <n v="0"/>
    <n v="-1200"/>
    <n v="-1"/>
    <s v="Jun-17"/>
    <x v="1"/>
    <x v="1"/>
    <x v="0"/>
  </r>
  <r>
    <n v="45"/>
    <d v="2017-06-14T00:00:00"/>
    <x v="2"/>
    <n v="22900"/>
    <s v="Put"/>
    <d v="2017-06-15T00:00:00"/>
    <n v="200"/>
    <n v="1.5"/>
    <n v="300"/>
    <n v="20"/>
    <m/>
    <n v="320"/>
    <x v="10"/>
    <x v="24"/>
    <n v="200"/>
    <n v="0"/>
    <n v="0"/>
    <n v="0"/>
    <n v="0"/>
    <n v="0"/>
    <n v="-300"/>
    <n v="-1"/>
    <s v="Jun-17"/>
    <x v="1"/>
    <x v="1"/>
    <x v="0"/>
  </r>
  <r>
    <n v="46"/>
    <d v="2017-06-21T00:00:00"/>
    <x v="2"/>
    <n v="23900"/>
    <s v="Call"/>
    <d v="2017-06-21T00:00:00"/>
    <n v="40"/>
    <n v="4.55"/>
    <n v="182"/>
    <n v="20"/>
    <m/>
    <n v="202"/>
    <x v="29"/>
    <x v="25"/>
    <n v="40"/>
    <n v="18"/>
    <n v="720"/>
    <n v="20"/>
    <m/>
    <n v="700"/>
    <n v="538"/>
    <n v="2.9560439560439562"/>
    <s v="Jun-17"/>
    <x v="1"/>
    <x v="3"/>
    <x v="1"/>
  </r>
  <r>
    <n v="47"/>
    <d v="2017-06-21T00:00:00"/>
    <x v="2"/>
    <n v="23900"/>
    <s v="Call"/>
    <d v="2017-06-22T00:00:00"/>
    <n v="40"/>
    <n v="16.75"/>
    <n v="670"/>
    <n v="20"/>
    <m/>
    <n v="690"/>
    <x v="29"/>
    <x v="26"/>
    <n v="40"/>
    <n v="18"/>
    <n v="720"/>
    <n v="20"/>
    <m/>
    <n v="700"/>
    <n v="50"/>
    <n v="7.4626865671641784E-2"/>
    <s v="Jun-17"/>
    <x v="1"/>
    <x v="1"/>
    <x v="1"/>
  </r>
  <r>
    <n v="48"/>
    <d v="2017-06-22T00:00:00"/>
    <x v="2"/>
    <n v="24000"/>
    <s v="Call"/>
    <d v="2017-06-22T00:00:00"/>
    <n v="40"/>
    <n v="2.1"/>
    <n v="84"/>
    <n v="20"/>
    <m/>
    <n v="104"/>
    <x v="30"/>
    <x v="26"/>
    <n v="40"/>
    <n v="0"/>
    <n v="0"/>
    <n v="0"/>
    <n v="0"/>
    <n v="0"/>
    <n v="-84"/>
    <n v="-1"/>
    <s v="Jun-17"/>
    <x v="1"/>
    <x v="1"/>
    <x v="0"/>
  </r>
  <r>
    <n v="49"/>
    <d v="2017-06-22T00:00:00"/>
    <x v="2"/>
    <n v="24000"/>
    <s v="Call"/>
    <d v="2017-06-22T00:00:00"/>
    <n v="40"/>
    <n v="3"/>
    <n v="120"/>
    <n v="20"/>
    <m/>
    <n v="140"/>
    <x v="30"/>
    <x v="26"/>
    <n v="40"/>
    <n v="0"/>
    <n v="0"/>
    <n v="0"/>
    <n v="0"/>
    <n v="0"/>
    <n v="-120"/>
    <n v="-1"/>
    <s v="Jun-17"/>
    <x v="1"/>
    <x v="1"/>
    <x v="0"/>
  </r>
  <r>
    <n v="50"/>
    <d v="2017-06-28T00:00:00"/>
    <x v="2"/>
    <n v="23600"/>
    <s v="Call"/>
    <d v="2017-06-29T00:00:00"/>
    <n v="40"/>
    <n v="13"/>
    <n v="520"/>
    <n v="20"/>
    <n v="3.33"/>
    <n v="543.33000000000004"/>
    <x v="31"/>
    <x v="23"/>
    <n v="40"/>
    <n v="18.8"/>
    <n v="752"/>
    <n v="20"/>
    <n v="3.48"/>
    <n v="728.52"/>
    <n v="232"/>
    <n v="0.44615384615384618"/>
    <s v="Jun-17"/>
    <x v="1"/>
    <x v="1"/>
    <x v="1"/>
  </r>
  <r>
    <n v="51"/>
    <d v="2017-07-03T00:00:00"/>
    <x v="9"/>
    <n v="2000"/>
    <s v="Call"/>
    <d v="2017-07-27T00:00:00"/>
    <n v="800"/>
    <n v="1"/>
    <n v="800"/>
    <n v="20"/>
    <m/>
    <n v="820"/>
    <x v="32"/>
    <x v="27"/>
    <n v="800"/>
    <n v="0.75"/>
    <n v="600"/>
    <n v="20"/>
    <m/>
    <n v="580"/>
    <n v="-200"/>
    <n v="-0.25"/>
    <s v="Jul-17"/>
    <x v="1"/>
    <x v="4"/>
    <x v="0"/>
  </r>
  <r>
    <n v="52"/>
    <d v="2017-07-03T00:00:00"/>
    <x v="2"/>
    <n v="22800"/>
    <s v="Put"/>
    <d v="2017-07-06T00:00:00"/>
    <n v="40"/>
    <n v="16.5"/>
    <n v="660"/>
    <n v="20"/>
    <m/>
    <n v="680"/>
    <x v="12"/>
    <x v="27"/>
    <n v="40"/>
    <n v="15"/>
    <n v="600"/>
    <n v="20"/>
    <m/>
    <n v="580"/>
    <n v="-60"/>
    <n v="-9.0909090909090912E-2"/>
    <s v="Jul-17"/>
    <x v="1"/>
    <x v="4"/>
    <x v="1"/>
  </r>
  <r>
    <n v="53"/>
    <d v="2017-07-04T00:00:00"/>
    <x v="2"/>
    <n v="23500"/>
    <s v="Call"/>
    <d v="2017-07-06T00:00:00"/>
    <n v="40"/>
    <n v="26"/>
    <n v="1040"/>
    <n v="20"/>
    <m/>
    <n v="1060"/>
    <x v="25"/>
    <x v="28"/>
    <n v="40"/>
    <n v="22"/>
    <n v="880"/>
    <n v="20"/>
    <m/>
    <n v="860"/>
    <n v="-160"/>
    <n v="-0.15384615384615385"/>
    <s v="Jul-17"/>
    <x v="1"/>
    <x v="2"/>
    <x v="1"/>
  </r>
  <r>
    <n v="54"/>
    <d v="2017-07-05T00:00:00"/>
    <x v="10"/>
    <n v="1600"/>
    <s v="Call"/>
    <d v="2017-07-27T00:00:00"/>
    <n v="350"/>
    <n v="6.5"/>
    <n v="2275"/>
    <n v="20"/>
    <m/>
    <n v="2295"/>
    <x v="33"/>
    <x v="29"/>
    <n v="350"/>
    <n v="11"/>
    <n v="3850"/>
    <n v="20"/>
    <m/>
    <n v="3830"/>
    <n v="1575"/>
    <n v="0.69230769230769229"/>
    <s v="Jul-17"/>
    <x v="1"/>
    <x v="1"/>
    <x v="0"/>
  </r>
  <r>
    <n v="55"/>
    <d v="2017-07-05T00:00:00"/>
    <x v="2"/>
    <n v="23000"/>
    <s v="Put"/>
    <d v="2017-07-06T00:00:00"/>
    <n v="40"/>
    <n v="10"/>
    <n v="400"/>
    <n v="20"/>
    <m/>
    <n v="420"/>
    <x v="34"/>
    <x v="30"/>
    <n v="40"/>
    <n v="0"/>
    <n v="0"/>
    <n v="0"/>
    <n v="0"/>
    <n v="0"/>
    <n v="-400"/>
    <n v="-1"/>
    <s v="Jul-17"/>
    <x v="1"/>
    <x v="3"/>
    <x v="1"/>
  </r>
  <r>
    <n v="56"/>
    <d v="2017-07-06T00:00:00"/>
    <x v="2"/>
    <n v="23700"/>
    <s v="Call"/>
    <d v="2017-07-06T00:00:00"/>
    <n v="200"/>
    <n v="1.6"/>
    <n v="320"/>
    <n v="20"/>
    <n v="3.8099999999999996"/>
    <n v="343.81"/>
    <x v="35"/>
    <x v="31"/>
    <n v="200"/>
    <n v="0"/>
    <n v="0"/>
    <n v="0"/>
    <n v="0"/>
    <n v="0"/>
    <n v="-320"/>
    <n v="-1"/>
    <s v="Jul-17"/>
    <x v="1"/>
    <x v="1"/>
    <x v="1"/>
  </r>
  <r>
    <n v="57"/>
    <d v="2017-07-13T00:00:00"/>
    <x v="2"/>
    <n v="23700"/>
    <s v="Put"/>
    <d v="2017-07-13T00:00:00"/>
    <n v="40"/>
    <n v="4.5"/>
    <n v="180"/>
    <n v="20"/>
    <m/>
    <n v="200"/>
    <x v="36"/>
    <x v="29"/>
    <n v="40"/>
    <n v="0"/>
    <n v="0"/>
    <n v="0"/>
    <n v="0"/>
    <n v="0"/>
    <n v="-180"/>
    <n v="-1"/>
    <s v="Jul-17"/>
    <x v="1"/>
    <x v="1"/>
    <x v="1"/>
  </r>
  <r>
    <n v="58"/>
    <d v="2017-07-13T00:00:00"/>
    <x v="11"/>
    <n v="700"/>
    <s v="Call"/>
    <d v="2017-07-27T00:00:00"/>
    <n v="700"/>
    <n v="5.65"/>
    <n v="3955.0000000000005"/>
    <n v="20"/>
    <m/>
    <n v="3975.0000000000005"/>
    <x v="37"/>
    <x v="32"/>
    <n v="700"/>
    <n v="9"/>
    <n v="6300"/>
    <n v="20"/>
    <n v="10.68"/>
    <n v="6269.32"/>
    <n v="2344.9999999999995"/>
    <n v="0.5929203539823007"/>
    <s v="Jul-17"/>
    <x v="1"/>
    <x v="0"/>
    <x v="0"/>
  </r>
  <r>
    <n v="59"/>
    <d v="2017-07-17T00:00:00"/>
    <x v="12"/>
    <n v="340"/>
    <s v="Call"/>
    <d v="2017-07-27T00:00:00"/>
    <n v="2400"/>
    <n v="2.6"/>
    <n v="6240"/>
    <n v="20"/>
    <n v="7.6499999999999995"/>
    <n v="6267.65"/>
    <x v="38"/>
    <x v="33"/>
    <n v="2400"/>
    <n v="0"/>
    <n v="0"/>
    <n v="0"/>
    <n v="0"/>
    <n v="0"/>
    <n v="-6240"/>
    <n v="-1"/>
    <s v="Jul-17"/>
    <x v="1"/>
    <x v="1"/>
    <x v="0"/>
  </r>
  <r>
    <n v="60"/>
    <d v="2017-07-18T00:00:00"/>
    <x v="12"/>
    <n v="340"/>
    <s v="Call"/>
    <d v="2017-07-27T00:00:00"/>
    <n v="2400"/>
    <n v="0.35"/>
    <n v="840"/>
    <n v="20"/>
    <n v="4.1499999999999995"/>
    <n v="864.15"/>
    <x v="38"/>
    <x v="33"/>
    <n v="2400"/>
    <n v="0"/>
    <n v="0"/>
    <n v="0"/>
    <n v="0"/>
    <n v="0"/>
    <n v="-840"/>
    <n v="-1"/>
    <s v="Jul-17"/>
    <x v="1"/>
    <x v="1"/>
    <x v="0"/>
  </r>
  <r>
    <n v="61"/>
    <d v="2017-07-20T00:00:00"/>
    <x v="2"/>
    <n v="23900"/>
    <s v="Put"/>
    <d v="2017-07-20T00:00:00"/>
    <n v="40"/>
    <n v="1.3"/>
    <n v="52"/>
    <n v="20"/>
    <m/>
    <n v="72"/>
    <x v="39"/>
    <x v="34"/>
    <n v="40"/>
    <n v="0"/>
    <n v="0"/>
    <n v="0"/>
    <n v="0"/>
    <n v="0"/>
    <n v="-52"/>
    <n v="-1"/>
    <s v="Jul-17"/>
    <x v="1"/>
    <x v="1"/>
    <x v="1"/>
  </r>
  <r>
    <n v="62"/>
    <d v="2017-08-08T00:00:00"/>
    <x v="2"/>
    <n v="24900"/>
    <s v="Call"/>
    <d v="2017-08-10T00:00:00"/>
    <n v="40"/>
    <n v="24"/>
    <n v="960"/>
    <n v="20"/>
    <m/>
    <n v="980"/>
    <x v="40"/>
    <x v="35"/>
    <n v="40"/>
    <n v="25.55"/>
    <n v="1022"/>
    <n v="20"/>
    <m/>
    <n v="1002"/>
    <n v="62"/>
    <n v="6.458333333333334E-2"/>
    <s v="Aug-17"/>
    <x v="1"/>
    <x v="2"/>
    <x v="1"/>
  </r>
  <r>
    <n v="63"/>
    <d v="2017-08-09T00:00:00"/>
    <x v="2"/>
    <n v="24800"/>
    <s v="Call"/>
    <d v="2017-08-10T00:00:00"/>
    <n v="40"/>
    <n v="13.4"/>
    <n v="536"/>
    <n v="20"/>
    <m/>
    <n v="556"/>
    <x v="41"/>
    <x v="36"/>
    <n v="40"/>
    <n v="0"/>
    <n v="0"/>
    <n v="0"/>
    <n v="0"/>
    <n v="0"/>
    <n v="-536"/>
    <n v="-1"/>
    <s v="Aug-17"/>
    <x v="1"/>
    <x v="1"/>
    <x v="1"/>
  </r>
  <r>
    <n v="64"/>
    <d v="2017-08-09T00:00:00"/>
    <x v="2"/>
    <n v="24700"/>
    <s v="Call"/>
    <d v="2017-08-10T00:00:00"/>
    <n v="40"/>
    <n v="10.45"/>
    <n v="418"/>
    <n v="20"/>
    <m/>
    <n v="438"/>
    <x v="42"/>
    <x v="36"/>
    <n v="40"/>
    <n v="0"/>
    <n v="0"/>
    <n v="0"/>
    <n v="0"/>
    <n v="0"/>
    <n v="-418"/>
    <n v="-1"/>
    <s v="Aug-17"/>
    <x v="1"/>
    <x v="1"/>
    <x v="1"/>
  </r>
  <r>
    <n v="65"/>
    <d v="2017-08-14T00:00:00"/>
    <x v="2"/>
    <n v="24800"/>
    <s v="Call"/>
    <d v="2017-08-17T00:00:00"/>
    <n v="40"/>
    <n v="6"/>
    <n v="240"/>
    <n v="20"/>
    <m/>
    <n v="260"/>
    <x v="41"/>
    <x v="37"/>
    <n v="40"/>
    <n v="3.5"/>
    <n v="140"/>
    <n v="20"/>
    <m/>
    <n v="120"/>
    <n v="-100"/>
    <n v="-0.41666666666666669"/>
    <s v="Aug-17"/>
    <x v="1"/>
    <x v="4"/>
    <x v="1"/>
  </r>
  <r>
    <n v="66"/>
    <d v="2017-08-16T00:00:00"/>
    <x v="2"/>
    <n v="24400"/>
    <s v="Call"/>
    <d v="2017-08-17T00:00:00"/>
    <n v="40"/>
    <n v="14.65"/>
    <n v="586"/>
    <n v="20"/>
    <m/>
    <n v="606"/>
    <x v="43"/>
    <x v="38"/>
    <n v="40"/>
    <n v="13"/>
    <n v="520"/>
    <m/>
    <m/>
    <n v="520"/>
    <n v="-66"/>
    <n v="-0.11262798634812286"/>
    <s v="Aug-17"/>
    <x v="1"/>
    <x v="3"/>
    <x v="1"/>
  </r>
  <r>
    <n v="67"/>
    <d v="2017-08-16T00:00:00"/>
    <x v="2"/>
    <n v="24400"/>
    <s v="Call"/>
    <d v="2017-08-17T00:00:00"/>
    <n v="40"/>
    <n v="12.45"/>
    <n v="498"/>
    <n v="20"/>
    <m/>
    <n v="518"/>
    <x v="43"/>
    <x v="38"/>
    <n v="40"/>
    <n v="30"/>
    <n v="1200"/>
    <m/>
    <m/>
    <n v="1200"/>
    <n v="702"/>
    <n v="1.4096385542168675"/>
    <s v="Aug-17"/>
    <x v="1"/>
    <x v="3"/>
    <x v="1"/>
  </r>
  <r>
    <n v="68"/>
    <d v="2017-08-16T00:00:00"/>
    <x v="2"/>
    <n v="24400"/>
    <s v="Call"/>
    <d v="2017-08-17T00:00:00"/>
    <n v="40"/>
    <n v="27.2"/>
    <n v="1088"/>
    <n v="20"/>
    <m/>
    <n v="1108"/>
    <x v="43"/>
    <x v="38"/>
    <n v="40"/>
    <n v="65"/>
    <n v="2600"/>
    <m/>
    <m/>
    <n v="2600"/>
    <n v="1512"/>
    <n v="1.3897058823529411"/>
    <s v="Aug-17"/>
    <x v="1"/>
    <x v="3"/>
    <x v="1"/>
  </r>
  <r>
    <n v="69"/>
    <d v="2017-08-16T00:00:00"/>
    <x v="4"/>
    <n v="2700"/>
    <s v="Call"/>
    <d v="2017-08-31T00:00:00"/>
    <n v="250"/>
    <n v="3.65"/>
    <n v="912.5"/>
    <n v="20"/>
    <m/>
    <n v="932.5"/>
    <x v="28"/>
    <x v="39"/>
    <n v="250"/>
    <n v="3.5"/>
    <n v="875"/>
    <m/>
    <m/>
    <n v="875"/>
    <n v="-37.5"/>
    <n v="-4.1095890410958902E-2"/>
    <s v="Aug-17"/>
    <x v="1"/>
    <x v="1"/>
    <x v="1"/>
  </r>
  <r>
    <n v="70"/>
    <d v="2017-08-17T00:00:00"/>
    <x v="2"/>
    <n v="24100"/>
    <s v="Put"/>
    <d v="2017-08-17T00:00:00"/>
    <n v="40"/>
    <n v="4.5"/>
    <n v="180"/>
    <n v="20"/>
    <m/>
    <n v="200"/>
    <x v="44"/>
    <x v="39"/>
    <n v="40"/>
    <n v="2"/>
    <n v="80"/>
    <m/>
    <m/>
    <n v="80"/>
    <n v="-100"/>
    <n v="-0.55555555555555558"/>
    <s v="Aug-17"/>
    <x v="1"/>
    <x v="1"/>
    <x v="1"/>
  </r>
  <r>
    <n v="71"/>
    <d v="2017-08-17T00:00:00"/>
    <x v="2"/>
    <n v="24100"/>
    <s v="Put"/>
    <d v="2017-08-17T00:00:00"/>
    <n v="40"/>
    <n v="3.5"/>
    <n v="140"/>
    <n v="20"/>
    <m/>
    <n v="160"/>
    <x v="44"/>
    <x v="39"/>
    <n v="40"/>
    <n v="2"/>
    <n v="80"/>
    <m/>
    <m/>
    <n v="80"/>
    <n v="-60"/>
    <n v="-0.42857142857142855"/>
    <s v="Aug-17"/>
    <x v="1"/>
    <x v="1"/>
    <x v="1"/>
  </r>
  <r>
    <n v="72"/>
    <d v="2017-08-18T00:00:00"/>
    <x v="4"/>
    <n v="2700"/>
    <s v="Call"/>
    <d v="2017-08-31T00:00:00"/>
    <n v="250"/>
    <n v="7.95"/>
    <n v="1987.5"/>
    <n v="20"/>
    <m/>
    <n v="2007.5"/>
    <x v="28"/>
    <x v="40"/>
    <n v="250"/>
    <n v="7.5"/>
    <n v="1875"/>
    <m/>
    <m/>
    <n v="1875"/>
    <n v="-112.5"/>
    <n v="-5.6603773584905662E-2"/>
    <s v="Aug-17"/>
    <x v="1"/>
    <x v="0"/>
    <x v="1"/>
  </r>
  <r>
    <n v="73"/>
    <d v="2017-08-18T00:00:00"/>
    <x v="4"/>
    <n v="2700"/>
    <s v="Call"/>
    <d v="2017-08-31T00:00:00"/>
    <n v="250"/>
    <n v="7"/>
    <n v="1750"/>
    <n v="20"/>
    <m/>
    <n v="1770"/>
    <x v="28"/>
    <x v="41"/>
    <n v="250"/>
    <n v="4"/>
    <n v="1000"/>
    <m/>
    <m/>
    <n v="1000"/>
    <n v="-750"/>
    <n v="-0.42857142857142855"/>
    <s v="Aug-17"/>
    <x v="1"/>
    <x v="4"/>
    <x v="1"/>
  </r>
  <r>
    <n v="74"/>
    <d v="2017-08-18T00:00:00"/>
    <x v="2"/>
    <n v="24800"/>
    <s v="Call"/>
    <d v="2017-08-24T00:00:00"/>
    <n v="40"/>
    <n v="11.3"/>
    <n v="452"/>
    <n v="20"/>
    <m/>
    <n v="472"/>
    <x v="41"/>
    <x v="40"/>
    <n v="40"/>
    <n v="11.5"/>
    <n v="460"/>
    <m/>
    <m/>
    <n v="460"/>
    <n v="8"/>
    <n v="1.7699115044247787E-2"/>
    <s v="Aug-17"/>
    <x v="1"/>
    <x v="0"/>
    <x v="1"/>
  </r>
  <r>
    <n v="75"/>
    <d v="2017-08-21T00:00:00"/>
    <x v="13"/>
    <n v="400"/>
    <s v="Call"/>
    <d v="2017-08-31T00:00:00"/>
    <n v="1500"/>
    <n v="2.2000000000000002"/>
    <n v="3300.0000000000005"/>
    <n v="20"/>
    <m/>
    <n v="3320.0000000000005"/>
    <x v="45"/>
    <x v="42"/>
    <n v="1500"/>
    <n v="0"/>
    <n v="0"/>
    <n v="0"/>
    <n v="0"/>
    <n v="0"/>
    <n v="-3300.0000000000005"/>
    <n v="-1"/>
    <s v="Aug-17"/>
    <x v="1"/>
    <x v="1"/>
    <x v="0"/>
  </r>
  <r>
    <n v="76"/>
    <d v="2017-08-21T00:00:00"/>
    <x v="2"/>
    <n v="24800"/>
    <s v="Call"/>
    <d v="2017-08-24T00:00:00"/>
    <n v="40"/>
    <n v="9"/>
    <n v="360"/>
    <n v="20"/>
    <m/>
    <n v="380"/>
    <x v="41"/>
    <x v="41"/>
    <n v="40"/>
    <n v="5.5"/>
    <n v="220"/>
    <m/>
    <m/>
    <n v="220"/>
    <n v="-140"/>
    <n v="-0.3888888888888889"/>
    <s v="Aug-17"/>
    <x v="1"/>
    <x v="4"/>
    <x v="1"/>
  </r>
  <r>
    <n v="77"/>
    <d v="2017-08-22T00:00:00"/>
    <x v="2"/>
    <n v="25000"/>
    <s v="Call"/>
    <d v="2017-08-31T00:00:00"/>
    <n v="80"/>
    <n v="14"/>
    <n v="1120"/>
    <n v="20"/>
    <m/>
    <n v="1140"/>
    <x v="46"/>
    <x v="43"/>
    <n v="80"/>
    <n v="22.5"/>
    <n v="1800"/>
    <m/>
    <m/>
    <n v="1800"/>
    <n v="680"/>
    <n v="0.6071428571428571"/>
    <s v="Aug-17"/>
    <x v="1"/>
    <x v="3"/>
    <x v="0"/>
  </r>
  <r>
    <n v="78"/>
    <d v="2017-08-22T00:00:00"/>
    <x v="14"/>
    <n v="780"/>
    <s v="Put"/>
    <d v="2017-08-31T00:00:00"/>
    <n v="500"/>
    <n v="3.3"/>
    <n v="1650"/>
    <n v="20"/>
    <m/>
    <n v="1670"/>
    <x v="47"/>
    <x v="42"/>
    <n v="500"/>
    <n v="0"/>
    <n v="0"/>
    <n v="0"/>
    <n v="0"/>
    <n v="0"/>
    <n v="-1650"/>
    <n v="-1"/>
    <s v="Aug-17"/>
    <x v="1"/>
    <x v="1"/>
    <x v="1"/>
  </r>
  <r>
    <n v="79"/>
    <d v="2017-08-23T00:00:00"/>
    <x v="2"/>
    <n v="25000"/>
    <s v="Call"/>
    <d v="2017-08-31T00:00:00"/>
    <n v="40"/>
    <n v="26"/>
    <n v="1040"/>
    <n v="20"/>
    <m/>
    <n v="1060"/>
    <x v="46"/>
    <x v="43"/>
    <n v="40"/>
    <n v="28"/>
    <n v="1120"/>
    <m/>
    <m/>
    <n v="1120"/>
    <n v="80"/>
    <n v="7.6923076923076927E-2"/>
    <s v="Aug-17"/>
    <x v="1"/>
    <x v="3"/>
    <x v="0"/>
  </r>
  <r>
    <n v="80"/>
    <d v="2017-08-24T00:00:00"/>
    <x v="2"/>
    <n v="24500"/>
    <s v="Call"/>
    <d v="2017-08-24T00:00:00"/>
    <n v="120"/>
    <n v="4"/>
    <n v="480"/>
    <n v="20"/>
    <m/>
    <n v="500"/>
    <x v="48"/>
    <x v="44"/>
    <n v="120"/>
    <n v="3.5"/>
    <n v="420"/>
    <m/>
    <m/>
    <n v="420"/>
    <n v="-60"/>
    <n v="-0.125"/>
    <s v="Aug-17"/>
    <x v="1"/>
    <x v="1"/>
    <x v="1"/>
  </r>
  <r>
    <n v="81"/>
    <d v="2017-08-24T00:00:00"/>
    <x v="2"/>
    <n v="24500"/>
    <s v="Call"/>
    <d v="2017-08-24T00:00:00"/>
    <n v="120"/>
    <n v="5"/>
    <n v="600"/>
    <n v="20"/>
    <m/>
    <n v="620"/>
    <x v="48"/>
    <x v="44"/>
    <n v="120"/>
    <n v="2"/>
    <n v="240"/>
    <m/>
    <m/>
    <n v="240"/>
    <n v="-360"/>
    <n v="-0.6"/>
    <s v="Aug-17"/>
    <x v="1"/>
    <x v="1"/>
    <x v="1"/>
  </r>
  <r>
    <n v="82"/>
    <d v="2017-08-24T00:00:00"/>
    <x v="2"/>
    <n v="24100"/>
    <s v="Put"/>
    <d v="2017-08-24T00:00:00"/>
    <n v="80"/>
    <n v="12"/>
    <n v="960"/>
    <n v="20"/>
    <m/>
    <n v="980"/>
    <x v="44"/>
    <x v="44"/>
    <n v="80"/>
    <n v="6"/>
    <n v="480"/>
    <m/>
    <m/>
    <n v="480"/>
    <n v="-480"/>
    <n v="-0.5"/>
    <s v="Aug-17"/>
    <x v="1"/>
    <x v="1"/>
    <x v="1"/>
  </r>
  <r>
    <n v="83"/>
    <d v="2017-08-24T00:00:00"/>
    <x v="2"/>
    <n v="24200"/>
    <s v="Put"/>
    <d v="2017-08-24T00:00:00"/>
    <n v="40"/>
    <n v="15"/>
    <n v="600"/>
    <n v="20"/>
    <m/>
    <n v="620"/>
    <x v="49"/>
    <x v="44"/>
    <n v="40"/>
    <n v="10"/>
    <n v="400"/>
    <m/>
    <m/>
    <n v="400"/>
    <n v="-200"/>
    <n v="-0.33333333333333331"/>
    <s v="Aug-17"/>
    <x v="1"/>
    <x v="1"/>
    <x v="1"/>
  </r>
  <r>
    <n v="84"/>
    <d v="2017-08-28T00:00:00"/>
    <x v="2"/>
    <n v="25000"/>
    <s v="Call"/>
    <d v="2017-08-31T00:00:00"/>
    <n v="40"/>
    <n v="10"/>
    <n v="400"/>
    <n v="20"/>
    <m/>
    <n v="420"/>
    <x v="46"/>
    <x v="45"/>
    <n v="40"/>
    <n v="9.5"/>
    <n v="380"/>
    <m/>
    <m/>
    <n v="380"/>
    <n v="-20"/>
    <n v="-0.05"/>
    <s v="Aug-17"/>
    <x v="1"/>
    <x v="4"/>
    <x v="1"/>
  </r>
  <r>
    <n v="85"/>
    <d v="2017-08-28T00:00:00"/>
    <x v="2"/>
    <n v="25000"/>
    <s v="Call"/>
    <d v="2017-08-31T00:00:00"/>
    <n v="40"/>
    <n v="9.9"/>
    <n v="396"/>
    <n v="20"/>
    <m/>
    <n v="416"/>
    <x v="46"/>
    <x v="46"/>
    <n v="40"/>
    <n v="2.5"/>
    <n v="100"/>
    <m/>
    <m/>
    <n v="100"/>
    <n v="-296"/>
    <n v="-0.74747474747474751"/>
    <s v="Aug-17"/>
    <x v="1"/>
    <x v="2"/>
    <x v="1"/>
  </r>
  <r>
    <n v="86"/>
    <d v="2017-08-30T00:00:00"/>
    <x v="12"/>
    <n v="285"/>
    <s v="Call"/>
    <d v="2017-08-31T00:00:00"/>
    <n v="2400"/>
    <n v="0.85"/>
    <n v="2040"/>
    <n v="20"/>
    <m/>
    <n v="2060"/>
    <x v="50"/>
    <x v="47"/>
    <n v="2400"/>
    <n v="0.7"/>
    <n v="1680"/>
    <m/>
    <m/>
    <n v="1680"/>
    <n v="-360"/>
    <n v="-0.17647058823529413"/>
    <s v="Aug-17"/>
    <x v="1"/>
    <x v="3"/>
    <x v="0"/>
  </r>
  <r>
    <n v="87"/>
    <d v="2017-08-30T00:00:00"/>
    <x v="15"/>
    <n v="740"/>
    <s v="Call"/>
    <d v="2017-08-31T00:00:00"/>
    <n v="1000"/>
    <n v="1.85"/>
    <n v="1850"/>
    <n v="20"/>
    <m/>
    <n v="1870"/>
    <x v="51"/>
    <x v="47"/>
    <n v="1000"/>
    <n v="1.35"/>
    <n v="1350"/>
    <m/>
    <m/>
    <n v="1350"/>
    <n v="-500"/>
    <n v="-0.27027027027027029"/>
    <s v="Aug-17"/>
    <x v="1"/>
    <x v="3"/>
    <x v="0"/>
  </r>
  <r>
    <n v="88"/>
    <d v="2017-08-30T00:00:00"/>
    <x v="2"/>
    <n v="24700"/>
    <s v="Call"/>
    <d v="2017-08-31T00:00:00"/>
    <n v="40"/>
    <n v="7.5"/>
    <n v="300"/>
    <n v="20"/>
    <m/>
    <n v="320"/>
    <x v="42"/>
    <x v="47"/>
    <n v="40"/>
    <n v="8.5"/>
    <n v="340"/>
    <m/>
    <m/>
    <n v="340"/>
    <n v="40"/>
    <n v="0.13333333333333333"/>
    <s v="Aug-17"/>
    <x v="1"/>
    <x v="3"/>
    <x v="1"/>
  </r>
  <r>
    <n v="89"/>
    <d v="2017-08-30T00:00:00"/>
    <x v="2"/>
    <n v="24700"/>
    <s v="Call"/>
    <d v="2017-08-31T00:00:00"/>
    <n v="40"/>
    <n v="8"/>
    <n v="320"/>
    <n v="20"/>
    <m/>
    <n v="340"/>
    <x v="42"/>
    <x v="42"/>
    <n v="40"/>
    <n v="0"/>
    <n v="0"/>
    <n v="0"/>
    <n v="0"/>
    <n v="0"/>
    <n v="-320"/>
    <n v="-1"/>
    <s v="Aug-17"/>
    <x v="1"/>
    <x v="1"/>
    <x v="1"/>
  </r>
  <r>
    <n v="90"/>
    <d v="2017-08-30T00:00:00"/>
    <x v="2"/>
    <n v="24500"/>
    <s v="Call"/>
    <d v="2017-08-31T00:00:00"/>
    <n v="40"/>
    <n v="35"/>
    <n v="1400"/>
    <n v="20"/>
    <m/>
    <n v="1420"/>
    <x v="48"/>
    <x v="47"/>
    <n v="40"/>
    <n v="32"/>
    <n v="1280"/>
    <m/>
    <m/>
    <n v="1280"/>
    <n v="-120"/>
    <n v="-8.5714285714285715E-2"/>
    <s v="Aug-17"/>
    <x v="1"/>
    <x v="3"/>
    <x v="1"/>
  </r>
  <r>
    <n v="91"/>
    <d v="2017-08-30T00:00:00"/>
    <x v="2"/>
    <n v="25000"/>
    <s v="Call"/>
    <d v="2017-08-31T00:00:00"/>
    <n v="120"/>
    <n v="1.8"/>
    <n v="216"/>
    <n v="20"/>
    <m/>
    <n v="236"/>
    <x v="46"/>
    <x v="42"/>
    <n v="120"/>
    <n v="0"/>
    <n v="0"/>
    <n v="0"/>
    <n v="0"/>
    <n v="0"/>
    <n v="-216"/>
    <n v="-1"/>
    <s v="Aug-17"/>
    <x v="1"/>
    <x v="1"/>
    <x v="0"/>
  </r>
  <r>
    <n v="92"/>
    <d v="2017-08-30T00:00:00"/>
    <x v="2"/>
    <n v="25000"/>
    <s v="Call"/>
    <d v="2017-08-31T00:00:00"/>
    <n v="80"/>
    <n v="1.6"/>
    <n v="128"/>
    <n v="20"/>
    <m/>
    <n v="148"/>
    <x v="46"/>
    <x v="42"/>
    <n v="80"/>
    <n v="0"/>
    <n v="0"/>
    <n v="0"/>
    <n v="0"/>
    <n v="0"/>
    <n v="-128"/>
    <n v="-1"/>
    <s v="Aug-17"/>
    <x v="1"/>
    <x v="1"/>
    <x v="0"/>
  </r>
  <r>
    <n v="93"/>
    <d v="2017-09-04T00:00:00"/>
    <x v="2"/>
    <n v="25000"/>
    <s v="Call"/>
    <d v="2017-09-07T00:00:00"/>
    <n v="80"/>
    <n v="3.55"/>
    <n v="284"/>
    <n v="20"/>
    <m/>
    <n v="304"/>
    <x v="46"/>
    <x v="48"/>
    <n v="80"/>
    <n v="2.5499999999999998"/>
    <n v="204"/>
    <m/>
    <m/>
    <n v="204"/>
    <n v="-80"/>
    <n v="-0.28169014084507044"/>
    <s v="Sep-17"/>
    <x v="1"/>
    <x v="4"/>
    <x v="1"/>
  </r>
  <r>
    <n v="94"/>
    <d v="2017-09-05T00:00:00"/>
    <x v="2"/>
    <n v="24700"/>
    <s v="Call"/>
    <d v="2017-09-07T00:00:00"/>
    <n v="40"/>
    <n v="11"/>
    <n v="440"/>
    <n v="20"/>
    <m/>
    <n v="460"/>
    <x v="42"/>
    <x v="49"/>
    <n v="40"/>
    <n v="9"/>
    <n v="360"/>
    <m/>
    <m/>
    <n v="360"/>
    <n v="-80"/>
    <n v="-0.18181818181818182"/>
    <s v="Sep-17"/>
    <x v="1"/>
    <x v="2"/>
    <x v="1"/>
  </r>
  <r>
    <n v="95"/>
    <d v="2017-09-05T00:00:00"/>
    <x v="2"/>
    <n v="24800"/>
    <s v="Call"/>
    <d v="2017-09-07T00:00:00"/>
    <n v="80"/>
    <n v="4"/>
    <n v="320"/>
    <n v="20"/>
    <m/>
    <n v="340"/>
    <x v="41"/>
    <x v="50"/>
    <n v="80"/>
    <n v="0"/>
    <n v="0"/>
    <m/>
    <m/>
    <n v="0"/>
    <n v="-320"/>
    <n v="-1"/>
    <s v="Sep-17"/>
    <x v="1"/>
    <x v="1"/>
    <x v="1"/>
  </r>
  <r>
    <n v="96"/>
    <d v="2017-09-11T00:00:00"/>
    <x v="2"/>
    <n v="25000"/>
    <s v="Call"/>
    <d v="2017-09-14T00:00:00"/>
    <n v="40"/>
    <n v="11"/>
    <n v="440"/>
    <n v="20"/>
    <m/>
    <n v="460"/>
    <x v="46"/>
    <x v="51"/>
    <n v="40"/>
    <n v="17"/>
    <n v="680"/>
    <m/>
    <m/>
    <n v="680"/>
    <n v="240"/>
    <n v="0.54545454545454541"/>
    <s v="Sep-17"/>
    <x v="1"/>
    <x v="4"/>
    <x v="1"/>
  </r>
  <r>
    <n v="97"/>
    <d v="2017-09-11T00:00:00"/>
    <x v="2"/>
    <n v="25000"/>
    <s v="Call"/>
    <d v="2017-09-14T00:00:00"/>
    <n v="40"/>
    <n v="17.2"/>
    <n v="688"/>
    <n v="20"/>
    <m/>
    <n v="708"/>
    <x v="46"/>
    <x v="51"/>
    <n v="40"/>
    <n v="19"/>
    <n v="760"/>
    <m/>
    <m/>
    <n v="760"/>
    <n v="72"/>
    <n v="0.10465116279069768"/>
    <s v="Sep-17"/>
    <x v="1"/>
    <x v="4"/>
    <x v="1"/>
  </r>
  <r>
    <n v="98"/>
    <d v="2017-09-11T00:00:00"/>
    <x v="2"/>
    <n v="25000"/>
    <s v="Call"/>
    <d v="2017-09-14T00:00:00"/>
    <n v="40"/>
    <n v="17.899999999999999"/>
    <n v="716"/>
    <n v="20"/>
    <m/>
    <n v="736"/>
    <x v="46"/>
    <x v="51"/>
    <n v="40"/>
    <n v="15"/>
    <n v="600"/>
    <m/>
    <m/>
    <n v="600"/>
    <n v="-116"/>
    <n v="-0.16201117318435754"/>
    <s v="Sep-17"/>
    <x v="1"/>
    <x v="4"/>
    <x v="1"/>
  </r>
  <r>
    <n v="99"/>
    <d v="2017-09-11T00:00:00"/>
    <x v="2"/>
    <n v="25000"/>
    <s v="Call"/>
    <d v="2017-09-14T00:00:00"/>
    <n v="40"/>
    <n v="19"/>
    <n v="760"/>
    <n v="20"/>
    <m/>
    <n v="780"/>
    <x v="46"/>
    <x v="51"/>
    <n v="40"/>
    <n v="16"/>
    <n v="640"/>
    <m/>
    <m/>
    <n v="640"/>
    <n v="-120"/>
    <n v="-0.15789473684210525"/>
    <s v="Sep-17"/>
    <x v="1"/>
    <x v="4"/>
    <x v="1"/>
  </r>
  <r>
    <n v="100"/>
    <d v="2017-09-11T00:00:00"/>
    <x v="2"/>
    <n v="25000"/>
    <s v="Call"/>
    <d v="2017-09-14T00:00:00"/>
    <n v="40"/>
    <n v="18.5"/>
    <n v="740"/>
    <n v="20"/>
    <m/>
    <n v="760"/>
    <x v="46"/>
    <x v="51"/>
    <n v="40"/>
    <n v="14"/>
    <n v="560"/>
    <m/>
    <m/>
    <n v="560"/>
    <n v="-180"/>
    <n v="-0.24324324324324326"/>
    <s v="Sep-17"/>
    <x v="1"/>
    <x v="4"/>
    <x v="1"/>
  </r>
  <r>
    <n v="101"/>
    <d v="2017-09-12T00:00:00"/>
    <x v="2"/>
    <n v="25100"/>
    <s v="Call"/>
    <d v="2017-09-14T00:00:00"/>
    <n v="40"/>
    <n v="9.5"/>
    <n v="380"/>
    <n v="20"/>
    <m/>
    <n v="400"/>
    <x v="52"/>
    <x v="52"/>
    <n v="40"/>
    <n v="11"/>
    <n v="440"/>
    <m/>
    <m/>
    <n v="440"/>
    <n v="60"/>
    <n v="0.15789473684210525"/>
    <s v="Sep-17"/>
    <x v="1"/>
    <x v="2"/>
    <x v="1"/>
  </r>
  <r>
    <n v="102"/>
    <d v="2017-09-12T00:00:00"/>
    <x v="2"/>
    <n v="25100"/>
    <s v="Call"/>
    <d v="2017-09-14T00:00:00"/>
    <n v="40"/>
    <n v="11"/>
    <n v="440"/>
    <n v="20"/>
    <m/>
    <n v="460"/>
    <x v="52"/>
    <x v="53"/>
    <n v="40"/>
    <n v="15"/>
    <n v="600"/>
    <m/>
    <m/>
    <n v="600"/>
    <n v="160"/>
    <n v="0.36363636363636365"/>
    <s v="Sep-17"/>
    <x v="1"/>
    <x v="3"/>
    <x v="1"/>
  </r>
  <r>
    <n v="103"/>
    <d v="2017-09-13T00:00:00"/>
    <x v="2"/>
    <n v="24600"/>
    <s v="Put"/>
    <d v="2017-09-14T00:00:00"/>
    <n v="40"/>
    <n v="16"/>
    <n v="640"/>
    <n v="20"/>
    <m/>
    <n v="660"/>
    <x v="53"/>
    <x v="54"/>
    <n v="40"/>
    <n v="0"/>
    <n v="0"/>
    <m/>
    <m/>
    <n v="0"/>
    <n v="-640"/>
    <n v="-1"/>
    <s v="Sep-17"/>
    <x v="1"/>
    <x v="1"/>
    <x v="1"/>
  </r>
  <r>
    <n v="104"/>
    <d v="2017-09-13T00:00:00"/>
    <x v="2"/>
    <n v="25100"/>
    <s v="Call"/>
    <d v="2017-09-14T00:00:00"/>
    <n v="40"/>
    <n v="3"/>
    <n v="120"/>
    <n v="20"/>
    <m/>
    <n v="140"/>
    <x v="52"/>
    <x v="54"/>
    <n v="40"/>
    <n v="0"/>
    <n v="0"/>
    <m/>
    <m/>
    <n v="0"/>
    <n v="-120"/>
    <n v="-1"/>
    <s v="Sep-17"/>
    <x v="1"/>
    <x v="1"/>
    <x v="1"/>
  </r>
  <r>
    <n v="105"/>
    <d v="2017-09-21T00:00:00"/>
    <x v="2"/>
    <n v="25000"/>
    <s v="Call"/>
    <d v="2017-09-21T00:00:00"/>
    <n v="40"/>
    <n v="2.7"/>
    <n v="108"/>
    <n v="20"/>
    <m/>
    <n v="128"/>
    <x v="46"/>
    <x v="55"/>
    <n v="40"/>
    <n v="2"/>
    <n v="80"/>
    <m/>
    <m/>
    <n v="80"/>
    <n v="-28"/>
    <n v="-0.25925925925925924"/>
    <s v="Sep-17"/>
    <x v="1"/>
    <x v="1"/>
    <x v="1"/>
  </r>
  <r>
    <n v="106"/>
    <d v="2017-10-12T00:00:00"/>
    <x v="2"/>
    <n v="24300"/>
    <s v="Call"/>
    <d v="2017-10-12T00:00:00"/>
    <n v="40"/>
    <n v="1.4"/>
    <n v="56"/>
    <n v="20"/>
    <m/>
    <n v="76"/>
    <x v="54"/>
    <x v="56"/>
    <n v="40"/>
    <n v="61.25"/>
    <n v="2450"/>
    <m/>
    <m/>
    <n v="2450"/>
    <n v="2394"/>
    <n v="42.75"/>
    <s v="Oct-17"/>
    <x v="1"/>
    <x v="1"/>
    <x v="1"/>
  </r>
  <r>
    <n v="107"/>
    <d v="2017-10-16T00:00:00"/>
    <x v="2"/>
    <n v="25000"/>
    <s v="Call"/>
    <d v="2017-10-18T00:00:00"/>
    <n v="40"/>
    <n v="30"/>
    <n v="1200"/>
    <n v="20"/>
    <m/>
    <n v="1220"/>
    <x v="46"/>
    <x v="57"/>
    <n v="40"/>
    <n v="38"/>
    <n v="1520"/>
    <m/>
    <m/>
    <n v="1520"/>
    <n v="320"/>
    <n v="0.26666666666666666"/>
    <s v="Oct-17"/>
    <x v="1"/>
    <x v="4"/>
    <x v="1"/>
  </r>
  <r>
    <n v="108"/>
    <d v="2017-10-17T00:00:00"/>
    <x v="2"/>
    <n v="25000"/>
    <s v="Call"/>
    <d v="2017-10-18T00:00:00"/>
    <n v="40"/>
    <n v="26"/>
    <n v="1040"/>
    <n v="20"/>
    <m/>
    <n v="1060"/>
    <x v="46"/>
    <x v="57"/>
    <n v="40"/>
    <n v="34"/>
    <n v="1360"/>
    <m/>
    <m/>
    <n v="1360"/>
    <n v="320"/>
    <n v="0.30769230769230771"/>
    <s v="Oct-17"/>
    <x v="1"/>
    <x v="4"/>
    <x v="1"/>
  </r>
  <r>
    <n v="109"/>
    <d v="2017-10-17T00:00:00"/>
    <x v="2"/>
    <n v="25000"/>
    <s v="Call"/>
    <d v="2017-10-18T00:00:00"/>
    <n v="80"/>
    <n v="11"/>
    <n v="880"/>
    <n v="20"/>
    <m/>
    <n v="900"/>
    <x v="46"/>
    <x v="58"/>
    <n v="80"/>
    <n v="0"/>
    <n v="0"/>
    <m/>
    <m/>
    <n v="0"/>
    <n v="-880"/>
    <n v="-1"/>
    <s v="Oct-17"/>
    <x v="1"/>
    <x v="3"/>
    <x v="1"/>
  </r>
  <r>
    <n v="110"/>
    <d v="2017-10-17T00:00:00"/>
    <x v="2"/>
    <n v="24400"/>
    <s v="Put"/>
    <d v="2017-10-18T00:00:00"/>
    <n v="40"/>
    <n v="14.5"/>
    <n v="580"/>
    <n v="20"/>
    <m/>
    <n v="600"/>
    <x v="55"/>
    <x v="58"/>
    <n v="40"/>
    <n v="74.400000000000006"/>
    <n v="2976"/>
    <m/>
    <m/>
    <n v="2976"/>
    <n v="2396"/>
    <n v="4.1310344827586203"/>
    <s v="Oct-17"/>
    <x v="1"/>
    <x v="3"/>
    <x v="1"/>
  </r>
  <r>
    <n v="111"/>
    <d v="2017-10-25T00:00:00"/>
    <x v="2"/>
    <n v="24500"/>
    <s v="Put"/>
    <d v="2017-10-26T00:00:00"/>
    <n v="40"/>
    <n v="45"/>
    <n v="1800"/>
    <n v="20"/>
    <m/>
    <n v="1820"/>
    <x v="56"/>
    <x v="59"/>
    <n v="40"/>
    <n v="50"/>
    <n v="2000"/>
    <m/>
    <m/>
    <n v="2000"/>
    <n v="200"/>
    <n v="0.1111111111111111"/>
    <s v="Oct-17"/>
    <x v="1"/>
    <x v="3"/>
    <x v="1"/>
  </r>
  <r>
    <n v="112"/>
    <d v="2017-10-25T00:00:00"/>
    <x v="2"/>
    <n v="25000"/>
    <s v="Call"/>
    <d v="2017-10-26T00:00:00"/>
    <n v="40"/>
    <n v="21"/>
    <n v="840"/>
    <n v="20"/>
    <m/>
    <n v="860"/>
    <x v="46"/>
    <x v="59"/>
    <n v="40"/>
    <n v="18"/>
    <n v="720"/>
    <m/>
    <m/>
    <n v="720"/>
    <n v="-120"/>
    <n v="-0.14285714285714285"/>
    <s v="Oct-17"/>
    <x v="1"/>
    <x v="3"/>
    <x v="1"/>
  </r>
  <r>
    <n v="113"/>
    <d v="2017-10-25T00:00:00"/>
    <x v="2"/>
    <n v="25000"/>
    <s v="Call"/>
    <d v="2017-10-26T00:00:00"/>
    <n v="80"/>
    <n v="18"/>
    <n v="1440"/>
    <n v="20"/>
    <m/>
    <n v="1460"/>
    <x v="46"/>
    <x v="59"/>
    <n v="80"/>
    <n v="20"/>
    <n v="1600"/>
    <m/>
    <m/>
    <n v="1600"/>
    <n v="160"/>
    <n v="0.1111111111111111"/>
    <s v="Oct-17"/>
    <x v="1"/>
    <x v="3"/>
    <x v="1"/>
  </r>
  <r>
    <n v="114"/>
    <d v="2017-10-25T00:00:00"/>
    <x v="16"/>
    <n v="120"/>
    <s v="Put"/>
    <d v="2017-10-26T00:00:00"/>
    <n v="11000"/>
    <n v="0.3"/>
    <n v="3300"/>
    <n v="20"/>
    <m/>
    <n v="3320"/>
    <x v="57"/>
    <x v="59"/>
    <n v="11000"/>
    <n v="0.45"/>
    <n v="4950"/>
    <m/>
    <m/>
    <n v="4950"/>
    <n v="1650"/>
    <n v="0.5"/>
    <s v="Oct-17"/>
    <x v="1"/>
    <x v="3"/>
    <x v="0"/>
  </r>
  <r>
    <n v="115"/>
    <d v="2017-10-25T00:00:00"/>
    <x v="17"/>
    <n v="90"/>
    <s v="Put"/>
    <d v="2017-10-26T00:00:00"/>
    <n v="7000"/>
    <n v="0.2"/>
    <n v="1400"/>
    <n v="20"/>
    <m/>
    <n v="1420"/>
    <x v="58"/>
    <x v="60"/>
    <n v="7000"/>
    <n v="0"/>
    <n v="0"/>
    <m/>
    <m/>
    <n v="0"/>
    <n v="-1400"/>
    <n v="-1"/>
    <s v="Oct-17"/>
    <x v="1"/>
    <x v="1"/>
    <x v="0"/>
  </r>
  <r>
    <n v="116"/>
    <d v="2017-10-25T00:00:00"/>
    <x v="2"/>
    <n v="24500"/>
    <s v="Put"/>
    <d v="2017-10-26T00:00:00"/>
    <n v="80"/>
    <n v="28"/>
    <n v="2240"/>
    <n v="20"/>
    <m/>
    <n v="2260"/>
    <x v="56"/>
    <x v="59"/>
    <n v="80"/>
    <n v="19.024999999999999"/>
    <n v="1522"/>
    <m/>
    <m/>
    <n v="1522"/>
    <n v="-718"/>
    <n v="-0.32053571428571431"/>
    <s v="Oct-17"/>
    <x v="1"/>
    <x v="3"/>
    <x v="1"/>
  </r>
  <r>
    <n v="117"/>
    <d v="2017-10-26T00:00:00"/>
    <x v="16"/>
    <n v="115"/>
    <s v="Put"/>
    <d v="2017-10-26T00:00:00"/>
    <n v="11000"/>
    <n v="0.2"/>
    <n v="2200"/>
    <n v="20"/>
    <m/>
    <n v="2220"/>
    <x v="59"/>
    <x v="60"/>
    <n v="11000"/>
    <n v="0"/>
    <n v="0"/>
    <m/>
    <m/>
    <n v="0"/>
    <n v="-2200"/>
    <n v="-1"/>
    <s v="Oct-17"/>
    <x v="1"/>
    <x v="1"/>
    <x v="0"/>
  </r>
  <r>
    <n v="118"/>
    <d v="2017-10-26T00:00:00"/>
    <x v="2"/>
    <n v="24500"/>
    <s v="Put"/>
    <d v="2017-10-26T00:00:00"/>
    <n v="40"/>
    <n v="4.4000000000000004"/>
    <n v="176"/>
    <n v="20"/>
    <m/>
    <n v="196"/>
    <x v="56"/>
    <x v="60"/>
    <n v="40"/>
    <n v="0"/>
    <n v="0"/>
    <m/>
    <m/>
    <n v="0"/>
    <n v="-176"/>
    <n v="-1"/>
    <s v="Oct-17"/>
    <x v="1"/>
    <x v="1"/>
    <x v="1"/>
  </r>
  <r>
    <n v="119"/>
    <d v="2017-10-27T00:00:00"/>
    <x v="2"/>
    <n v="23500"/>
    <s v="Put"/>
    <d v="2017-11-02T00:00:00"/>
    <n v="40"/>
    <n v="4.9000000000000004"/>
    <n v="196"/>
    <n v="20"/>
    <m/>
    <n v="216"/>
    <x v="60"/>
    <x v="61"/>
    <n v="40"/>
    <n v="0"/>
    <n v="0"/>
    <m/>
    <m/>
    <n v="0"/>
    <n v="-196"/>
    <n v="-1"/>
    <s v="Nov-17"/>
    <x v="1"/>
    <x v="1"/>
    <x v="1"/>
  </r>
  <r>
    <n v="120"/>
    <d v="2017-11-08T00:00:00"/>
    <x v="2"/>
    <n v="25500"/>
    <s v="Call"/>
    <d v="2017-11-09T00:00:00"/>
    <n v="40"/>
    <n v="16"/>
    <n v="640"/>
    <n v="20"/>
    <m/>
    <n v="660"/>
    <x v="61"/>
    <x v="62"/>
    <n v="40"/>
    <n v="0"/>
    <n v="0"/>
    <m/>
    <m/>
    <n v="0"/>
    <n v="-640"/>
    <n v="-1"/>
    <s v="Nov-17"/>
    <x v="1"/>
    <x v="1"/>
    <x v="1"/>
  </r>
  <r>
    <n v="121"/>
    <d v="2017-11-09T00:00:00"/>
    <x v="2"/>
    <n v="25000"/>
    <s v="Put"/>
    <d v="2017-11-09T00:00:00"/>
    <n v="80"/>
    <n v="4"/>
    <n v="320"/>
    <n v="20"/>
    <m/>
    <n v="340"/>
    <x v="62"/>
    <x v="62"/>
    <n v="80"/>
    <n v="0"/>
    <n v="0"/>
    <m/>
    <m/>
    <n v="0"/>
    <n v="-320"/>
    <n v="-1"/>
    <s v="Nov-17"/>
    <x v="1"/>
    <x v="1"/>
    <x v="1"/>
  </r>
  <r>
    <n v="122"/>
    <d v="2017-11-21T00:00:00"/>
    <x v="2"/>
    <n v="25500"/>
    <s v="Put"/>
    <d v="2017-11-23T00:00:00"/>
    <n v="40"/>
    <n v="15"/>
    <n v="600"/>
    <n v="20"/>
    <m/>
    <n v="620"/>
    <x v="63"/>
    <x v="63"/>
    <n v="40"/>
    <n v="20"/>
    <n v="800"/>
    <m/>
    <m/>
    <n v="800"/>
    <n v="200"/>
    <n v="0.33333333333333331"/>
    <s v="Nov-17"/>
    <x v="1"/>
    <x v="2"/>
    <x v="1"/>
  </r>
  <r>
    <n v="123"/>
    <d v="2017-11-21T00:00:00"/>
    <x v="18"/>
    <n v="600"/>
    <s v="Call"/>
    <d v="2017-11-30T00:00:00"/>
    <n v="1000"/>
    <n v="7"/>
    <n v="7000"/>
    <n v="20"/>
    <m/>
    <n v="7020"/>
    <x v="64"/>
    <x v="64"/>
    <n v="1000"/>
    <n v="7"/>
    <n v="7000"/>
    <m/>
    <m/>
    <n v="7000"/>
    <n v="0"/>
    <n v="0"/>
    <s v="Nov-17"/>
    <x v="1"/>
    <x v="3"/>
    <x v="0"/>
  </r>
  <r>
    <n v="124"/>
    <d v="2017-11-23T00:00:00"/>
    <x v="2"/>
    <n v="25900"/>
    <s v="Call"/>
    <d v="2017-11-23T00:00:00"/>
    <n v="40"/>
    <n v="10"/>
    <n v="400"/>
    <n v="20"/>
    <m/>
    <n v="420"/>
    <x v="65"/>
    <x v="65"/>
    <n v="40"/>
    <n v="6"/>
    <n v="240"/>
    <m/>
    <m/>
    <n v="240"/>
    <n v="-160"/>
    <n v="-0.4"/>
    <s v="Nov-17"/>
    <x v="1"/>
    <x v="1"/>
    <x v="1"/>
  </r>
  <r>
    <n v="125"/>
    <d v="2017-11-23T00:00:00"/>
    <x v="2"/>
    <n v="25700"/>
    <s v="Put"/>
    <d v="2017-11-30T00:00:00"/>
    <n v="40"/>
    <n v="134"/>
    <n v="5360"/>
    <n v="20"/>
    <m/>
    <n v="5380"/>
    <x v="66"/>
    <x v="65"/>
    <n v="40"/>
    <n v="125"/>
    <n v="5000"/>
    <m/>
    <m/>
    <n v="5000"/>
    <n v="-360"/>
    <n v="-6.7164179104477612E-2"/>
    <s v="Nov-17"/>
    <x v="1"/>
    <x v="1"/>
    <x v="1"/>
  </r>
  <r>
    <n v="126"/>
    <d v="2017-11-23T00:00:00"/>
    <x v="19"/>
    <n v="630"/>
    <s v="Call"/>
    <d v="2017-11-30T00:00:00"/>
    <n v="1000"/>
    <n v="7.6"/>
    <n v="7600"/>
    <n v="20"/>
    <m/>
    <n v="7620"/>
    <x v="67"/>
    <x v="66"/>
    <n v="1000"/>
    <n v="7.6"/>
    <n v="7600"/>
    <m/>
    <m/>
    <n v="7600"/>
    <n v="0"/>
    <n v="0"/>
    <s v="Nov-17"/>
    <x v="1"/>
    <x v="0"/>
    <x v="0"/>
  </r>
  <r>
    <n v="127"/>
    <d v="2017-11-27T00:00:00"/>
    <x v="20"/>
    <n v="10700"/>
    <s v="Call"/>
    <d v="2017-12-28T00:00:00"/>
    <n v="75"/>
    <n v="39"/>
    <n v="2925"/>
    <n v="20"/>
    <m/>
    <n v="2945"/>
    <x v="68"/>
    <x v="67"/>
    <n v="75"/>
    <n v="47"/>
    <n v="3525"/>
    <m/>
    <m/>
    <n v="3525"/>
    <n v="600"/>
    <n v="0.20512820512820512"/>
    <s v="Nov-17"/>
    <x v="1"/>
    <x v="4"/>
    <x v="0"/>
  </r>
  <r>
    <n v="128"/>
    <d v="2017-11-27T00:00:00"/>
    <x v="15"/>
    <n v="840"/>
    <s v="Put"/>
    <d v="2017-11-30T00:00:00"/>
    <n v="1000"/>
    <n v="3.3"/>
    <n v="3300"/>
    <n v="20"/>
    <m/>
    <n v="3320"/>
    <x v="69"/>
    <x v="68"/>
    <n v="1000"/>
    <n v="0.15"/>
    <n v="150"/>
    <m/>
    <m/>
    <n v="150"/>
    <n v="-3150"/>
    <n v="-0.95454545454545459"/>
    <s v="Nov-17"/>
    <x v="1"/>
    <x v="1"/>
    <x v="0"/>
  </r>
  <r>
    <n v="129"/>
    <d v="2017-11-27T00:00:00"/>
    <x v="2"/>
    <n v="26000"/>
    <s v="Call"/>
    <d v="2017-11-30T00:00:00"/>
    <n v="40"/>
    <n v="42"/>
    <n v="1680"/>
    <n v="20"/>
    <m/>
    <n v="1700"/>
    <x v="70"/>
    <x v="67"/>
    <n v="40"/>
    <n v="70"/>
    <n v="2800"/>
    <m/>
    <m/>
    <n v="2800"/>
    <n v="1120"/>
    <n v="0.66666666666666663"/>
    <s v="Nov-17"/>
    <x v="1"/>
    <x v="4"/>
    <x v="1"/>
  </r>
  <r>
    <n v="130"/>
    <d v="2017-11-28T00:00:00"/>
    <x v="20"/>
    <n v="10700"/>
    <s v="Call"/>
    <d v="2017-12-28T00:00:00"/>
    <n v="75"/>
    <n v="41"/>
    <n v="3075"/>
    <n v="20"/>
    <m/>
    <n v="3095"/>
    <x v="68"/>
    <x v="69"/>
    <n v="75"/>
    <n v="0"/>
    <n v="0"/>
    <m/>
    <m/>
    <n v="0"/>
    <n v="-3075"/>
    <n v="-1"/>
    <s v="Dec-17"/>
    <x v="1"/>
    <x v="1"/>
    <x v="1"/>
  </r>
  <r>
    <n v="131"/>
    <d v="2017-11-28T00:00:00"/>
    <x v="2"/>
    <n v="25500"/>
    <s v="Put"/>
    <d v="2017-11-30T00:00:00"/>
    <n v="40"/>
    <n v="13.5"/>
    <n v="540"/>
    <n v="20"/>
    <m/>
    <n v="560"/>
    <x v="63"/>
    <x v="70"/>
    <n v="40"/>
    <n v="13"/>
    <n v="520"/>
    <m/>
    <m/>
    <n v="520"/>
    <n v="-20"/>
    <n v="-3.7037037037037035E-2"/>
    <s v="Nov-17"/>
    <x v="1"/>
    <x v="2"/>
    <x v="1"/>
  </r>
  <r>
    <n v="132"/>
    <d v="2017-11-30T00:00:00"/>
    <x v="2"/>
    <n v="26000"/>
    <s v="Call"/>
    <d v="2017-11-30T00:00:00"/>
    <n v="80"/>
    <n v="1.4"/>
    <n v="112"/>
    <n v="20"/>
    <m/>
    <n v="132"/>
    <x v="70"/>
    <x v="68"/>
    <n v="80"/>
    <n v="0"/>
    <n v="0"/>
    <m/>
    <m/>
    <n v="0"/>
    <n v="-112"/>
    <n v="-1"/>
    <s v="Nov-17"/>
    <x v="1"/>
    <x v="1"/>
    <x v="1"/>
  </r>
  <r>
    <n v="133"/>
    <d v="2017-11-30T00:00:00"/>
    <x v="21"/>
    <n v="940"/>
    <s v="Call"/>
    <d v="2017-11-30T00:00:00"/>
    <n v="1000"/>
    <n v="1.1000000000000001"/>
    <n v="1100"/>
    <n v="20"/>
    <m/>
    <n v="1120"/>
    <x v="71"/>
    <x v="68"/>
    <n v="1000"/>
    <n v="0"/>
    <n v="0"/>
    <m/>
    <m/>
    <n v="0"/>
    <n v="-1100"/>
    <n v="-1"/>
    <s v="Nov-17"/>
    <x v="1"/>
    <x v="1"/>
    <x v="0"/>
  </r>
  <r>
    <n v="134"/>
    <d v="2017-12-01T00:00:00"/>
    <x v="20"/>
    <n v="10700"/>
    <s v="Call"/>
    <d v="2017-12-28T00:00:00"/>
    <n v="75"/>
    <n v="8"/>
    <n v="600"/>
    <n v="20"/>
    <m/>
    <n v="620"/>
    <x v="68"/>
    <x v="69"/>
    <n v="75"/>
    <n v="0"/>
    <n v="0"/>
    <m/>
    <m/>
    <n v="0"/>
    <n v="-600"/>
    <n v="-1"/>
    <s v="Dec-17"/>
    <x v="1"/>
    <x v="1"/>
    <x v="0"/>
  </r>
  <r>
    <n v="135"/>
    <d v="2017-12-19T00:00:00"/>
    <x v="20"/>
    <n v="10500"/>
    <s v="Call"/>
    <d v="2017-12-28T00:00:00"/>
    <n v="75"/>
    <n v="37"/>
    <n v="2775"/>
    <n v="20"/>
    <m/>
    <n v="2795"/>
    <x v="72"/>
    <x v="71"/>
    <n v="75"/>
    <n v="47"/>
    <n v="3525"/>
    <m/>
    <m/>
    <n v="3525"/>
    <n v="750"/>
    <n v="0.27027027027027029"/>
    <s v="Dec-17"/>
    <x v="1"/>
    <x v="2"/>
    <x v="1"/>
  </r>
  <r>
    <n v="136"/>
    <d v="2017-12-20T00:00:00"/>
    <x v="20"/>
    <n v="10500"/>
    <s v="Call"/>
    <d v="2017-12-28T00:00:00"/>
    <n v="75"/>
    <n v="48"/>
    <n v="3600"/>
    <n v="20"/>
    <m/>
    <n v="3620"/>
    <x v="72"/>
    <x v="72"/>
    <n v="75"/>
    <n v="20"/>
    <n v="1500"/>
    <m/>
    <m/>
    <n v="1500"/>
    <n v="-2100"/>
    <n v="-0.58333333333333337"/>
    <s v="Dec-17"/>
    <x v="1"/>
    <x v="3"/>
    <x v="1"/>
  </r>
  <r>
    <n v="137"/>
    <d v="2017-12-20T00:00:00"/>
    <x v="20"/>
    <n v="10700"/>
    <s v="Call"/>
    <d v="2017-12-28T00:00:00"/>
    <n v="150"/>
    <n v="4.5"/>
    <n v="675"/>
    <n v="20"/>
    <m/>
    <n v="695"/>
    <x v="68"/>
    <x v="69"/>
    <n v="150"/>
    <n v="0"/>
    <n v="0"/>
    <m/>
    <m/>
    <n v="0"/>
    <n v="-675"/>
    <n v="-1"/>
    <s v="Dec-17"/>
    <x v="1"/>
    <x v="1"/>
    <x v="0"/>
  </r>
  <r>
    <n v="138"/>
    <d v="2017-12-22T00:00:00"/>
    <x v="3"/>
    <n v="1720"/>
    <s v="Call"/>
    <d v="2017-12-28T00:00:00"/>
    <n v="500"/>
    <n v="9"/>
    <n v="4500"/>
    <n v="20"/>
    <m/>
    <n v="4520"/>
    <x v="73"/>
    <x v="73"/>
    <n v="500"/>
    <n v="7.5"/>
    <n v="3750"/>
    <m/>
    <m/>
    <n v="3750"/>
    <n v="-750"/>
    <n v="-0.16666666666666666"/>
    <s v="Dec-17"/>
    <x v="1"/>
    <x v="0"/>
    <x v="0"/>
  </r>
  <r>
    <n v="139"/>
    <d v="2017-12-26T00:00:00"/>
    <x v="2"/>
    <n v="26000"/>
    <s v="Call"/>
    <d v="2017-12-28T00:00:00"/>
    <n v="40"/>
    <n v="11"/>
    <n v="440"/>
    <n v="20"/>
    <m/>
    <n v="460"/>
    <x v="70"/>
    <x v="74"/>
    <n v="40"/>
    <n v="13.5"/>
    <n v="540"/>
    <m/>
    <m/>
    <n v="540"/>
    <n v="100"/>
    <n v="0.22727272727272727"/>
    <s v="Dec-17"/>
    <x v="1"/>
    <x v="2"/>
    <x v="1"/>
  </r>
  <r>
    <n v="140"/>
    <d v="2017-12-27T00:00:00"/>
    <x v="2"/>
    <n v="26000"/>
    <s v="Call"/>
    <d v="2017-12-28T00:00:00"/>
    <n v="40"/>
    <n v="6"/>
    <n v="240"/>
    <n v="20"/>
    <m/>
    <n v="260"/>
    <x v="70"/>
    <x v="69"/>
    <n v="40"/>
    <n v="0"/>
    <n v="0"/>
    <m/>
    <m/>
    <n v="0"/>
    <n v="-240"/>
    <n v="-1"/>
    <s v="Dec-17"/>
    <x v="1"/>
    <x v="1"/>
    <x v="1"/>
  </r>
  <r>
    <n v="141"/>
    <d v="2018-12-28T00:00:00"/>
    <x v="2"/>
    <n v="25600"/>
    <s v="Call"/>
    <d v="2018-12-28T00:00:00"/>
    <n v="40"/>
    <n v="21.5"/>
    <n v="860"/>
    <n v="20"/>
    <m/>
    <n v="880"/>
    <x v="74"/>
    <x v="69"/>
    <n v="40"/>
    <n v="18"/>
    <n v="720"/>
    <m/>
    <m/>
    <n v="720"/>
    <n v="-140"/>
    <n v="-0.16279069767441862"/>
    <s v="Dec-17"/>
    <x v="1"/>
    <x v="1"/>
    <x v="1"/>
  </r>
  <r>
    <n v="142"/>
    <d v="2018-12-28T00:00:00"/>
    <x v="22"/>
    <n v="100"/>
    <s v="Put"/>
    <d v="2018-01-25T00:00:00"/>
    <n v="7000"/>
    <n v="0.2"/>
    <n v="1400"/>
    <n v="20"/>
    <m/>
    <n v="1420"/>
    <x v="75"/>
    <x v="75"/>
    <n v="7000"/>
    <n v="0"/>
    <n v="0"/>
    <m/>
    <m/>
    <n v="0"/>
    <n v="-1400"/>
    <n v="-1"/>
    <s v="Jan-18"/>
    <x v="1"/>
    <x v="1"/>
    <x v="0"/>
  </r>
  <r>
    <n v="143"/>
    <d v="2018-01-10T00:00:00"/>
    <x v="2"/>
    <n v="26000"/>
    <s v="Call"/>
    <d v="2018-01-11T00:00:00"/>
    <n v="40"/>
    <n v="3.05"/>
    <n v="122"/>
    <n v="20"/>
    <m/>
    <n v="142"/>
    <x v="70"/>
    <x v="76"/>
    <n v="40"/>
    <n v="0"/>
    <n v="0"/>
    <m/>
    <m/>
    <n v="0"/>
    <n v="-122"/>
    <n v="-1"/>
    <s v="Jan-18"/>
    <x v="1"/>
    <x v="1"/>
    <x v="1"/>
  </r>
  <r>
    <n v="144"/>
    <d v="2018-01-25T00:00:00"/>
    <x v="23"/>
    <n v="1340"/>
    <s v="Put"/>
    <d v="2018-01-25T00:00:00"/>
    <n v="600"/>
    <n v="1"/>
    <n v="600"/>
    <n v="20"/>
    <m/>
    <n v="620"/>
    <x v="76"/>
    <x v="75"/>
    <n v="600"/>
    <n v="1.5"/>
    <n v="900"/>
    <m/>
    <m/>
    <n v="900"/>
    <n v="300"/>
    <n v="0.5"/>
    <s v="Jan-18"/>
    <x v="1"/>
    <x v="1"/>
    <x v="0"/>
  </r>
  <r>
    <n v="145"/>
    <d v="2018-01-25T00:00:00"/>
    <x v="2"/>
    <n v="28000"/>
    <s v="Call"/>
    <d v="2018-01-25T00:00:00"/>
    <n v="120"/>
    <n v="1.25"/>
    <n v="150"/>
    <n v="20"/>
    <m/>
    <n v="170"/>
    <x v="77"/>
    <x v="75"/>
    <n v="120"/>
    <n v="0"/>
    <n v="0"/>
    <m/>
    <m/>
    <n v="0"/>
    <n v="-150"/>
    <n v="-1"/>
    <s v="Jan-18"/>
    <x v="1"/>
    <x v="1"/>
    <x v="0"/>
  </r>
  <r>
    <n v="146"/>
    <d v="2018-01-25T00:00:00"/>
    <x v="2"/>
    <n v="27500"/>
    <s v="Call"/>
    <d v="2018-01-25T00:00:00"/>
    <n v="40"/>
    <n v="31"/>
    <n v="1240"/>
    <n v="20"/>
    <m/>
    <n v="1260"/>
    <x v="78"/>
    <x v="75"/>
    <n v="40"/>
    <n v="25"/>
    <n v="1000"/>
    <m/>
    <m/>
    <n v="1000"/>
    <n v="-240"/>
    <n v="-0.19354838709677419"/>
    <s v="Jan-18"/>
    <x v="1"/>
    <x v="1"/>
    <x v="1"/>
  </r>
  <r>
    <n v="147"/>
    <d v="2018-01-25T00:00:00"/>
    <x v="2"/>
    <n v="27500"/>
    <s v="Call"/>
    <d v="2018-01-25T00:00:00"/>
    <n v="40"/>
    <n v="28"/>
    <n v="1120"/>
    <n v="20"/>
    <m/>
    <n v="1140"/>
    <x v="78"/>
    <x v="75"/>
    <n v="40"/>
    <n v="26"/>
    <n v="1040"/>
    <m/>
    <m/>
    <n v="1040"/>
    <n v="-80"/>
    <n v="-7.1428571428571425E-2"/>
    <s v="Jan-18"/>
    <x v="1"/>
    <x v="1"/>
    <x v="1"/>
  </r>
  <r>
    <n v="148"/>
    <d v="2018-01-25T00:00:00"/>
    <x v="2"/>
    <n v="27100"/>
    <s v="Put"/>
    <d v="2018-01-25T00:00:00"/>
    <n v="40"/>
    <n v="19.600000000000001"/>
    <n v="784"/>
    <n v="20"/>
    <m/>
    <n v="804"/>
    <x v="79"/>
    <x v="75"/>
    <n v="40"/>
    <n v="9.5500000000000007"/>
    <n v="382"/>
    <m/>
    <m/>
    <n v="382"/>
    <n v="-402"/>
    <n v="-0.51275510204081631"/>
    <s v="Jan-18"/>
    <x v="1"/>
    <x v="1"/>
    <x v="1"/>
  </r>
  <r>
    <n v="149"/>
    <d v="2018-01-29T00:00:00"/>
    <x v="16"/>
    <n v="120"/>
    <s v="Call"/>
    <d v="2018-02-22T00:00:00"/>
    <n v="5500"/>
    <n v="0.55000000000000004"/>
    <n v="3025.0000000000005"/>
    <n v="20"/>
    <m/>
    <n v="3045.0000000000005"/>
    <x v="80"/>
    <x v="77"/>
    <n v="5500"/>
    <n v="0.55000000000000004"/>
    <n v="3025.0000000000005"/>
    <m/>
    <m/>
    <n v="3025.0000000000005"/>
    <n v="0"/>
    <n v="0"/>
    <s v="Jan-18"/>
    <x v="1"/>
    <x v="4"/>
    <x v="0"/>
  </r>
  <r>
    <n v="150"/>
    <d v="2018-01-31T00:00:00"/>
    <x v="24"/>
    <n v="410"/>
    <s v="Call"/>
    <d v="2018-02-22T00:00:00"/>
    <n v="1750"/>
    <n v="1.4"/>
    <n v="2450"/>
    <n v="20"/>
    <m/>
    <n v="2470"/>
    <x v="81"/>
    <x v="78"/>
    <n v="1750"/>
    <n v="1.4"/>
    <n v="2450"/>
    <m/>
    <m/>
    <n v="2450"/>
    <n v="0"/>
    <n v="0"/>
    <s v="Jan-18"/>
    <x v="1"/>
    <x v="3"/>
    <x v="0"/>
  </r>
  <r>
    <n v="151"/>
    <d v="2018-02-01T00:00:00"/>
    <x v="2"/>
    <n v="28000"/>
    <s v="Call"/>
    <d v="2018-02-01T00:00:00"/>
    <n v="40"/>
    <n v="42.25"/>
    <n v="1690"/>
    <n v="20"/>
    <m/>
    <n v="1710"/>
    <x v="77"/>
    <x v="79"/>
    <n v="40"/>
    <n v="40"/>
    <n v="1600"/>
    <m/>
    <m/>
    <n v="1600"/>
    <n v="-90"/>
    <n v="-5.3254437869822487E-2"/>
    <s v="Feb-18"/>
    <x v="1"/>
    <x v="1"/>
    <x v="1"/>
  </r>
  <r>
    <n v="152"/>
    <d v="2018-02-01T00:00:00"/>
    <x v="20"/>
    <n v="10500"/>
    <s v="Put"/>
    <d v="2018-02-22T00:00:00"/>
    <n v="75"/>
    <n v="26.5"/>
    <n v="1987.5"/>
    <n v="20"/>
    <m/>
    <n v="2007.5"/>
    <x v="82"/>
    <x v="79"/>
    <n v="75"/>
    <n v="40"/>
    <n v="3000"/>
    <m/>
    <m/>
    <n v="3000"/>
    <n v="1012.5"/>
    <n v="0.50943396226415094"/>
    <s v="Feb-18"/>
    <x v="1"/>
    <x v="1"/>
    <x v="0"/>
  </r>
  <r>
    <n v="153"/>
    <d v="2018-02-01T00:00:00"/>
    <x v="20"/>
    <n v="10500"/>
    <s v="Put"/>
    <d v="2018-02-22T00:00:00"/>
    <n v="75"/>
    <n v="40"/>
    <n v="3000"/>
    <n v="20"/>
    <m/>
    <n v="3020"/>
    <x v="82"/>
    <x v="80"/>
    <n v="75"/>
    <n v="40.6"/>
    <n v="3045"/>
    <m/>
    <m/>
    <n v="3045"/>
    <n v="45"/>
    <n v="1.4999999999999999E-2"/>
    <s v="Feb-18"/>
    <x v="1"/>
    <x v="0"/>
    <x v="0"/>
  </r>
  <r>
    <n v="154"/>
    <d v="2018-02-02T00:00:00"/>
    <x v="20"/>
    <n v="10600"/>
    <s v="Put"/>
    <d v="2018-02-22T00:00:00"/>
    <n v="75"/>
    <n v="51"/>
    <n v="3825"/>
    <n v="20"/>
    <m/>
    <n v="3845"/>
    <x v="83"/>
    <x v="80"/>
    <n v="75"/>
    <n v="77"/>
    <n v="5775"/>
    <m/>
    <m/>
    <n v="5775"/>
    <n v="1950"/>
    <n v="0.50980392156862742"/>
    <s v="Feb-18"/>
    <x v="1"/>
    <x v="0"/>
    <x v="1"/>
  </r>
  <r>
    <n v="155"/>
    <d v="2018-02-05T00:00:00"/>
    <x v="25"/>
    <n v="940"/>
    <s v="Put"/>
    <d v="2018-02-22T00:00:00"/>
    <n v="700"/>
    <n v="8"/>
    <n v="5600"/>
    <n v="20"/>
    <m/>
    <n v="5620"/>
    <x v="84"/>
    <x v="81"/>
    <n v="700"/>
    <n v="18"/>
    <n v="12600"/>
    <m/>
    <m/>
    <n v="12600"/>
    <n v="7000"/>
    <n v="1.25"/>
    <s v="Feb-18"/>
    <x v="1"/>
    <x v="2"/>
    <x v="0"/>
  </r>
  <r>
    <n v="156"/>
    <d v="2018-02-06T00:00:00"/>
    <x v="4"/>
    <n v="2850"/>
    <s v="Put"/>
    <d v="2018-02-22T00:00:00"/>
    <n v="250"/>
    <n v="30"/>
    <n v="7500"/>
    <n v="20"/>
    <m/>
    <n v="7520"/>
    <x v="85"/>
    <x v="81"/>
    <n v="250"/>
    <n v="29.85"/>
    <n v="7462.5"/>
    <m/>
    <m/>
    <n v="7462.5"/>
    <n v="-37.5"/>
    <n v="-5.0000000000000001E-3"/>
    <s v="Feb-18"/>
    <x v="1"/>
    <x v="2"/>
    <x v="1"/>
  </r>
  <r>
    <n v="157"/>
    <d v="2018-02-06T00:00:00"/>
    <x v="20"/>
    <n v="10300"/>
    <s v="Put"/>
    <d v="2018-02-22T00:00:00"/>
    <n v="75"/>
    <n v="101"/>
    <n v="7575"/>
    <n v="20"/>
    <m/>
    <n v="7595"/>
    <x v="86"/>
    <x v="81"/>
    <n v="75"/>
    <n v="102"/>
    <n v="7650"/>
    <m/>
    <m/>
    <n v="7650"/>
    <n v="75"/>
    <n v="9.9009900990099011E-3"/>
    <s v="Feb-18"/>
    <x v="1"/>
    <x v="2"/>
    <x v="1"/>
  </r>
  <r>
    <n v="158"/>
    <d v="2018-02-07T00:00:00"/>
    <x v="3"/>
    <n v="1820"/>
    <s v="Call"/>
    <d v="2018-02-22T00:00:00"/>
    <n v="500"/>
    <n v="22.6"/>
    <n v="11300"/>
    <n v="20"/>
    <m/>
    <n v="11320"/>
    <x v="87"/>
    <x v="82"/>
    <n v="500"/>
    <n v="32.6"/>
    <n v="16300"/>
    <m/>
    <m/>
    <n v="16300"/>
    <n v="5000"/>
    <n v="0.44247787610619471"/>
    <s v="Feb-18"/>
    <x v="1"/>
    <x v="1"/>
    <x v="0"/>
  </r>
  <r>
    <n v="159"/>
    <d v="2018-02-09T00:00:00"/>
    <x v="3"/>
    <n v="1820"/>
    <s v="Call"/>
    <d v="2018-02-22T00:00:00"/>
    <n v="500"/>
    <n v="18"/>
    <n v="9000"/>
    <n v="20"/>
    <m/>
    <n v="9020"/>
    <x v="87"/>
    <x v="83"/>
    <n v="500"/>
    <n v="18.5"/>
    <n v="9250"/>
    <m/>
    <m/>
    <n v="9250"/>
    <n v="250"/>
    <n v="2.7777777777777776E-2"/>
    <s v="Feb-18"/>
    <x v="1"/>
    <x v="0"/>
    <x v="1"/>
  </r>
  <r>
    <n v="160"/>
    <d v="2018-02-12T00:00:00"/>
    <x v="26"/>
    <n v="740"/>
    <s v="Call"/>
    <d v="2018-02-22T00:00:00"/>
    <n v="1200"/>
    <n v="9.5"/>
    <n v="11400"/>
    <m/>
    <m/>
    <n v="11400"/>
    <x v="88"/>
    <x v="84"/>
    <n v="1200"/>
    <n v="11.5"/>
    <n v="13800"/>
    <m/>
    <m/>
    <n v="13800"/>
    <n v="2400"/>
    <n v="0.21052631578947367"/>
    <s v="Feb-18"/>
    <x v="1"/>
    <x v="4"/>
    <x v="0"/>
  </r>
  <r>
    <n v="161"/>
    <d v="2018-02-14T00:00:00"/>
    <x v="27"/>
    <n v="250"/>
    <s v="Call"/>
    <d v="2018-02-22T00:00:00"/>
    <n v="3500"/>
    <n v="4.0999999999999996"/>
    <n v="14349.999999999998"/>
    <m/>
    <m/>
    <n v="14349.999999999998"/>
    <x v="89"/>
    <x v="85"/>
    <n v="3500"/>
    <n v="4.1500000000000004"/>
    <n v="14525.000000000002"/>
    <m/>
    <m/>
    <n v="14525.000000000002"/>
    <n v="175.00000000000364"/>
    <n v="1.2195121951219768E-2"/>
    <s v="Feb-18"/>
    <x v="1"/>
    <x v="3"/>
    <x v="0"/>
  </r>
  <r>
    <n v="162"/>
    <d v="2018-02-14T00:00:00"/>
    <x v="3"/>
    <n v="1860"/>
    <s v="Call"/>
    <d v="2018-02-22T00:00:00"/>
    <n v="500"/>
    <n v="11"/>
    <n v="5500"/>
    <m/>
    <m/>
    <n v="5500"/>
    <x v="90"/>
    <x v="86"/>
    <n v="500"/>
    <n v="13"/>
    <n v="6500"/>
    <m/>
    <m/>
    <n v="6500"/>
    <n v="1000"/>
    <n v="0.18181818181818182"/>
    <s v="Feb-18"/>
    <x v="1"/>
    <x v="1"/>
    <x v="0"/>
  </r>
  <r>
    <n v="163"/>
    <d v="2018-02-14T00:00:00"/>
    <x v="16"/>
    <n v="100"/>
    <s v="Call"/>
    <d v="2018-02-22T00:00:00"/>
    <n v="5500"/>
    <n v="0.9"/>
    <n v="4950"/>
    <m/>
    <m/>
    <n v="4950"/>
    <x v="91"/>
    <x v="87"/>
    <m/>
    <m/>
    <n v="0"/>
    <m/>
    <m/>
    <n v="0"/>
    <n v="-4950"/>
    <n v="-1"/>
    <s v="Jan-00"/>
    <x v="1"/>
    <x v="5"/>
    <x v="0"/>
  </r>
  <r>
    <n v="164"/>
    <d v="2018-02-15T00:00:00"/>
    <x v="3"/>
    <n v="1860"/>
    <s v="Call"/>
    <d v="2018-02-22T00:00:00"/>
    <n v="500"/>
    <n v="15.5"/>
    <n v="7750"/>
    <m/>
    <m/>
    <n v="7750"/>
    <x v="90"/>
    <x v="87"/>
    <m/>
    <m/>
    <n v="0"/>
    <m/>
    <m/>
    <n v="0"/>
    <n v="-7750"/>
    <n v="-1"/>
    <s v="Jan-00"/>
    <x v="1"/>
    <x v="5"/>
    <x v="0"/>
  </r>
  <r>
    <n v="165"/>
    <d v="2018-02-16T00:00:00"/>
    <x v="4"/>
    <n v="2900"/>
    <s v="Put"/>
    <d v="2018-02-22T00:00:00"/>
    <n v="250"/>
    <n v="12"/>
    <n v="3000"/>
    <m/>
    <m/>
    <n v="3000"/>
    <x v="92"/>
    <x v="88"/>
    <n v="250"/>
    <n v="20"/>
    <n v="5000"/>
    <m/>
    <m/>
    <n v="5000"/>
    <n v="2000"/>
    <n v="0.66666666666666663"/>
    <s v="Feb-18"/>
    <x v="1"/>
    <x v="0"/>
    <x v="1"/>
  </r>
  <r>
    <n v="166"/>
    <d v="2018-02-19T00:00:00"/>
    <x v="3"/>
    <n v="1820"/>
    <s v="Call"/>
    <d v="2018-02-22T00:00:00"/>
    <n v="500"/>
    <n v="10.199999999999999"/>
    <n v="5100"/>
    <m/>
    <m/>
    <n v="5100"/>
    <x v="87"/>
    <x v="89"/>
    <n v="500"/>
    <n v="12.2"/>
    <n v="6100"/>
    <m/>
    <m/>
    <n v="6100"/>
    <n v="1000"/>
    <n v="0.19607843137254902"/>
    <s v="Feb-18"/>
    <x v="1"/>
    <x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6" firstHeaderRow="1" firstDataRow="1" firstDataCol="1"/>
  <pivotFields count="27">
    <pivotField showAll="0"/>
    <pivotField numFmtId="14" showAll="0"/>
    <pivotField dataField="1" showAll="0"/>
    <pivotField showAll="0"/>
    <pivotField showAll="0"/>
    <pivotField numFmtId="14" showAll="0"/>
    <pivotField showAll="0"/>
    <pivotField numFmtId="44" showAll="0"/>
    <pivotField numFmtId="44" showAll="0"/>
    <pivotField numFmtId="44" showAll="0"/>
    <pivotField showAll="0"/>
    <pivotField numFmtId="44" showAll="0"/>
    <pivotField showAll="0"/>
    <pivotField showAll="0">
      <items count="15">
        <item x="0"/>
        <item x="1"/>
        <item x="2"/>
        <item x="3"/>
        <item x="4"/>
        <item x="5"/>
        <item x="6"/>
        <item x="7"/>
        <item x="8"/>
        <item x="9"/>
        <item x="10"/>
        <item x="11"/>
        <item x="12"/>
        <item x="13"/>
        <item t="default"/>
      </items>
    </pivotField>
    <pivotField showAll="0"/>
    <pivotField showAll="0"/>
    <pivotField numFmtId="44" showAll="0"/>
    <pivotField showAll="0"/>
    <pivotField showAll="0"/>
    <pivotField numFmtId="44" showAll="0"/>
    <pivotField numFmtId="44" showAll="0"/>
    <pivotField numFmtId="9" showAll="0"/>
    <pivotField showAll="0"/>
    <pivotField axis="axisRow" showAll="0">
      <items count="4">
        <item x="0"/>
        <item x="1"/>
        <item m="1" x="2"/>
        <item t="default"/>
      </items>
    </pivotField>
    <pivotField showAll="0"/>
    <pivotField showAll="0"/>
    <pivotField showAll="0" defaultSubtotal="0">
      <items count="4">
        <item x="0"/>
        <item x="1"/>
        <item x="2"/>
        <item x="3"/>
      </items>
    </pivotField>
  </pivotFields>
  <rowFields count="1">
    <field x="23"/>
  </rowFields>
  <rowItems count="3">
    <i>
      <x/>
    </i>
    <i>
      <x v="1"/>
    </i>
    <i t="grand">
      <x/>
    </i>
  </rowItems>
  <colItems count="1">
    <i/>
  </colItems>
  <dataFields count="1">
    <dataField name="Count of Contrac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B32" firstHeaderRow="1" firstDataRow="1" firstDataCol="1"/>
  <pivotFields count="27">
    <pivotField showAll="0"/>
    <pivotField numFmtId="14" showAll="0"/>
    <pivotField axis="axisRow" showAll="0">
      <items count="30">
        <item x="9"/>
        <item x="0"/>
        <item x="7"/>
        <item x="2"/>
        <item x="1"/>
        <item x="5"/>
        <item x="3"/>
        <item x="8"/>
        <item x="12"/>
        <item x="6"/>
        <item x="11"/>
        <item x="4"/>
        <item x="10"/>
        <item m="1" x="28"/>
        <item x="13"/>
        <item x="14"/>
        <item x="15"/>
        <item x="16"/>
        <item x="17"/>
        <item x="18"/>
        <item x="19"/>
        <item x="20"/>
        <item x="21"/>
        <item x="22"/>
        <item x="23"/>
        <item x="24"/>
        <item x="25"/>
        <item x="26"/>
        <item x="27"/>
        <item t="default"/>
      </items>
    </pivotField>
    <pivotField showAll="0"/>
    <pivotField showAll="0"/>
    <pivotField numFmtId="14" showAll="0"/>
    <pivotField showAll="0"/>
    <pivotField numFmtId="44" showAll="0"/>
    <pivotField numFmtId="44" showAll="0"/>
    <pivotField showAll="0"/>
    <pivotField showAll="0"/>
    <pivotField numFmtId="44" showAll="0"/>
    <pivotField showAll="0"/>
    <pivotField numFmtId="14" showAll="0">
      <items count="15">
        <item x="0"/>
        <item x="1"/>
        <item x="2"/>
        <item x="3"/>
        <item x="4"/>
        <item x="5"/>
        <item x="6"/>
        <item x="7"/>
        <item x="8"/>
        <item x="9"/>
        <item x="10"/>
        <item x="11"/>
        <item x="12"/>
        <item x="13"/>
        <item t="default"/>
      </items>
    </pivotField>
    <pivotField showAll="0"/>
    <pivotField numFmtId="44" showAll="0"/>
    <pivotField numFmtId="44" showAll="0"/>
    <pivotField showAll="0"/>
    <pivotField showAll="0"/>
    <pivotField numFmtId="44" showAll="0"/>
    <pivotField dataField="1" numFmtId="44" showAll="0"/>
    <pivotField numFmtId="9" showAll="0"/>
    <pivotField showAll="0"/>
    <pivotField showAll="0"/>
    <pivotField showAll="0"/>
    <pivotField showAll="0"/>
    <pivotField showAll="0" defaultSubtotal="0">
      <items count="4">
        <item x="0"/>
        <item x="1"/>
        <item x="2"/>
        <item x="3"/>
      </items>
    </pivotField>
  </pivotFields>
  <rowFields count="1">
    <field x="2"/>
  </rowFields>
  <rowItems count="29">
    <i>
      <x/>
    </i>
    <i>
      <x v="1"/>
    </i>
    <i>
      <x v="2"/>
    </i>
    <i>
      <x v="3"/>
    </i>
    <i>
      <x v="4"/>
    </i>
    <i>
      <x v="5"/>
    </i>
    <i>
      <x v="6"/>
    </i>
    <i>
      <x v="7"/>
    </i>
    <i>
      <x v="8"/>
    </i>
    <i>
      <x v="9"/>
    </i>
    <i>
      <x v="10"/>
    </i>
    <i>
      <x v="11"/>
    </i>
    <i>
      <x v="12"/>
    </i>
    <i>
      <x v="14"/>
    </i>
    <i>
      <x v="15"/>
    </i>
    <i>
      <x v="16"/>
    </i>
    <i>
      <x v="17"/>
    </i>
    <i>
      <x v="18"/>
    </i>
    <i>
      <x v="19"/>
    </i>
    <i>
      <x v="20"/>
    </i>
    <i>
      <x v="21"/>
    </i>
    <i>
      <x v="22"/>
    </i>
    <i>
      <x v="23"/>
    </i>
    <i>
      <x v="24"/>
    </i>
    <i>
      <x v="25"/>
    </i>
    <i>
      <x v="26"/>
    </i>
    <i>
      <x v="27"/>
    </i>
    <i>
      <x v="28"/>
    </i>
    <i t="grand">
      <x/>
    </i>
  </rowItems>
  <colItems count="1">
    <i/>
  </colItems>
  <dataFields count="1">
    <dataField name="Sum of Profit" fld="2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rowHeaderCaption="Day">
  <location ref="A3:B10" firstHeaderRow="1" firstDataRow="1" firstDataCol="1"/>
  <pivotFields count="27">
    <pivotField showAll="0"/>
    <pivotField numFmtId="14" showAll="0"/>
    <pivotField showAll="0"/>
    <pivotField showAll="0"/>
    <pivotField showAll="0"/>
    <pivotField numFmtId="14" showAll="0"/>
    <pivotField showAll="0"/>
    <pivotField numFmtId="44" showAll="0"/>
    <pivotField numFmtId="44" showAll="0"/>
    <pivotField showAll="0"/>
    <pivotField showAll="0"/>
    <pivotField numFmtId="44" showAll="0"/>
    <pivotField showAll="0"/>
    <pivotField axis="axisRow" showAll="0">
      <items count="15">
        <item x="0"/>
        <item x="1"/>
        <item x="2"/>
        <item x="3"/>
        <item x="4"/>
        <item x="5"/>
        <item x="6"/>
        <item x="7"/>
        <item x="8"/>
        <item x="9"/>
        <item x="10"/>
        <item x="11"/>
        <item x="12"/>
        <item x="13"/>
        <item t="default"/>
      </items>
    </pivotField>
    <pivotField showAll="0"/>
    <pivotField showAll="0"/>
    <pivotField numFmtId="44" showAll="0"/>
    <pivotField showAll="0"/>
    <pivotField showAll="0"/>
    <pivotField numFmtId="44" showAll="0"/>
    <pivotField dataField="1" numFmtId="44" showAll="0"/>
    <pivotField numFmtId="9" showAll="0"/>
    <pivotField showAll="0"/>
    <pivotField showAll="0"/>
    <pivotField axis="axisRow" showAll="0">
      <items count="7">
        <item sd="0" x="4"/>
        <item sd="0" x="2"/>
        <item sd="0" x="3"/>
        <item sd="0" x="1"/>
        <item sd="0" x="0"/>
        <item sd="0" x="5"/>
        <item t="default"/>
      </items>
    </pivotField>
    <pivotField showAll="0" defaultSubtotal="0"/>
    <pivotField axis="axisRow" showAll="0" defaultSubtotal="0">
      <items count="4">
        <item x="0"/>
        <item x="1"/>
        <item x="2"/>
        <item x="3"/>
      </items>
    </pivotField>
  </pivotFields>
  <rowFields count="3">
    <field x="24"/>
    <field x="26"/>
    <field x="13"/>
  </rowFields>
  <rowItems count="7">
    <i>
      <x/>
    </i>
    <i>
      <x v="1"/>
    </i>
    <i>
      <x v="2"/>
    </i>
    <i>
      <x v="3"/>
    </i>
    <i>
      <x v="4"/>
    </i>
    <i>
      <x v="5"/>
    </i>
    <i t="grand">
      <x/>
    </i>
  </rowItems>
  <colItems count="1">
    <i/>
  </colItems>
  <dataFields count="1">
    <dataField name="Sum of Profit" fld="20" baseField="0" baseItem="0"/>
  </dataFields>
  <chartFormats count="1">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4:B17" firstHeaderRow="1" firstDataRow="1" firstDataCol="1"/>
  <pivotFields count="27">
    <pivotField showAll="0"/>
    <pivotField numFmtId="14" showAll="0"/>
    <pivotField showAll="0"/>
    <pivotField showAll="0"/>
    <pivotField showAll="0"/>
    <pivotField numFmtId="14" showAll="0"/>
    <pivotField showAll="0"/>
    <pivotField numFmtId="44" showAll="0"/>
    <pivotField numFmtId="44" showAll="0"/>
    <pivotField showAll="0"/>
    <pivotField showAll="0"/>
    <pivotField numFmtId="44" showAll="0"/>
    <pivotField showAll="0"/>
    <pivotField showAll="0">
      <items count="15">
        <item x="0"/>
        <item x="1"/>
        <item x="2"/>
        <item x="3"/>
        <item x="4"/>
        <item x="5"/>
        <item x="6"/>
        <item x="7"/>
        <item x="8"/>
        <item x="9"/>
        <item x="10"/>
        <item x="11"/>
        <item x="12"/>
        <item x="13"/>
        <item t="default"/>
      </items>
    </pivotField>
    <pivotField showAll="0"/>
    <pivotField showAll="0"/>
    <pivotField numFmtId="44" showAll="0"/>
    <pivotField showAll="0"/>
    <pivotField showAll="0"/>
    <pivotField numFmtId="44" showAll="0"/>
    <pivotField dataField="1" numFmtId="44" showAll="0"/>
    <pivotField numFmtId="9" showAll="0"/>
    <pivotField showAll="0"/>
    <pivotField showAll="0"/>
    <pivotField showAll="0"/>
    <pivotField axis="axisRow" showAll="0" defaultSubtotal="0">
      <items count="3">
        <item x="0"/>
        <item x="1"/>
        <item m="1" x="2"/>
      </items>
    </pivotField>
    <pivotField showAll="0" defaultSubtotal="0">
      <items count="4">
        <item x="0"/>
        <item x="1"/>
        <item x="2"/>
        <item x="3"/>
      </items>
    </pivotField>
  </pivotFields>
  <rowFields count="1">
    <field x="25"/>
  </rowFields>
  <rowItems count="3">
    <i>
      <x/>
    </i>
    <i>
      <x v="1"/>
    </i>
    <i t="grand">
      <x/>
    </i>
  </rowItems>
  <colItems count="1">
    <i/>
  </colItems>
  <dataFields count="1">
    <dataField name="Sum of Profit"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5" minRefreshableVersion="5" useAutoFormatting="1" itemPrintTitles="1" createdVersion="5" indent="0" compact="0" outline="1" outlineData="1" compactData="0" multipleFieldFilters="0" chartFormat="16" colHeaderCaption="Equity">
  <location ref="A4:D19" firstHeaderRow="1" firstDataRow="1" firstDataCol="3" rowPageCount="2" colPageCount="1"/>
  <pivotFields count="27">
    <pivotField compact="0" showAll="0"/>
    <pivotField compact="0" numFmtId="14" showAll="0"/>
    <pivotField compact="0" showAll="0"/>
    <pivotField compact="0" showAll="0"/>
    <pivotField compact="0" showAll="0"/>
    <pivotField compact="0" numFmtId="14" showAll="0"/>
    <pivotField compact="0" showAll="0"/>
    <pivotField compact="0" numFmtId="44" showAll="0"/>
    <pivotField compact="0" numFmtId="44" showAll="0"/>
    <pivotField compact="0" showAll="0"/>
    <pivotField compact="0" showAll="0"/>
    <pivotField compact="0" numFmtId="44" showAll="0"/>
    <pivotField axis="axisRow" compact="0" showAll="0">
      <items count="96">
        <item m="1" x="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m="1" x="9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axis="axisRow" compact="0" showAll="0" sortType="ascending">
      <items count="15">
        <item sd="0" x="1"/>
        <item sd="0" x="2"/>
        <item x="3"/>
        <item sd="0" x="4"/>
        <item sd="0" x="5"/>
        <item sd="0" x="6"/>
        <item sd="0" x="7"/>
        <item sd="0" x="8"/>
        <item sd="0" x="9"/>
        <item sd="0" x="10"/>
        <item sd="0" x="11"/>
        <item sd="0" x="12"/>
        <item x="0"/>
        <item x="13"/>
        <item t="default"/>
      </items>
    </pivotField>
    <pivotField compact="0" showAll="0"/>
    <pivotField compact="0" showAll="0"/>
    <pivotField compact="0" numFmtId="44" showAll="0"/>
    <pivotField compact="0" showAll="0"/>
    <pivotField compact="0" showAll="0"/>
    <pivotField compact="0" numFmtId="44" showAll="0"/>
    <pivotField dataField="1" compact="0" numFmtId="44" showAll="0"/>
    <pivotField compact="0" numFmtId="9" showAll="0"/>
    <pivotField compact="0" numFmtId="17" showAll="0"/>
    <pivotField axis="axisPage" compact="0" showAll="0" defaultSubtotal="0">
      <items count="3">
        <item x="0"/>
        <item x="1"/>
        <item m="1" x="2"/>
      </items>
    </pivotField>
    <pivotField compact="0" showAll="0" defaultSubtotal="0"/>
    <pivotField axis="axisPage" compact="0" showAll="0" defaultSubtotal="0">
      <items count="3">
        <item x="0"/>
        <item x="1"/>
        <item m="1" x="2"/>
      </items>
    </pivotField>
    <pivotField axis="axisRow" compact="0" showAll="0" defaultSubtotal="0">
      <items count="4">
        <item sd="0" x="0"/>
        <item x="1"/>
        <item x="2"/>
        <item x="3"/>
      </items>
    </pivotField>
  </pivotFields>
  <rowFields count="3">
    <field x="26"/>
    <field x="13"/>
    <field x="12"/>
  </rowFields>
  <rowItems count="15">
    <i>
      <x/>
    </i>
    <i>
      <x v="1"/>
    </i>
    <i r="1">
      <x v="3"/>
    </i>
    <i r="1">
      <x v="4"/>
    </i>
    <i r="1">
      <x v="5"/>
    </i>
    <i r="1">
      <x v="6"/>
    </i>
    <i r="1">
      <x v="7"/>
    </i>
    <i r="1">
      <x v="8"/>
    </i>
    <i r="1">
      <x v="9"/>
    </i>
    <i r="1">
      <x v="10"/>
    </i>
    <i r="1">
      <x v="11"/>
    </i>
    <i>
      <x v="2"/>
    </i>
    <i r="1">
      <x/>
    </i>
    <i r="1">
      <x v="1"/>
    </i>
    <i t="grand">
      <x/>
    </i>
  </rowItems>
  <colItems count="1">
    <i/>
  </colItems>
  <pageFields count="2">
    <pageField fld="23" hier="-1"/>
    <pageField fld="25" hier="-1"/>
  </pageFields>
  <dataFields count="1">
    <dataField name="Sum of Profit" fld="20" baseField="0" baseItem="0"/>
  </dataFields>
  <chartFormats count="3">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J3:M6" firstHeaderRow="0" firstDataRow="1" firstDataCol="1"/>
  <pivotFields count="27">
    <pivotField showAll="0"/>
    <pivotField numFmtId="14" showAll="0"/>
    <pivotField showAll="0"/>
    <pivotField showAll="0"/>
    <pivotField showAll="0"/>
    <pivotField numFmtId="14" showAll="0"/>
    <pivotField showAll="0"/>
    <pivotField numFmtId="44" showAll="0"/>
    <pivotField numFmtId="44" showAll="0"/>
    <pivotField dataField="1" numFmtId="44" showAll="0"/>
    <pivotField showAll="0"/>
    <pivotField numFmtId="44" showAll="0"/>
    <pivotField showAll="0"/>
    <pivotField showAll="0">
      <items count="15">
        <item x="0"/>
        <item x="1"/>
        <item x="2"/>
        <item x="3"/>
        <item x="4"/>
        <item x="5"/>
        <item x="6"/>
        <item x="7"/>
        <item x="8"/>
        <item x="9"/>
        <item x="10"/>
        <item x="11"/>
        <item x="12"/>
        <item x="13"/>
        <item t="default"/>
      </items>
    </pivotField>
    <pivotField showAll="0"/>
    <pivotField showAll="0"/>
    <pivotField numFmtId="44" showAll="0"/>
    <pivotField dataField="1" showAll="0"/>
    <pivotField showAll="0"/>
    <pivotField numFmtId="44" showAll="0"/>
    <pivotField dataField="1" numFmtId="44" showAll="0"/>
    <pivotField numFmtId="9" showAll="0"/>
    <pivotField showAll="0"/>
    <pivotField axis="axisRow" showAll="0">
      <items count="4">
        <item x="0"/>
        <item x="1"/>
        <item m="1" x="2"/>
        <item t="default"/>
      </items>
    </pivotField>
    <pivotField showAll="0" defaultSubtotal="0"/>
    <pivotField showAll="0" defaultSubtotal="0"/>
    <pivotField showAll="0" defaultSubtotal="0">
      <items count="4">
        <item x="0"/>
        <item x="1"/>
        <item x="2"/>
        <item x="3"/>
      </items>
    </pivotField>
  </pivotFields>
  <rowFields count="1">
    <field x="23"/>
  </rowFields>
  <rowItems count="3">
    <i>
      <x/>
    </i>
    <i>
      <x v="1"/>
    </i>
    <i t="grand">
      <x/>
    </i>
  </rowItems>
  <colFields count="1">
    <field x="-2"/>
  </colFields>
  <colItems count="3">
    <i>
      <x/>
    </i>
    <i i="1">
      <x v="1"/>
    </i>
    <i i="2">
      <x v="2"/>
    </i>
  </colItems>
  <dataFields count="3">
    <dataField name="Sum of Profit" fld="20" baseField="0" baseItem="0"/>
    <dataField name="Sum of Brokerage" fld="9" baseField="0" baseItem="0"/>
    <dataField name="Sum of Brokerage5" fld="17" baseField="2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mat" sourceName="Demat">
  <pivotTables>
    <pivotTable tabId="4" name="PivotTable1"/>
  </pivotTables>
  <data>
    <tabular pivotCacheId="1">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ll_By" sourceName="Call By">
  <pivotTables>
    <pivotTable tabId="4" name="PivotTable1"/>
  </pivotTables>
  <data>
    <tabular pivotCacheId="1">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mat" cache="Slicer_Demat" caption="Demat" rowHeight="241300"/>
  <slicer name="Call By" cache="Slicer_Call_By" caption="Call By" style="SlicerStyleDark6" rowHeight="241300"/>
</slicers>
</file>

<file path=xl/tables/table1.xml><?xml version="1.0" encoding="utf-8"?>
<table xmlns="http://schemas.openxmlformats.org/spreadsheetml/2006/main" id="1" name="Table1" displayName="Table1" ref="A4:Z171" totalsRowCount="1">
  <autoFilter ref="A4:Z170"/>
  <tableColumns count="26">
    <tableColumn id="22" name="S. No." dataDxfId="56"/>
    <tableColumn id="1" name="Buy Date" totalsRowLabel="Total" dataDxfId="55"/>
    <tableColumn id="2" name="Contract"/>
    <tableColumn id="19" name="Strike Price"/>
    <tableColumn id="20" name="Type"/>
    <tableColumn id="3" name="Contract Date" dataDxfId="54"/>
    <tableColumn id="4" name="Quantity"/>
    <tableColumn id="5" name="Price" dataDxfId="53"/>
    <tableColumn id="6" name="Value" dataDxfId="52">
      <calculatedColumnFormula>Table1[[#This Row],[Quantity]]*Table1[[#This Row],[Price]]</calculatedColumnFormula>
    </tableColumn>
    <tableColumn id="7" name="Brokerage" totalsRowFunction="sum" dataDxfId="51" totalsRowDxfId="50"/>
    <tableColumn id="8" name="Taxes" totalsRowFunction="sum" dataDxfId="49" totalsRowDxfId="48"/>
    <tableColumn id="9" name="Total" totalsRowFunction="sum" dataDxfId="47" totalsRowDxfId="46">
      <calculatedColumnFormula>Table1[[#This Row],[Value]]+Table1[[#This Row],[Brokerage]]+Table1[[#This Row],[Taxes]]</calculatedColumnFormula>
    </tableColumn>
    <tableColumn id="10" name="DIV" dataDxfId="45">
      <calculatedColumnFormula>CONCATENATE(Table1[[#This Row],[Contract]]," ",Table1[[#This Row],[Strike Price]],IF(Table1[[#This Row],[Type]]="Put","PE","CE"))</calculatedColumnFormula>
    </tableColumn>
    <tableColumn id="11" name="Sell Date" dataDxfId="44"/>
    <tableColumn id="12" name="Quantity2"/>
    <tableColumn id="13" name="Price3" dataDxfId="43"/>
    <tableColumn id="14" name="Value4" dataDxfId="42">
      <calculatedColumnFormula>Table1[[#This Row],[Quantity2]]*Table1[[#This Row],[Price3]]</calculatedColumnFormula>
    </tableColumn>
    <tableColumn id="15" name="Brokerage5" totalsRowFunction="sum" dataDxfId="41" totalsRowDxfId="40"/>
    <tableColumn id="16" name="Taxes6" totalsRowFunction="sum" dataDxfId="39" totalsRowDxfId="38"/>
    <tableColumn id="17" name="Total7" totalsRowFunction="sum" dataDxfId="37" totalsRowDxfId="36">
      <calculatedColumnFormula>Table1[[#This Row],[Value4]]-Table1[[#This Row],[Brokerage5]]-Table1[[#This Row],[Taxes6]]</calculatedColumnFormula>
    </tableColumn>
    <tableColumn id="18" name="Profit" totalsRowFunction="sum" dataDxfId="35" totalsRowDxfId="34">
      <calculatedColumnFormula>Table1[Value4]-Table1[Value]</calculatedColumnFormula>
    </tableColumn>
    <tableColumn id="21" name="Percentage" totalsRowDxfId="33" dataCellStyle="Percent">
      <calculatedColumnFormula>(Table1[[#This Row],[Value4]]-Table1[[#This Row],[Value]])/Table1[[#This Row],[Value]]</calculatedColumnFormula>
    </tableColumn>
    <tableColumn id="23" name="Month" dataDxfId="32">
      <calculatedColumnFormula>TEXT(Table1[[#This Row],[Sell Date]],"mmm-yy")</calculatedColumnFormula>
    </tableColumn>
    <tableColumn id="24" name="Demat" dataDxfId="31"/>
    <tableColumn id="25" name="Day" dataDxfId="30">
      <calculatedColumnFormula>TEXT(Table1[[#This Row],[Sell Date]],"ddd")</calculatedColumnFormula>
    </tableColumn>
    <tableColumn id="26" name="Call By" dataDxfId="29"/>
  </tableColumns>
  <tableStyleInfo name="TableStyleLight14" showFirstColumn="0" showLastColumn="0" showRowStripes="1" showColumnStripes="0"/>
</table>
</file>

<file path=xl/tables/table2.xml><?xml version="1.0" encoding="utf-8"?>
<table xmlns="http://schemas.openxmlformats.org/spreadsheetml/2006/main" id="4" name="Table4" displayName="Table4" ref="A3:AB23" totalsRowCount="1">
  <autoFilter ref="A3:AB22"/>
  <tableColumns count="28">
    <tableColumn id="1" name="S. No." totalsRowLabel="Total"/>
    <tableColumn id="2" name="Demat"/>
    <tableColumn id="3" name="Buy Date" dataDxfId="28"/>
    <tableColumn id="4" name="Equity"/>
    <tableColumn id="5" name="Quantity"/>
    <tableColumn id="6" name="Price" dataDxfId="27"/>
    <tableColumn id="7" name="B Value" totalsRowFunction="sum" dataDxfId="26" totalsRowDxfId="25">
      <calculatedColumnFormula>Table4[Quantity]*Table4[Price]</calculatedColumnFormula>
    </tableColumn>
    <tableColumn id="8" name="B Brokerage"/>
    <tableColumn id="9" name="B STT" dataDxfId="24">
      <calculatedColumnFormula>Table4[B Value]*0.1/100</calculatedColumnFormula>
    </tableColumn>
    <tableColumn id="10" name="B Trans Chg" dataDxfId="23">
      <calculatedColumnFormula>Table4[B Value]*0.00325/100</calculatedColumnFormula>
    </tableColumn>
    <tableColumn id="11" name="B S. Tax" dataDxfId="22">
      <calculatedColumnFormula>(Table4[B Brokerage]+Table4[B Trans Chg])*0.15</calculatedColumnFormula>
    </tableColumn>
    <tableColumn id="12" name="B SEBI Chgs"/>
    <tableColumn id="13" name="Buy Total" totalsRowFunction="sum" dataDxfId="21" totalsRowDxfId="20">
      <calculatedColumnFormula>Table4[B Value]+Table4[B Brokerage]+Table4[B STT]+Table4[B Trans Chg]+Table4[B S. Tax]+Table4[B SEBI Chgs]</calculatedColumnFormula>
    </tableColumn>
    <tableColumn id="14" name="Sell Date" dataDxfId="19"/>
    <tableColumn id="15" name="Quantity2"/>
    <tableColumn id="16" name="Price3" dataDxfId="18"/>
    <tableColumn id="17" name="S Value" totalsRowFunction="sum" dataDxfId="17" totalsRowDxfId="16">
      <calculatedColumnFormula>Table4[Quantity2]*Table4[Price3]</calculatedColumnFormula>
    </tableColumn>
    <tableColumn id="18" name="S Brokerage" dataDxfId="15"/>
    <tableColumn id="19" name="S STT" dataDxfId="14">
      <calculatedColumnFormula>Table4[S Value]*0.1/100</calculatedColumnFormula>
    </tableColumn>
    <tableColumn id="20" name="S Trans Chg" dataDxfId="13">
      <calculatedColumnFormula>Table4[S Value]*0.00325/100</calculatedColumnFormula>
    </tableColumn>
    <tableColumn id="21" name="S S. Tax" dataDxfId="12">
      <calculatedColumnFormula>(Table4[S Brokerage]+Table4[S Trans Chg])*0.15</calculatedColumnFormula>
    </tableColumn>
    <tableColumn id="22" name="S SEBI Chgs" dataDxfId="11"/>
    <tableColumn id="23" name="Sell Total" totalsRowFunction="sum" dataDxfId="10" totalsRowDxfId="9">
      <calculatedColumnFormula>Table4[S Value]+Table4[S Brokerage]+Table4[S STT]+Table4[S Trans Chg]+Table4[S S. Tax]+Table4[S SEBI Chgs]</calculatedColumnFormula>
    </tableColumn>
    <tableColumn id="24" name="Profit" totalsRowFunction="sum" dataDxfId="8" totalsRowDxfId="7">
      <calculatedColumnFormula>IF(Table4[[#This Row],[S Value]]=0,0,Table4[[#This Row],[S Value]]-Table4[[#This Row],[B Value]])</calculatedColumnFormula>
    </tableColumn>
    <tableColumn id="27" name="Holding" totalsRowFunction="sum" dataDxfId="6" totalsRowDxfId="5">
      <calculatedColumnFormula>IF(Table4[[#This Row],[S Value]]=0,Table4[[#This Row],[B Value]],0)</calculatedColumnFormula>
    </tableColumn>
    <tableColumn id="28" name="Total Brokerage" totalsRowFunction="sum" dataDxfId="4" totalsRowDxfId="3">
      <calculatedColumnFormula>Table4[[#This Row],[B Brokerage]]+Table4[[#This Row],[B STT]]+Table4[[#This Row],[B Trans Chg]]+Table4[[#This Row],[B S. Tax]]+Table4[[#This Row],[B SEBI Chgs]]+Table4[[#This Row],[S Brokerage]]+Table4[[#This Row],[S STT]]+Table4[[#This Row],[S Trans Chg]]+Table4[[#This Row],[S S. Tax]]+Table4[[#This Row],[S SEBI Chgs]]</calculatedColumnFormula>
    </tableColumn>
    <tableColumn id="25" name="Percentage" dataDxfId="2" totalsRowDxfId="1" dataCellStyle="Percent">
      <calculatedColumnFormula>X4/M4</calculatedColumnFormula>
    </tableColumn>
    <tableColumn id="26" name="Month" totalsRowFunction="count">
      <calculatedColumnFormula>TEXT(Table4[Sell Date],"mmm-yy")</calculatedColumnFormula>
    </tableColumn>
  </tableColumns>
  <tableStyleInfo name="TableStyleLight9" showFirstColumn="0" showLastColumn="0" showRowStripes="1" showColumnStripes="0"/>
</table>
</file>

<file path=xl/tables/table3.xml><?xml version="1.0" encoding="utf-8"?>
<table xmlns="http://schemas.openxmlformats.org/spreadsheetml/2006/main" id="2" name="Table2" displayName="Table2" ref="A3:E26" totalsRowCount="1">
  <autoFilter ref="A3:E25"/>
  <tableColumns count="5">
    <tableColumn id="1" name="S. No." totalsRowLabel="Total"/>
    <tableColumn id="2" name="Date" dataDxfId="0"/>
    <tableColumn id="3" name="Demat A/C"/>
    <tableColumn id="4" name="From Account"/>
    <tableColumn id="5" name="Amount" totalsRowFunction="sum"/>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Sell_Date" sourceName="Sell Date">
  <pivotTables>
    <pivotTable tabId="4" name="PivotTable1"/>
  </pivotTables>
  <state minimalRefreshVersion="6" lastRefreshVersion="6" pivotCacheId="1" filterType="unknown">
    <bounds startDate="2017-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Sell Date" cache="NativeTimeline_Sell_Date" caption="Sell Date" level="2" selectionLevel="2" scrollPosition="2017-01-01T00:00:00" style="TimeSlicerStyleDark4"/>
</timeline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microsoft.com/office/2011/relationships/timeline" Target="../timelines/timeline1.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2:G14"/>
  <sheetViews>
    <sheetView workbookViewId="0">
      <selection activeCell="F16" sqref="F16"/>
    </sheetView>
  </sheetViews>
  <sheetFormatPr defaultRowHeight="15" x14ac:dyDescent="0.25"/>
  <cols>
    <col min="2" max="2" width="17.42578125" bestFit="1" customWidth="1"/>
    <col min="3" max="3" width="12.28515625" bestFit="1" customWidth="1"/>
    <col min="5" max="5" width="14.28515625" bestFit="1" customWidth="1"/>
    <col min="6" max="7" width="11.5703125" bestFit="1" customWidth="1"/>
  </cols>
  <sheetData>
    <row r="2" spans="2:7" x14ac:dyDescent="0.25">
      <c r="F2" t="s">
        <v>83</v>
      </c>
      <c r="G2" t="s">
        <v>36</v>
      </c>
    </row>
    <row r="3" spans="2:7" x14ac:dyDescent="0.25">
      <c r="B3" t="s">
        <v>76</v>
      </c>
      <c r="C3" s="2">
        <f>Table2[[#Totals],[Amount]]</f>
        <v>39009.760000000002</v>
      </c>
      <c r="E3" t="s">
        <v>81</v>
      </c>
      <c r="F3" s="2">
        <f>C3-C6-C9+C10-C13-C14</f>
        <v>-15873.141458881246</v>
      </c>
      <c r="G3">
        <v>1058.33</v>
      </c>
    </row>
    <row r="5" spans="2:7" x14ac:dyDescent="0.25">
      <c r="B5" t="s">
        <v>77</v>
      </c>
      <c r="E5" t="s">
        <v>82</v>
      </c>
      <c r="F5" s="2">
        <f>F3+C6+C9</f>
        <v>-4641.2914588812455</v>
      </c>
    </row>
    <row r="6" spans="2:7" x14ac:dyDescent="0.25">
      <c r="B6" t="s">
        <v>39</v>
      </c>
      <c r="C6" s="2">
        <f>Table4[[#Totals],[Holding]]</f>
        <v>11231.85</v>
      </c>
    </row>
    <row r="7" spans="2:7" x14ac:dyDescent="0.25">
      <c r="G7" s="2"/>
    </row>
    <row r="8" spans="2:7" x14ac:dyDescent="0.25">
      <c r="B8" t="s">
        <v>78</v>
      </c>
    </row>
    <row r="9" spans="2:7" x14ac:dyDescent="0.25">
      <c r="B9" t="s">
        <v>79</v>
      </c>
      <c r="C9" s="2">
        <f>IFERROR(-GETPIVOTDATA("Profit",Summary!$A$3,"Month","Jan-00"),0)</f>
        <v>0</v>
      </c>
    </row>
    <row r="10" spans="2:7" x14ac:dyDescent="0.25">
      <c r="B10" t="s">
        <v>80</v>
      </c>
      <c r="C10" s="2">
        <f>Table1[[#Totals],[Profit]]+Dashboard!C9</f>
        <v>-33912.5</v>
      </c>
    </row>
    <row r="12" spans="2:7" x14ac:dyDescent="0.25">
      <c r="B12" t="s">
        <v>4</v>
      </c>
    </row>
    <row r="13" spans="2:7" x14ac:dyDescent="0.25">
      <c r="B13" t="s">
        <v>39</v>
      </c>
      <c r="C13" s="2">
        <f>Table4[[#Totals],[Total Brokerage]]</f>
        <v>16.321458881249999</v>
      </c>
    </row>
    <row r="14" spans="2:7" x14ac:dyDescent="0.25">
      <c r="B14" t="s">
        <v>78</v>
      </c>
      <c r="C14" s="2">
        <f>GETPIVOTDATA("Sum of Brokerage",Summary!$J$3)+GETPIVOTDATA("Sum of Brokerage5",Summary!$J$3)+Table1[[#Totals],[Taxes]]+Table1[[#Totals],[Taxes6]]</f>
        <v>9722.23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108"/>
  <sheetViews>
    <sheetView topLeftCell="B1" workbookViewId="0">
      <selection activeCell="P33" sqref="P33"/>
    </sheetView>
  </sheetViews>
  <sheetFormatPr defaultRowHeight="15" x14ac:dyDescent="0.25"/>
  <cols>
    <col min="2" max="2" width="35.5703125" bestFit="1" customWidth="1"/>
    <col min="3" max="3" width="14.85546875" bestFit="1" customWidth="1"/>
    <col min="4" max="4" width="11" bestFit="1" customWidth="1"/>
    <col min="5" max="5" width="11" hidden="1" customWidth="1"/>
    <col min="7" max="7" width="12.7109375" hidden="1" customWidth="1"/>
    <col min="8" max="9" width="12.7109375" customWidth="1"/>
    <col min="10" max="10" width="13.140625" bestFit="1" customWidth="1"/>
  </cols>
  <sheetData>
    <row r="1" spans="1:19" x14ac:dyDescent="0.25">
      <c r="A1" t="s">
        <v>124</v>
      </c>
      <c r="B1" t="s">
        <v>125</v>
      </c>
    </row>
    <row r="3" spans="1:19" x14ac:dyDescent="0.25">
      <c r="C3" t="s">
        <v>126</v>
      </c>
      <c r="D3">
        <v>22106</v>
      </c>
      <c r="J3" s="1"/>
    </row>
    <row r="4" spans="1:19" x14ac:dyDescent="0.25">
      <c r="J4" s="1"/>
    </row>
    <row r="5" spans="1:19" x14ac:dyDescent="0.25">
      <c r="A5" t="s">
        <v>26</v>
      </c>
      <c r="B5" t="s">
        <v>127</v>
      </c>
      <c r="C5" t="s">
        <v>130</v>
      </c>
      <c r="D5" t="s">
        <v>128</v>
      </c>
      <c r="F5" t="s">
        <v>25</v>
      </c>
      <c r="G5" t="s">
        <v>158</v>
      </c>
      <c r="H5" t="s">
        <v>157</v>
      </c>
      <c r="I5" t="s">
        <v>44</v>
      </c>
      <c r="J5" t="s">
        <v>150</v>
      </c>
    </row>
    <row r="6" spans="1:19" x14ac:dyDescent="0.25">
      <c r="B6" t="s">
        <v>129</v>
      </c>
      <c r="C6" t="s">
        <v>144</v>
      </c>
      <c r="D6" s="14">
        <v>6.6699999999999995E-2</v>
      </c>
      <c r="E6" s="19">
        <f>D6*$D$3</f>
        <v>1474.4702</v>
      </c>
      <c r="F6" s="4">
        <v>217.15</v>
      </c>
      <c r="G6" s="6">
        <f>E6/F6</f>
        <v>6.7900999309233248</v>
      </c>
      <c r="H6" s="6">
        <v>10</v>
      </c>
      <c r="I6" s="4">
        <f>H6*F6</f>
        <v>2171.5</v>
      </c>
      <c r="J6" s="14">
        <v>-0.21870000000000001</v>
      </c>
    </row>
    <row r="7" spans="1:19" x14ac:dyDescent="0.25">
      <c r="B7" t="s">
        <v>131</v>
      </c>
      <c r="C7" t="s">
        <v>147</v>
      </c>
      <c r="D7" s="14">
        <v>6.6699999999999995E-2</v>
      </c>
      <c r="E7" s="19">
        <f t="shared" ref="E7:E20" si="0">D7*$D$3</f>
        <v>1474.4702</v>
      </c>
      <c r="F7" s="4">
        <v>62.2</v>
      </c>
      <c r="G7" s="6">
        <f t="shared" ref="G7:G20" si="1">E7/F7</f>
        <v>23.705308681672026</v>
      </c>
      <c r="H7" s="6">
        <v>23</v>
      </c>
      <c r="I7" s="4">
        <f t="shared" ref="I7:I20" si="2">H7*F7</f>
        <v>1430.6000000000001</v>
      </c>
      <c r="J7" s="14">
        <v>0.98599999999999999</v>
      </c>
    </row>
    <row r="8" spans="1:19" x14ac:dyDescent="0.25">
      <c r="B8" t="s">
        <v>177</v>
      </c>
      <c r="C8" t="s">
        <v>148</v>
      </c>
      <c r="D8" s="14">
        <v>6.6699999999999995E-2</v>
      </c>
      <c r="E8" s="19">
        <f t="shared" si="0"/>
        <v>1474.4702</v>
      </c>
      <c r="F8" s="4">
        <v>160.44999999999999</v>
      </c>
      <c r="G8" s="6">
        <f t="shared" si="1"/>
        <v>9.1895930196322855</v>
      </c>
      <c r="H8" s="6">
        <v>9</v>
      </c>
      <c r="I8" s="4">
        <f t="shared" si="2"/>
        <v>1444.05</v>
      </c>
      <c r="J8" s="14">
        <v>0.27179999999999999</v>
      </c>
    </row>
    <row r="9" spans="1:19" x14ac:dyDescent="0.25">
      <c r="B9" t="s">
        <v>132</v>
      </c>
      <c r="C9" t="s">
        <v>145</v>
      </c>
      <c r="D9" s="14">
        <v>6.6699999999999995E-2</v>
      </c>
      <c r="E9" s="19">
        <f t="shared" si="0"/>
        <v>1474.4702</v>
      </c>
      <c r="F9" s="4">
        <v>87.2</v>
      </c>
      <c r="G9" s="6">
        <f t="shared" si="1"/>
        <v>16.909061926605503</v>
      </c>
      <c r="H9" s="6">
        <v>17</v>
      </c>
      <c r="I9" s="4">
        <f t="shared" si="2"/>
        <v>1482.4</v>
      </c>
      <c r="J9" s="14">
        <v>0.44319999999999998</v>
      </c>
    </row>
    <row r="10" spans="1:19" x14ac:dyDescent="0.25">
      <c r="B10" t="s">
        <v>133</v>
      </c>
      <c r="C10" t="s">
        <v>149</v>
      </c>
      <c r="D10" s="14">
        <v>6.6699999999999995E-2</v>
      </c>
      <c r="E10" s="19">
        <f t="shared" si="0"/>
        <v>1474.4702</v>
      </c>
      <c r="F10" s="4">
        <v>70.099999999999994</v>
      </c>
      <c r="G10" s="6">
        <f t="shared" si="1"/>
        <v>21.033811697574894</v>
      </c>
      <c r="H10" s="6">
        <v>24</v>
      </c>
      <c r="I10" s="4">
        <f t="shared" si="2"/>
        <v>1682.3999999999999</v>
      </c>
      <c r="J10" s="14">
        <v>-3.95E-2</v>
      </c>
    </row>
    <row r="11" spans="1:19" x14ac:dyDescent="0.25">
      <c r="B11" t="s">
        <v>134</v>
      </c>
      <c r="C11" t="s">
        <v>160</v>
      </c>
      <c r="D11" s="14">
        <v>6.6699999999999995E-2</v>
      </c>
      <c r="E11" s="19">
        <f t="shared" si="0"/>
        <v>1474.4702</v>
      </c>
      <c r="F11" s="4">
        <v>156</v>
      </c>
      <c r="G11" s="6">
        <f t="shared" si="1"/>
        <v>9.4517320512820504</v>
      </c>
      <c r="H11" s="6">
        <v>10</v>
      </c>
      <c r="I11" s="4">
        <f t="shared" si="2"/>
        <v>1560</v>
      </c>
      <c r="J11" s="14">
        <v>0.1028</v>
      </c>
      <c r="Q11">
        <v>31.9</v>
      </c>
      <c r="R11">
        <v>63.35</v>
      </c>
      <c r="S11">
        <f>R11/Q11</f>
        <v>1.9858934169278999</v>
      </c>
    </row>
    <row r="12" spans="1:19" x14ac:dyDescent="0.25">
      <c r="B12" t="s">
        <v>135</v>
      </c>
      <c r="C12" t="s">
        <v>146</v>
      </c>
      <c r="D12" s="14">
        <v>6.6699999999999995E-2</v>
      </c>
      <c r="E12" s="19">
        <f t="shared" si="0"/>
        <v>1474.4702</v>
      </c>
      <c r="F12" s="4">
        <v>305</v>
      </c>
      <c r="G12" s="6">
        <f t="shared" si="1"/>
        <v>4.8343285245901635</v>
      </c>
      <c r="H12" s="6">
        <v>7</v>
      </c>
      <c r="I12" s="4">
        <f t="shared" si="2"/>
        <v>2135</v>
      </c>
      <c r="J12" s="14">
        <v>-0.26860000000000001</v>
      </c>
    </row>
    <row r="13" spans="1:19" x14ac:dyDescent="0.25">
      <c r="B13" t="s">
        <v>136</v>
      </c>
      <c r="C13" t="s">
        <v>159</v>
      </c>
      <c r="D13" s="14">
        <v>6.6699999999999995E-2</v>
      </c>
      <c r="E13" s="19">
        <f t="shared" si="0"/>
        <v>1474.4702</v>
      </c>
      <c r="F13" s="4">
        <v>122</v>
      </c>
      <c r="G13" s="6">
        <f t="shared" si="1"/>
        <v>12.08582131147541</v>
      </c>
      <c r="H13" s="6">
        <v>15</v>
      </c>
      <c r="I13" s="4">
        <f t="shared" si="2"/>
        <v>1830</v>
      </c>
      <c r="J13" s="14">
        <v>-0.40010000000000001</v>
      </c>
      <c r="L13">
        <v>828</v>
      </c>
      <c r="O13">
        <v>5000</v>
      </c>
      <c r="P13">
        <f>O13/L13</f>
        <v>6.0386473429951693</v>
      </c>
    </row>
    <row r="14" spans="1:19" x14ac:dyDescent="0.25">
      <c r="B14" t="s">
        <v>137</v>
      </c>
      <c r="C14" t="s">
        <v>151</v>
      </c>
      <c r="D14" s="14">
        <v>6.6699999999999995E-2</v>
      </c>
      <c r="E14" s="19">
        <f t="shared" si="0"/>
        <v>1474.4702</v>
      </c>
      <c r="F14" s="4">
        <v>833.1</v>
      </c>
      <c r="G14" s="6">
        <f t="shared" si="1"/>
        <v>1.7698598007442083</v>
      </c>
      <c r="H14" s="6">
        <v>4</v>
      </c>
      <c r="I14" s="4">
        <f t="shared" si="2"/>
        <v>3332.4</v>
      </c>
      <c r="J14" s="14">
        <v>-0.41149999999999998</v>
      </c>
      <c r="K14">
        <v>826</v>
      </c>
    </row>
    <row r="15" spans="1:19" x14ac:dyDescent="0.25">
      <c r="B15" t="s">
        <v>138</v>
      </c>
      <c r="C15" t="s">
        <v>114</v>
      </c>
      <c r="D15" s="14">
        <v>6.6699999999999995E-2</v>
      </c>
      <c r="E15" s="19">
        <f t="shared" si="0"/>
        <v>1474.4702</v>
      </c>
      <c r="F15" s="4">
        <v>175.7</v>
      </c>
      <c r="G15" s="6">
        <f t="shared" si="1"/>
        <v>8.3919760956175296</v>
      </c>
      <c r="H15" s="6">
        <v>9</v>
      </c>
      <c r="I15" s="4">
        <f t="shared" si="2"/>
        <v>1581.3</v>
      </c>
      <c r="J15" s="14">
        <v>0.34560000000000002</v>
      </c>
    </row>
    <row r="16" spans="1:19" x14ac:dyDescent="0.25">
      <c r="B16" t="s">
        <v>139</v>
      </c>
      <c r="C16" t="s">
        <v>152</v>
      </c>
      <c r="D16" s="14">
        <v>6.6699999999999995E-2</v>
      </c>
      <c r="E16" s="19">
        <f t="shared" si="0"/>
        <v>1474.4702</v>
      </c>
      <c r="F16" s="4">
        <v>2015</v>
      </c>
      <c r="G16" s="6">
        <f t="shared" si="1"/>
        <v>0.73174699751861039</v>
      </c>
      <c r="H16" s="6">
        <v>1</v>
      </c>
      <c r="I16" s="4">
        <f t="shared" si="2"/>
        <v>2015</v>
      </c>
      <c r="J16" s="14">
        <v>0.93430000000000002</v>
      </c>
    </row>
    <row r="17" spans="2:17" x14ac:dyDescent="0.25">
      <c r="B17" t="s">
        <v>140</v>
      </c>
      <c r="C17" t="s">
        <v>153</v>
      </c>
      <c r="D17" s="14">
        <v>6.6699999999999995E-2</v>
      </c>
      <c r="E17" s="19">
        <f t="shared" si="0"/>
        <v>1474.4702</v>
      </c>
      <c r="F17" s="4">
        <v>260.75</v>
      </c>
      <c r="G17" s="6">
        <f t="shared" si="1"/>
        <v>5.6547275167785234</v>
      </c>
      <c r="H17" s="6">
        <v>7</v>
      </c>
      <c r="I17" s="4">
        <f t="shared" si="2"/>
        <v>1825.25</v>
      </c>
      <c r="J17" s="14">
        <v>-0.14810000000000001</v>
      </c>
    </row>
    <row r="18" spans="2:17" x14ac:dyDescent="0.25">
      <c r="B18" t="s">
        <v>141</v>
      </c>
      <c r="C18" t="s">
        <v>155</v>
      </c>
      <c r="D18" s="14">
        <v>6.6699999999999995E-2</v>
      </c>
      <c r="E18" s="19">
        <f t="shared" si="0"/>
        <v>1474.4702</v>
      </c>
      <c r="F18" s="4">
        <v>750</v>
      </c>
      <c r="G18" s="6">
        <f t="shared" si="1"/>
        <v>1.9659602666666667</v>
      </c>
      <c r="H18" s="6">
        <v>2</v>
      </c>
      <c r="I18" s="4">
        <f t="shared" si="2"/>
        <v>1500</v>
      </c>
      <c r="J18" s="14">
        <v>0.3024</v>
      </c>
      <c r="N18">
        <v>5000</v>
      </c>
      <c r="O18">
        <v>239.2</v>
      </c>
      <c r="P18">
        <f>N18/O18</f>
        <v>20.903010033444819</v>
      </c>
    </row>
    <row r="19" spans="2:17" x14ac:dyDescent="0.25">
      <c r="B19" t="s">
        <v>142</v>
      </c>
      <c r="C19" t="s">
        <v>156</v>
      </c>
      <c r="D19" s="14">
        <v>6.6699999999999995E-2</v>
      </c>
      <c r="E19" s="19">
        <f t="shared" si="0"/>
        <v>1474.4702</v>
      </c>
      <c r="F19" s="4">
        <v>821.5</v>
      </c>
      <c r="G19" s="6">
        <f t="shared" si="1"/>
        <v>1.7948511259890445</v>
      </c>
      <c r="H19" s="6">
        <v>2</v>
      </c>
      <c r="I19" s="4">
        <f t="shared" si="2"/>
        <v>1643</v>
      </c>
      <c r="J19" s="14">
        <v>1.1953</v>
      </c>
      <c r="O19">
        <v>239.2</v>
      </c>
      <c r="P19">
        <v>25</v>
      </c>
      <c r="Q19">
        <f>O19*P19</f>
        <v>5980</v>
      </c>
    </row>
    <row r="20" spans="2:17" x14ac:dyDescent="0.25">
      <c r="B20" t="s">
        <v>143</v>
      </c>
      <c r="C20" t="s">
        <v>154</v>
      </c>
      <c r="D20" s="14">
        <v>6.6699999999999995E-2</v>
      </c>
      <c r="E20" s="19">
        <f t="shared" si="0"/>
        <v>1474.4702</v>
      </c>
      <c r="F20" s="4">
        <v>336.5</v>
      </c>
      <c r="G20" s="6">
        <f t="shared" si="1"/>
        <v>4.3817836552748881</v>
      </c>
      <c r="H20" s="6">
        <v>4</v>
      </c>
      <c r="I20" s="4">
        <f t="shared" si="2"/>
        <v>1346</v>
      </c>
      <c r="J20" s="14">
        <v>1.8953</v>
      </c>
    </row>
    <row r="24" spans="2:17" x14ac:dyDescent="0.25">
      <c r="M24" s="11">
        <v>0.5</v>
      </c>
    </row>
    <row r="25" spans="2:17" x14ac:dyDescent="0.25">
      <c r="H25">
        <v>5360</v>
      </c>
      <c r="I25">
        <v>40</v>
      </c>
      <c r="J25">
        <f>H25/I25</f>
        <v>134</v>
      </c>
      <c r="M25" s="11">
        <v>0.55763888888888891</v>
      </c>
    </row>
    <row r="26" spans="2:17" x14ac:dyDescent="0.25">
      <c r="M26" s="11">
        <f>(M24-M25)</f>
        <v>-5.7638888888888906E-2</v>
      </c>
    </row>
    <row r="29" spans="2:17" x14ac:dyDescent="0.25">
      <c r="B29">
        <v>10000</v>
      </c>
      <c r="C29">
        <v>17.600000000000001</v>
      </c>
      <c r="D29">
        <f>B29/C29</f>
        <v>568.18181818181813</v>
      </c>
    </row>
    <row r="31" spans="2:17" x14ac:dyDescent="0.25">
      <c r="C31">
        <v>46</v>
      </c>
      <c r="D31">
        <v>75</v>
      </c>
      <c r="F31">
        <f>C31*D31</f>
        <v>3450</v>
      </c>
    </row>
    <row r="37" spans="28:30" x14ac:dyDescent="0.25">
      <c r="AB37" s="11"/>
      <c r="AC37" s="11"/>
      <c r="AD37" s="11"/>
    </row>
    <row r="38" spans="28:30" x14ac:dyDescent="0.25">
      <c r="AB38" s="11"/>
      <c r="AC38" s="11"/>
      <c r="AD38" s="11"/>
    </row>
    <row r="77" spans="17:17" x14ac:dyDescent="0.25">
      <c r="Q77" s="3"/>
    </row>
    <row r="78" spans="17:17" x14ac:dyDescent="0.25">
      <c r="Q78" s="3"/>
    </row>
    <row r="95" spans="32:32" x14ac:dyDescent="0.25">
      <c r="AF95" s="7"/>
    </row>
    <row r="105" spans="19:31" x14ac:dyDescent="0.25">
      <c r="S105" s="16"/>
    </row>
    <row r="106" spans="19:31" x14ac:dyDescent="0.25">
      <c r="AE106" s="16"/>
    </row>
    <row r="107" spans="19:31" x14ac:dyDescent="0.25">
      <c r="AE107" s="16"/>
    </row>
    <row r="108" spans="19:31" x14ac:dyDescent="0.25">
      <c r="AE108" s="1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2:K13"/>
  <sheetViews>
    <sheetView workbookViewId="0">
      <selection activeCell="B5" sqref="B5"/>
    </sheetView>
  </sheetViews>
  <sheetFormatPr defaultRowHeight="15" x14ac:dyDescent="0.25"/>
  <cols>
    <col min="2" max="2" width="66.28515625" bestFit="1" customWidth="1"/>
  </cols>
  <sheetData>
    <row r="2" spans="1:11" x14ac:dyDescent="0.25">
      <c r="A2" t="s">
        <v>26</v>
      </c>
      <c r="B2" t="s">
        <v>178</v>
      </c>
      <c r="C2" t="s">
        <v>179</v>
      </c>
      <c r="D2" t="s">
        <v>180</v>
      </c>
      <c r="E2" t="s">
        <v>184</v>
      </c>
      <c r="F2" t="s">
        <v>185</v>
      </c>
      <c r="G2" t="s">
        <v>183</v>
      </c>
    </row>
    <row r="3" spans="1:11" x14ac:dyDescent="0.25">
      <c r="A3" s="20">
        <v>1</v>
      </c>
      <c r="B3" s="20" t="s">
        <v>181</v>
      </c>
      <c r="C3" s="20">
        <v>40.717799999999997</v>
      </c>
      <c r="D3" s="20"/>
      <c r="E3" s="21">
        <v>0.22239999999999999</v>
      </c>
      <c r="F3" s="21">
        <v>0.22239999999999999</v>
      </c>
      <c r="G3" s="21">
        <v>0.22239999999999999</v>
      </c>
    </row>
    <row r="4" spans="1:11" x14ac:dyDescent="0.25">
      <c r="A4">
        <v>2</v>
      </c>
      <c r="B4" t="s">
        <v>182</v>
      </c>
      <c r="C4">
        <v>318.83</v>
      </c>
      <c r="E4" s="14">
        <v>0.2039</v>
      </c>
      <c r="F4" s="14">
        <v>0.24929999999999999</v>
      </c>
      <c r="G4" s="14">
        <v>0.26769999999999999</v>
      </c>
    </row>
    <row r="5" spans="1:11" x14ac:dyDescent="0.25">
      <c r="A5" s="20">
        <v>3</v>
      </c>
      <c r="B5" s="20" t="s">
        <v>186</v>
      </c>
      <c r="C5" s="20">
        <v>61.857999999999997</v>
      </c>
      <c r="D5" s="20"/>
      <c r="E5" s="21">
        <v>0.25309999999999999</v>
      </c>
      <c r="F5" s="21">
        <v>0.21249999999999999</v>
      </c>
      <c r="G5" s="21">
        <v>0.29849999999999999</v>
      </c>
    </row>
    <row r="6" spans="1:11" x14ac:dyDescent="0.25">
      <c r="A6">
        <v>4</v>
      </c>
      <c r="B6" t="s">
        <v>187</v>
      </c>
      <c r="C6">
        <v>13.91</v>
      </c>
      <c r="E6" s="14">
        <v>0.1764</v>
      </c>
    </row>
    <row r="7" spans="1:11" x14ac:dyDescent="0.25">
      <c r="A7" s="20">
        <v>5</v>
      </c>
      <c r="B7" s="20" t="s">
        <v>188</v>
      </c>
      <c r="C7" s="20">
        <v>28.42</v>
      </c>
      <c r="D7" s="20"/>
      <c r="E7" s="21">
        <v>0.24909999999999999</v>
      </c>
      <c r="F7" s="20"/>
      <c r="G7" s="20"/>
    </row>
    <row r="13" spans="1:11" x14ac:dyDescent="0.25">
      <c r="I13">
        <v>0.25</v>
      </c>
      <c r="J13">
        <v>11000</v>
      </c>
      <c r="K13">
        <f>I13*J13</f>
        <v>2750</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2:Y49"/>
  <sheetViews>
    <sheetView topLeftCell="A25" workbookViewId="0">
      <selection activeCell="N49" sqref="N49"/>
    </sheetView>
  </sheetViews>
  <sheetFormatPr defaultRowHeight="15" x14ac:dyDescent="0.25"/>
  <cols>
    <col min="2" max="2" width="11" bestFit="1" customWidth="1"/>
    <col min="8" max="8" width="11.140625" bestFit="1" customWidth="1"/>
  </cols>
  <sheetData>
    <row r="2" spans="1:14" x14ac:dyDescent="0.25">
      <c r="A2" t="s">
        <v>26</v>
      </c>
      <c r="B2" t="s">
        <v>105</v>
      </c>
      <c r="C2" t="s">
        <v>21</v>
      </c>
      <c r="D2" t="s">
        <v>106</v>
      </c>
      <c r="E2" t="s">
        <v>107</v>
      </c>
      <c r="F2" t="s">
        <v>2</v>
      </c>
      <c r="G2" t="s">
        <v>44</v>
      </c>
      <c r="H2" t="s">
        <v>109</v>
      </c>
      <c r="I2" t="s">
        <v>111</v>
      </c>
    </row>
    <row r="3" spans="1:14" x14ac:dyDescent="0.25">
      <c r="A3">
        <v>1</v>
      </c>
      <c r="B3" t="s">
        <v>19</v>
      </c>
      <c r="C3">
        <v>25000</v>
      </c>
      <c r="D3" t="s">
        <v>108</v>
      </c>
      <c r="E3">
        <v>80</v>
      </c>
      <c r="F3">
        <v>11</v>
      </c>
      <c r="G3">
        <f>E3*F3</f>
        <v>880</v>
      </c>
      <c r="H3" t="s">
        <v>110</v>
      </c>
      <c r="J3">
        <v>8</v>
      </c>
      <c r="K3">
        <f>(J3-F3)*E3</f>
        <v>-240</v>
      </c>
    </row>
    <row r="4" spans="1:14" x14ac:dyDescent="0.25">
      <c r="A4">
        <v>2</v>
      </c>
      <c r="B4" t="s">
        <v>19</v>
      </c>
      <c r="C4">
        <v>23500</v>
      </c>
      <c r="D4" t="s">
        <v>112</v>
      </c>
      <c r="E4">
        <v>80</v>
      </c>
      <c r="F4">
        <v>9</v>
      </c>
      <c r="G4">
        <f>E4*F4</f>
        <v>720</v>
      </c>
      <c r="H4" t="s">
        <v>113</v>
      </c>
      <c r="J4">
        <v>8.1</v>
      </c>
      <c r="K4">
        <f>(J4-F4)*E4</f>
        <v>-72.000000000000028</v>
      </c>
    </row>
    <row r="5" spans="1:14" x14ac:dyDescent="0.25">
      <c r="A5">
        <v>3</v>
      </c>
      <c r="B5" t="s">
        <v>19</v>
      </c>
      <c r="C5">
        <v>24800</v>
      </c>
      <c r="D5" t="s">
        <v>108</v>
      </c>
      <c r="E5">
        <v>40</v>
      </c>
      <c r="F5">
        <v>13.75</v>
      </c>
      <c r="G5">
        <f>E5*F5</f>
        <v>550</v>
      </c>
    </row>
    <row r="12" spans="1:14" x14ac:dyDescent="0.25">
      <c r="L12">
        <v>661</v>
      </c>
      <c r="M12">
        <v>15000</v>
      </c>
      <c r="N12">
        <f>M12/L12</f>
        <v>22.692889561270803</v>
      </c>
    </row>
    <row r="14" spans="1:14" x14ac:dyDescent="0.25">
      <c r="L14">
        <v>661</v>
      </c>
      <c r="M14">
        <v>22</v>
      </c>
      <c r="N14">
        <f>L14*M14</f>
        <v>14542</v>
      </c>
    </row>
    <row r="15" spans="1:14" x14ac:dyDescent="0.25">
      <c r="L15">
        <v>661</v>
      </c>
      <c r="M15">
        <v>20</v>
      </c>
      <c r="N15">
        <f>L15*M15</f>
        <v>13220</v>
      </c>
    </row>
    <row r="16" spans="1:14" x14ac:dyDescent="0.25">
      <c r="N16">
        <f>L16*M16</f>
        <v>0</v>
      </c>
    </row>
    <row r="23" spans="1:25" x14ac:dyDescent="0.25">
      <c r="A23" t="s">
        <v>161</v>
      </c>
      <c r="B23" t="s">
        <v>144</v>
      </c>
      <c r="D23" t="str">
        <f>A23&amp;":"&amp;B23</f>
        <v>NSE:SONATASOFTW</v>
      </c>
      <c r="H23" t="s">
        <v>162</v>
      </c>
      <c r="K23" t="s">
        <v>162</v>
      </c>
      <c r="L23" t="s">
        <v>163</v>
      </c>
      <c r="M23" t="s">
        <v>164</v>
      </c>
      <c r="O23" t="s">
        <v>166</v>
      </c>
      <c r="P23" t="s">
        <v>167</v>
      </c>
      <c r="Q23" t="s">
        <v>168</v>
      </c>
      <c r="R23" t="s">
        <v>169</v>
      </c>
      <c r="S23" t="s">
        <v>170</v>
      </c>
      <c r="T23" t="s">
        <v>171</v>
      </c>
      <c r="U23" t="s">
        <v>172</v>
      </c>
      <c r="V23" t="s">
        <v>173</v>
      </c>
      <c r="W23" t="s">
        <v>174</v>
      </c>
      <c r="X23" t="s">
        <v>175</v>
      </c>
      <c r="Y23" t="s">
        <v>176</v>
      </c>
    </row>
    <row r="24" spans="1:25" x14ac:dyDescent="0.25">
      <c r="A24" t="s">
        <v>161</v>
      </c>
      <c r="B24" t="s">
        <v>147</v>
      </c>
      <c r="D24" t="str">
        <f t="shared" ref="D24:D37" si="0">A24&amp;":"&amp;B24</f>
        <v>NSE:DWARKESH</v>
      </c>
      <c r="H24" t="s">
        <v>163</v>
      </c>
      <c r="N24" t="s">
        <v>165</v>
      </c>
    </row>
    <row r="25" spans="1:25" x14ac:dyDescent="0.25">
      <c r="A25" t="s">
        <v>161</v>
      </c>
      <c r="B25" t="s">
        <v>148</v>
      </c>
      <c r="D25" t="str">
        <f t="shared" si="0"/>
        <v>NSE:BALRAMCHIN</v>
      </c>
      <c r="H25" t="s">
        <v>164</v>
      </c>
    </row>
    <row r="26" spans="1:25" x14ac:dyDescent="0.25">
      <c r="A26" t="s">
        <v>161</v>
      </c>
      <c r="B26" t="s">
        <v>145</v>
      </c>
      <c r="D26" t="str">
        <f t="shared" si="0"/>
        <v>NSE:TRIVENI</v>
      </c>
      <c r="H26" t="s">
        <v>165</v>
      </c>
    </row>
    <row r="27" spans="1:25" x14ac:dyDescent="0.25">
      <c r="A27" t="s">
        <v>161</v>
      </c>
      <c r="B27" t="s">
        <v>149</v>
      </c>
      <c r="D27" t="str">
        <f t="shared" si="0"/>
        <v>NSE:DAAWAT</v>
      </c>
      <c r="H27" t="s">
        <v>166</v>
      </c>
    </row>
    <row r="28" spans="1:25" x14ac:dyDescent="0.25">
      <c r="A28" t="s">
        <v>161</v>
      </c>
      <c r="B28" t="s">
        <v>160</v>
      </c>
      <c r="D28" t="str">
        <f t="shared" si="0"/>
        <v>NSE:DALMIASUG</v>
      </c>
      <c r="H28" t="s">
        <v>167</v>
      </c>
    </row>
    <row r="29" spans="1:25" x14ac:dyDescent="0.25">
      <c r="A29" t="s">
        <v>161</v>
      </c>
      <c r="B29" t="s">
        <v>146</v>
      </c>
      <c r="D29" t="str">
        <f t="shared" si="0"/>
        <v>NSE:KITEX</v>
      </c>
      <c r="H29" t="s">
        <v>168</v>
      </c>
    </row>
    <row r="30" spans="1:25" x14ac:dyDescent="0.25">
      <c r="A30" t="s">
        <v>161</v>
      </c>
      <c r="B30" t="s">
        <v>159</v>
      </c>
      <c r="D30" t="str">
        <f t="shared" si="0"/>
        <v>NSE:ICIL</v>
      </c>
      <c r="H30" t="s">
        <v>169</v>
      </c>
    </row>
    <row r="31" spans="1:25" x14ac:dyDescent="0.25">
      <c r="A31" t="s">
        <v>161</v>
      </c>
      <c r="B31" t="s">
        <v>151</v>
      </c>
      <c r="D31" t="str">
        <f t="shared" si="0"/>
        <v>NSE:8KMILES</v>
      </c>
      <c r="H31" t="s">
        <v>170</v>
      </c>
    </row>
    <row r="32" spans="1:25" x14ac:dyDescent="0.25">
      <c r="A32" t="s">
        <v>161</v>
      </c>
      <c r="B32" t="s">
        <v>114</v>
      </c>
      <c r="D32" t="str">
        <f t="shared" si="0"/>
        <v>NSE:BODALCHEM</v>
      </c>
      <c r="H32" t="s">
        <v>171</v>
      </c>
    </row>
    <row r="33" spans="1:10" x14ac:dyDescent="0.25">
      <c r="A33" t="s">
        <v>161</v>
      </c>
      <c r="B33" t="s">
        <v>152</v>
      </c>
      <c r="D33" t="str">
        <f t="shared" si="0"/>
        <v>NSE:TIRUMALCHM</v>
      </c>
      <c r="H33" t="s">
        <v>172</v>
      </c>
    </row>
    <row r="34" spans="1:10" x14ac:dyDescent="0.25">
      <c r="A34" t="s">
        <v>161</v>
      </c>
      <c r="B34" t="s">
        <v>153</v>
      </c>
      <c r="D34" t="str">
        <f t="shared" si="0"/>
        <v>NSE:GHCL</v>
      </c>
      <c r="H34" t="s">
        <v>173</v>
      </c>
    </row>
    <row r="35" spans="1:10" x14ac:dyDescent="0.25">
      <c r="A35" t="s">
        <v>161</v>
      </c>
      <c r="B35" t="s">
        <v>155</v>
      </c>
      <c r="D35" t="str">
        <f t="shared" si="0"/>
        <v>NSE:APARINDS</v>
      </c>
      <c r="H35" t="s">
        <v>174</v>
      </c>
    </row>
    <row r="36" spans="1:10" x14ac:dyDescent="0.25">
      <c r="A36" t="s">
        <v>161</v>
      </c>
      <c r="B36" t="s">
        <v>156</v>
      </c>
      <c r="D36" t="str">
        <f t="shared" si="0"/>
        <v>NSE:TATAMETALI</v>
      </c>
      <c r="H36" t="s">
        <v>175</v>
      </c>
    </row>
    <row r="37" spans="1:10" x14ac:dyDescent="0.25">
      <c r="A37" t="s">
        <v>161</v>
      </c>
      <c r="B37" t="s">
        <v>154</v>
      </c>
      <c r="D37" t="str">
        <f t="shared" si="0"/>
        <v>NSE:KEI</v>
      </c>
      <c r="H37" t="s">
        <v>176</v>
      </c>
    </row>
    <row r="44" spans="1:10" x14ac:dyDescent="0.25">
      <c r="H44">
        <v>1750</v>
      </c>
      <c r="I44">
        <v>2.5</v>
      </c>
      <c r="J44">
        <f>H44*I44</f>
        <v>4375</v>
      </c>
    </row>
    <row r="45" spans="1:10" x14ac:dyDescent="0.25">
      <c r="G45">
        <v>5240</v>
      </c>
      <c r="H45">
        <v>500</v>
      </c>
      <c r="I45">
        <f>G45/H45</f>
        <v>10.48</v>
      </c>
    </row>
    <row r="49" spans="13:14" x14ac:dyDescent="0.25">
      <c r="M49">
        <v>10.199999999999999</v>
      </c>
      <c r="N49">
        <f>M49*1.5</f>
        <v>15.299999999999999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3:C6"/>
  <sheetViews>
    <sheetView workbookViewId="0">
      <selection activeCell="D11" sqref="D11"/>
    </sheetView>
  </sheetViews>
  <sheetFormatPr defaultRowHeight="15" x14ac:dyDescent="0.25"/>
  <cols>
    <col min="1" max="1" width="13.140625" customWidth="1"/>
    <col min="2" max="2" width="16.5703125" bestFit="1" customWidth="1"/>
  </cols>
  <sheetData>
    <row r="3" spans="1:3" x14ac:dyDescent="0.25">
      <c r="A3" s="8" t="s">
        <v>33</v>
      </c>
      <c r="B3" t="s">
        <v>99</v>
      </c>
    </row>
    <row r="4" spans="1:3" x14ac:dyDescent="0.25">
      <c r="A4" s="12" t="s">
        <v>45</v>
      </c>
      <c r="B4" s="6">
        <v>30</v>
      </c>
    </row>
    <row r="5" spans="1:3" x14ac:dyDescent="0.25">
      <c r="A5" s="12" t="s">
        <v>47</v>
      </c>
      <c r="B5" s="6">
        <v>136</v>
      </c>
      <c r="C5">
        <f>GETPIVOTDATA("Contract",$A$3,"Demat","Zerodha")*4</f>
        <v>544</v>
      </c>
    </row>
    <row r="6" spans="1:3" x14ac:dyDescent="0.25">
      <c r="A6" s="12" t="s">
        <v>34</v>
      </c>
      <c r="B6" s="6">
        <v>166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3:B32"/>
  <sheetViews>
    <sheetView workbookViewId="0">
      <selection activeCell="Q29" sqref="Q29"/>
    </sheetView>
  </sheetViews>
  <sheetFormatPr defaultRowHeight="15" x14ac:dyDescent="0.25"/>
  <cols>
    <col min="1" max="1" width="13.42578125" bestFit="1" customWidth="1"/>
    <col min="2" max="2" width="12.5703125" bestFit="1" customWidth="1"/>
  </cols>
  <sheetData>
    <row r="3" spans="1:2" x14ac:dyDescent="0.25">
      <c r="A3" s="8" t="s">
        <v>33</v>
      </c>
      <c r="B3" t="s">
        <v>35</v>
      </c>
    </row>
    <row r="4" spans="1:2" x14ac:dyDescent="0.25">
      <c r="A4" s="12" t="s">
        <v>73</v>
      </c>
      <c r="B4" s="6">
        <v>-200</v>
      </c>
    </row>
    <row r="5" spans="1:2" x14ac:dyDescent="0.25">
      <c r="A5" s="12" t="s">
        <v>11</v>
      </c>
      <c r="B5" s="6">
        <v>-250</v>
      </c>
    </row>
    <row r="6" spans="1:2" x14ac:dyDescent="0.25">
      <c r="A6" s="12" t="s">
        <v>32</v>
      </c>
      <c r="B6" s="6">
        <v>-300</v>
      </c>
    </row>
    <row r="7" spans="1:2" x14ac:dyDescent="0.25">
      <c r="A7" s="12" t="s">
        <v>19</v>
      </c>
      <c r="B7" s="6">
        <v>-17990</v>
      </c>
    </row>
    <row r="8" spans="1:2" x14ac:dyDescent="0.25">
      <c r="A8" s="12" t="s">
        <v>12</v>
      </c>
      <c r="B8" s="6">
        <v>-2210</v>
      </c>
    </row>
    <row r="9" spans="1:2" x14ac:dyDescent="0.25">
      <c r="A9" s="12" t="s">
        <v>29</v>
      </c>
      <c r="B9" s="6">
        <v>1600</v>
      </c>
    </row>
    <row r="10" spans="1:2" x14ac:dyDescent="0.25">
      <c r="A10" s="12" t="s">
        <v>24</v>
      </c>
      <c r="B10" s="6">
        <v>-2550</v>
      </c>
    </row>
    <row r="11" spans="1:2" x14ac:dyDescent="0.25">
      <c r="A11" s="12" t="s">
        <v>38</v>
      </c>
      <c r="B11" s="6">
        <v>2450</v>
      </c>
    </row>
    <row r="12" spans="1:2" x14ac:dyDescent="0.25">
      <c r="A12" s="12" t="s">
        <v>96</v>
      </c>
      <c r="B12" s="6">
        <v>-7440</v>
      </c>
    </row>
    <row r="13" spans="1:2" x14ac:dyDescent="0.25">
      <c r="A13" s="12" t="s">
        <v>31</v>
      </c>
      <c r="B13" s="6">
        <v>-4200</v>
      </c>
    </row>
    <row r="14" spans="1:2" x14ac:dyDescent="0.25">
      <c r="A14" s="12" t="s">
        <v>95</v>
      </c>
      <c r="B14" s="6">
        <v>2344.9999999999995</v>
      </c>
    </row>
    <row r="15" spans="1:2" x14ac:dyDescent="0.25">
      <c r="A15" s="12" t="s">
        <v>28</v>
      </c>
      <c r="B15" s="6">
        <v>3400</v>
      </c>
    </row>
    <row r="16" spans="1:2" x14ac:dyDescent="0.25">
      <c r="A16" s="12" t="s">
        <v>75</v>
      </c>
      <c r="B16" s="6">
        <v>1575</v>
      </c>
    </row>
    <row r="17" spans="1:2" x14ac:dyDescent="0.25">
      <c r="A17" s="12" t="s">
        <v>102</v>
      </c>
      <c r="B17" s="6">
        <v>-3300.0000000000005</v>
      </c>
    </row>
    <row r="18" spans="1:2" x14ac:dyDescent="0.25">
      <c r="A18" s="12" t="s">
        <v>103</v>
      </c>
      <c r="B18" s="6">
        <v>-1650</v>
      </c>
    </row>
    <row r="19" spans="1:2" x14ac:dyDescent="0.25">
      <c r="A19" s="12" t="s">
        <v>104</v>
      </c>
      <c r="B19" s="6">
        <v>-3650</v>
      </c>
    </row>
    <row r="20" spans="1:2" x14ac:dyDescent="0.25">
      <c r="A20" s="12" t="s">
        <v>189</v>
      </c>
      <c r="B20" s="6">
        <v>-5500</v>
      </c>
    </row>
    <row r="21" spans="1:2" x14ac:dyDescent="0.25">
      <c r="A21" s="12" t="s">
        <v>190</v>
      </c>
      <c r="B21" s="6">
        <v>-1400</v>
      </c>
    </row>
    <row r="22" spans="1:2" x14ac:dyDescent="0.25">
      <c r="A22" s="12" t="s">
        <v>191</v>
      </c>
      <c r="B22" s="6">
        <v>0</v>
      </c>
    </row>
    <row r="23" spans="1:2" x14ac:dyDescent="0.25">
      <c r="A23" s="12" t="s">
        <v>192</v>
      </c>
      <c r="B23" s="6">
        <v>0</v>
      </c>
    </row>
    <row r="24" spans="1:2" x14ac:dyDescent="0.25">
      <c r="A24" s="12" t="s">
        <v>193</v>
      </c>
      <c r="B24" s="6">
        <v>-2017.5</v>
      </c>
    </row>
    <row r="25" spans="1:2" x14ac:dyDescent="0.25">
      <c r="A25" s="12" t="s">
        <v>194</v>
      </c>
      <c r="B25" s="6">
        <v>-1100</v>
      </c>
    </row>
    <row r="26" spans="1:2" x14ac:dyDescent="0.25">
      <c r="A26" s="12" t="s">
        <v>205</v>
      </c>
      <c r="B26" s="6">
        <v>-1400</v>
      </c>
    </row>
    <row r="27" spans="1:2" x14ac:dyDescent="0.25">
      <c r="A27" s="12" t="s">
        <v>206</v>
      </c>
      <c r="B27" s="6">
        <v>300</v>
      </c>
    </row>
    <row r="28" spans="1:2" x14ac:dyDescent="0.25">
      <c r="A28" s="12" t="s">
        <v>207</v>
      </c>
      <c r="B28" s="6">
        <v>0</v>
      </c>
    </row>
    <row r="29" spans="1:2" x14ac:dyDescent="0.25">
      <c r="A29" s="12" t="s">
        <v>208</v>
      </c>
      <c r="B29" s="6">
        <v>7000</v>
      </c>
    </row>
    <row r="30" spans="1:2" x14ac:dyDescent="0.25">
      <c r="A30" s="12" t="s">
        <v>211</v>
      </c>
      <c r="B30" s="6">
        <v>2400</v>
      </c>
    </row>
    <row r="31" spans="1:2" x14ac:dyDescent="0.25">
      <c r="A31" s="12" t="s">
        <v>212</v>
      </c>
      <c r="B31" s="6">
        <v>175.00000000000364</v>
      </c>
    </row>
    <row r="32" spans="1:2" x14ac:dyDescent="0.25">
      <c r="A32" s="12" t="s">
        <v>34</v>
      </c>
      <c r="B32" s="6">
        <v>-33912.5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D176"/>
  <sheetViews>
    <sheetView tabSelected="1" topLeftCell="A138" zoomScaleNormal="100" workbookViewId="0">
      <selection activeCell="U174" sqref="U174"/>
    </sheetView>
  </sheetViews>
  <sheetFormatPr defaultRowHeight="15" x14ac:dyDescent="0.25"/>
  <cols>
    <col min="1" max="1" width="8.42578125" bestFit="1" customWidth="1"/>
    <col min="2" max="2" width="10.5703125" bestFit="1" customWidth="1"/>
    <col min="3" max="3" width="13.28515625" bestFit="1" customWidth="1"/>
    <col min="4" max="4" width="10.85546875" customWidth="1"/>
    <col min="5" max="5" width="7.5703125" bestFit="1" customWidth="1"/>
    <col min="6" max="6" width="10.5703125" bestFit="1" customWidth="1"/>
    <col min="7" max="7" width="11" bestFit="1" customWidth="1"/>
    <col min="8" max="8" width="10.5703125" bestFit="1" customWidth="1"/>
    <col min="9" max="9" width="11.5703125" bestFit="1" customWidth="1"/>
    <col min="10" max="10" width="12.28515625" bestFit="1" customWidth="1"/>
    <col min="11" max="11" width="11.5703125" bestFit="1" customWidth="1"/>
    <col min="12" max="12" width="13.28515625" bestFit="1" customWidth="1"/>
    <col min="13" max="13" width="18.85546875" bestFit="1" customWidth="1"/>
    <col min="14" max="14" width="10.5703125" bestFit="1" customWidth="1"/>
    <col min="15" max="15" width="12" bestFit="1" customWidth="1"/>
    <col min="16" max="16" width="10.5703125" bestFit="1" customWidth="1"/>
    <col min="17" max="17" width="11.5703125" bestFit="1" customWidth="1"/>
    <col min="18" max="18" width="13.28515625" bestFit="1" customWidth="1"/>
    <col min="19" max="19" width="11.5703125" bestFit="1" customWidth="1"/>
    <col min="20" max="20" width="13.28515625" bestFit="1" customWidth="1"/>
    <col min="21" max="21" width="12.28515625" bestFit="1" customWidth="1"/>
    <col min="23" max="23" width="12.140625" bestFit="1" customWidth="1"/>
    <col min="24" max="24" width="11.28515625" bestFit="1" customWidth="1"/>
    <col min="27" max="27" width="12.28515625" bestFit="1" customWidth="1"/>
    <col min="29" max="29" width="12.28515625" bestFit="1" customWidth="1"/>
  </cols>
  <sheetData>
    <row r="1" spans="1:30" x14ac:dyDescent="0.25">
      <c r="D1" t="s">
        <v>20</v>
      </c>
    </row>
    <row r="2" spans="1:30" x14ac:dyDescent="0.25">
      <c r="D2" t="s">
        <v>23</v>
      </c>
      <c r="N2" s="5"/>
      <c r="O2" s="5"/>
      <c r="P2" s="5"/>
      <c r="R2" s="5"/>
    </row>
    <row r="4" spans="1:30" x14ac:dyDescent="0.25">
      <c r="A4" t="s">
        <v>26</v>
      </c>
      <c r="B4" t="s">
        <v>0</v>
      </c>
      <c r="C4" t="s">
        <v>8</v>
      </c>
      <c r="D4" t="s">
        <v>21</v>
      </c>
      <c r="E4" t="s">
        <v>22</v>
      </c>
      <c r="F4" t="s">
        <v>7</v>
      </c>
      <c r="G4" t="s">
        <v>1</v>
      </c>
      <c r="H4" t="s">
        <v>2</v>
      </c>
      <c r="I4" t="s">
        <v>3</v>
      </c>
      <c r="J4" t="s">
        <v>4</v>
      </c>
      <c r="K4" t="s">
        <v>5</v>
      </c>
      <c r="L4" t="s">
        <v>6</v>
      </c>
      <c r="M4" t="s">
        <v>27</v>
      </c>
      <c r="N4" t="s">
        <v>9</v>
      </c>
      <c r="O4" t="s">
        <v>13</v>
      </c>
      <c r="P4" t="s">
        <v>14</v>
      </c>
      <c r="Q4" t="s">
        <v>15</v>
      </c>
      <c r="R4" t="s">
        <v>16</v>
      </c>
      <c r="S4" t="s">
        <v>17</v>
      </c>
      <c r="T4" t="s">
        <v>18</v>
      </c>
      <c r="U4" t="s">
        <v>10</v>
      </c>
      <c r="V4" t="s">
        <v>30</v>
      </c>
      <c r="W4" t="s">
        <v>40</v>
      </c>
      <c r="X4" t="s">
        <v>41</v>
      </c>
      <c r="Y4" t="s">
        <v>84</v>
      </c>
      <c r="Z4" t="s">
        <v>91</v>
      </c>
    </row>
    <row r="5" spans="1:30" x14ac:dyDescent="0.25">
      <c r="A5" s="6">
        <v>1</v>
      </c>
      <c r="B5" s="1">
        <v>42831</v>
      </c>
      <c r="C5" t="s">
        <v>11</v>
      </c>
      <c r="D5">
        <v>320</v>
      </c>
      <c r="E5" t="s">
        <v>23</v>
      </c>
      <c r="F5" s="1">
        <v>42852</v>
      </c>
      <c r="G5">
        <v>2500</v>
      </c>
      <c r="H5" s="2">
        <v>1.9</v>
      </c>
      <c r="I5" s="2">
        <f>Table1[[#This Row],[Quantity]]*Table1[[#This Row],[Price]]</f>
        <v>4750</v>
      </c>
      <c r="J5" s="2">
        <v>95</v>
      </c>
      <c r="K5" s="2">
        <v>16.98</v>
      </c>
      <c r="L5" s="2">
        <f>Table1[[#This Row],[Value]]+Table1[[#This Row],[Brokerage]]+Table1[[#This Row],[Taxes]]</f>
        <v>4861.9799999999996</v>
      </c>
      <c r="M5" t="str">
        <f>CONCATENATE(Table1[[#This Row],[Contract]]," ",Table1[[#This Row],[Strike Price]],IF(Table1[[#This Row],[Type]]="Put","PE","CE"))</f>
        <v>ADANIPOR 320PE</v>
      </c>
      <c r="N5" s="1">
        <v>42832</v>
      </c>
      <c r="O5">
        <v>2500</v>
      </c>
      <c r="P5" s="2">
        <v>1.8</v>
      </c>
      <c r="Q5" s="2">
        <f>Table1[[#This Row],[Quantity2]]*Table1[[#This Row],[Price3]]</f>
        <v>4500</v>
      </c>
      <c r="R5" s="2">
        <v>95</v>
      </c>
      <c r="S5" s="2">
        <v>18.829999999999998</v>
      </c>
      <c r="T5" s="2">
        <f>Table1[[#This Row],[Value4]]-Table1[[#This Row],[Brokerage5]]-Table1[[#This Row],[Taxes6]]</f>
        <v>4386.17</v>
      </c>
      <c r="U5" s="2">
        <f>Table1[Value4]-Table1[Value]</f>
        <v>-250</v>
      </c>
      <c r="V5" s="7">
        <f>(Table1[[#This Row],[Value4]]-Table1[[#This Row],[Value]])/Table1[[#This Row],[Value]]</f>
        <v>-5.2631578947368418E-2</v>
      </c>
      <c r="W5" s="9" t="str">
        <f>TEXT(Table1[[#This Row],[Sell Date]],"mmm-yy")</f>
        <v>Apr-17</v>
      </c>
      <c r="X5" s="10" t="s">
        <v>45</v>
      </c>
      <c r="Y5" s="2" t="str">
        <f>TEXT(Table1[[#This Row],[Sell Date]],"ddd")</f>
        <v>Fri</v>
      </c>
      <c r="Z5" s="2" t="s">
        <v>92</v>
      </c>
    </row>
    <row r="6" spans="1:30" x14ac:dyDescent="0.25">
      <c r="A6" s="6">
        <v>2</v>
      </c>
      <c r="B6" s="1">
        <v>42832</v>
      </c>
      <c r="C6" t="s">
        <v>12</v>
      </c>
      <c r="D6">
        <v>300</v>
      </c>
      <c r="E6" t="s">
        <v>20</v>
      </c>
      <c r="F6" s="1">
        <v>42852</v>
      </c>
      <c r="G6">
        <v>1700</v>
      </c>
      <c r="H6" s="2">
        <v>1.35</v>
      </c>
      <c r="I6" s="2">
        <f>Table1[[#This Row],[Quantity]]*Table1[[#This Row],[Price]]</f>
        <v>2295</v>
      </c>
      <c r="J6" s="2">
        <v>95</v>
      </c>
      <c r="K6" s="2">
        <v>15.57</v>
      </c>
      <c r="L6" s="2">
        <f>Table1[[#This Row],[Value]]+Table1[[#This Row],[Brokerage]]+Table1[[#This Row],[Taxes]]</f>
        <v>2405.5700000000002</v>
      </c>
      <c r="M6" t="str">
        <f>CONCATENATE(Table1[[#This Row],[Contract]]," ",Table1[[#This Row],[Strike Price]],IF(Table1[[#This Row],[Type]]="Put","PE","CE"))</f>
        <v>COALINDIA 300CE</v>
      </c>
      <c r="N6" s="1">
        <v>42852</v>
      </c>
      <c r="O6">
        <v>1700</v>
      </c>
      <c r="P6" s="2">
        <v>0.05</v>
      </c>
      <c r="Q6" s="2">
        <f>Table1[[#This Row],[Quantity2]]*Table1[[#This Row],[Price3]]</f>
        <v>85</v>
      </c>
      <c r="R6" s="2">
        <v>95</v>
      </c>
      <c r="S6" s="2">
        <v>14.33</v>
      </c>
      <c r="T6" s="2">
        <f>Table1[[#This Row],[Value4]]-Table1[[#This Row],[Brokerage5]]-Table1[[#This Row],[Taxes6]]</f>
        <v>-24.33</v>
      </c>
      <c r="U6" s="2">
        <f>Table1[Value4]-Table1[Value]</f>
        <v>-2210</v>
      </c>
      <c r="V6" s="7">
        <f>(Table1[[#This Row],[Value4]]-Table1[[#This Row],[Value]])/Table1[[#This Row],[Value]]</f>
        <v>-0.96296296296296291</v>
      </c>
      <c r="W6" s="9" t="str">
        <f>TEXT(Table1[[#This Row],[Sell Date]],"mmm-yy")</f>
        <v>Apr-17</v>
      </c>
      <c r="X6" s="10" t="s">
        <v>45</v>
      </c>
      <c r="Y6" s="2" t="str">
        <f>TEXT(Table1[[#This Row],[Sell Date]],"ddd")</f>
        <v>Thu</v>
      </c>
      <c r="Z6" s="2" t="s">
        <v>92</v>
      </c>
    </row>
    <row r="7" spans="1:30" x14ac:dyDescent="0.25">
      <c r="A7" s="6">
        <v>3</v>
      </c>
      <c r="B7" s="1">
        <v>42851</v>
      </c>
      <c r="C7" t="s">
        <v>19</v>
      </c>
      <c r="D7">
        <v>22300</v>
      </c>
      <c r="E7" t="s">
        <v>20</v>
      </c>
      <c r="F7" s="1">
        <v>42852</v>
      </c>
      <c r="G7">
        <v>80</v>
      </c>
      <c r="H7" s="2">
        <v>47.85</v>
      </c>
      <c r="I7" s="2">
        <f>Table1[[#This Row],[Quantity]]*Table1[[#This Row],[Price]]</f>
        <v>3828</v>
      </c>
      <c r="J7" s="2">
        <v>190</v>
      </c>
      <c r="K7" s="2">
        <v>30.7</v>
      </c>
      <c r="L7" s="2">
        <f>Table1[[#This Row],[Value]]+Table1[[#This Row],[Brokerage]]+Table1[[#This Row],[Taxes]]</f>
        <v>4048.7</v>
      </c>
      <c r="M7" t="str">
        <f>CONCATENATE(Table1[[#This Row],[Contract]]," ",Table1[[#This Row],[Strike Price]],IF(Table1[[#This Row],[Type]]="Put","PE","CE"))</f>
        <v>BANKNIFTY 22300CE</v>
      </c>
      <c r="N7" s="1">
        <v>42852</v>
      </c>
      <c r="O7">
        <v>80</v>
      </c>
      <c r="P7" s="2">
        <v>35.6</v>
      </c>
      <c r="Q7" s="2">
        <f>Table1[[#This Row],[Quantity2]]*Table1[[#This Row],[Price3]]</f>
        <v>2848</v>
      </c>
      <c r="R7" s="2">
        <v>190</v>
      </c>
      <c r="S7" s="2">
        <v>31</v>
      </c>
      <c r="T7" s="2">
        <f>Table1[[#This Row],[Value4]]-Table1[[#This Row],[Brokerage5]]-Table1[[#This Row],[Taxes6]]</f>
        <v>2627</v>
      </c>
      <c r="U7" s="2">
        <f>Table1[Value4]-Table1[Value]</f>
        <v>-980</v>
      </c>
      <c r="V7" s="7">
        <f>(Table1[[#This Row],[Value4]]-Table1[[#This Row],[Value]])/Table1[[#This Row],[Value]]</f>
        <v>-0.2560083594566353</v>
      </c>
      <c r="W7" s="9" t="str">
        <f>TEXT(Table1[[#This Row],[Sell Date]],"mmm-yy")</f>
        <v>Apr-17</v>
      </c>
      <c r="X7" s="10" t="s">
        <v>45</v>
      </c>
      <c r="Y7" s="2" t="str">
        <f>TEXT(Table1[[#This Row],[Sell Date]],"ddd")</f>
        <v>Thu</v>
      </c>
      <c r="Z7" s="2" t="s">
        <v>92</v>
      </c>
      <c r="AA7" s="2">
        <f>SUM(U5:U7)</f>
        <v>-3440</v>
      </c>
      <c r="AC7">
        <f>Table1[[#Totals],[Profit]]</f>
        <v>-33912.5</v>
      </c>
    </row>
    <row r="8" spans="1:30" x14ac:dyDescent="0.25">
      <c r="A8" s="6">
        <v>4</v>
      </c>
      <c r="B8" s="1">
        <v>42857</v>
      </c>
      <c r="C8" t="s">
        <v>19</v>
      </c>
      <c r="D8">
        <v>22600</v>
      </c>
      <c r="E8" t="s">
        <v>20</v>
      </c>
      <c r="F8" s="1">
        <v>42859</v>
      </c>
      <c r="G8">
        <v>80</v>
      </c>
      <c r="H8" s="2">
        <v>20</v>
      </c>
      <c r="I8" s="2">
        <f>Table1[[#This Row],[Quantity]]*Table1[[#This Row],[Price]]</f>
        <v>1600</v>
      </c>
      <c r="J8" s="2">
        <v>100</v>
      </c>
      <c r="K8" s="2">
        <v>15.91</v>
      </c>
      <c r="L8" s="2">
        <f>Table1[[#This Row],[Value]]+Table1[[#This Row],[Brokerage]]+Table1[[#This Row],[Taxes]]</f>
        <v>1715.91</v>
      </c>
      <c r="M8" t="str">
        <f>CONCATENATE(Table1[[#This Row],[Contract]]," ",Table1[[#This Row],[Strike Price]],IF(Table1[[#This Row],[Type]]="Put","PE","CE"))</f>
        <v>BANKNIFTY 22600CE</v>
      </c>
      <c r="N8" s="1">
        <v>42857</v>
      </c>
      <c r="O8">
        <v>80</v>
      </c>
      <c r="P8" s="2">
        <v>30</v>
      </c>
      <c r="Q8" s="2">
        <f>Table1[[#This Row],[Quantity2]]*Table1[[#This Row],[Price3]]</f>
        <v>2400</v>
      </c>
      <c r="R8" s="2">
        <v>190</v>
      </c>
      <c r="S8" s="2">
        <v>30.87</v>
      </c>
      <c r="T8" s="2">
        <f>Table1[[#This Row],[Value4]]-Table1[[#This Row],[Brokerage5]]-Table1[[#This Row],[Taxes6]]</f>
        <v>2179.13</v>
      </c>
      <c r="U8" s="2">
        <f>Table1[Value4]-Table1[Value]</f>
        <v>800</v>
      </c>
      <c r="V8" s="7">
        <f>(Table1[[#This Row],[Value4]]-Table1[[#This Row],[Value]])/Table1[[#This Row],[Value]]</f>
        <v>0.5</v>
      </c>
      <c r="W8" s="9" t="str">
        <f>TEXT(Table1[[#This Row],[Sell Date]],"mmm-yy")</f>
        <v>May-17</v>
      </c>
      <c r="X8" s="10" t="s">
        <v>45</v>
      </c>
      <c r="Y8" s="2" t="str">
        <f>TEXT(Table1[[#This Row],[Sell Date]],"ddd")</f>
        <v>Tue</v>
      </c>
      <c r="Z8" s="2" t="s">
        <v>92</v>
      </c>
      <c r="AA8" s="2">
        <f>U23</f>
        <v>-2044</v>
      </c>
      <c r="AC8">
        <f>IFERROR(GETPIVOTDATA("Profit",Summary!$A$3,"Sell Date",),0)</f>
        <v>0</v>
      </c>
    </row>
    <row r="9" spans="1:30" x14ac:dyDescent="0.25">
      <c r="A9" s="6">
        <v>5</v>
      </c>
      <c r="B9" s="1">
        <v>42858</v>
      </c>
      <c r="C9" t="s">
        <v>19</v>
      </c>
      <c r="D9">
        <v>22300</v>
      </c>
      <c r="E9" t="s">
        <v>23</v>
      </c>
      <c r="F9" s="1">
        <v>42859</v>
      </c>
      <c r="G9">
        <v>40</v>
      </c>
      <c r="H9" s="2">
        <v>60</v>
      </c>
      <c r="I9" s="2">
        <f>Table1[[#This Row],[Quantity]]*Table1[[#This Row],[Price]]</f>
        <v>2400</v>
      </c>
      <c r="J9" s="2">
        <v>50</v>
      </c>
      <c r="K9" s="2">
        <v>8.8699999999999992</v>
      </c>
      <c r="L9" s="2">
        <f>Table1[[#This Row],[Value]]+Table1[[#This Row],[Brokerage]]+Table1[[#This Row],[Taxes]]</f>
        <v>2458.87</v>
      </c>
      <c r="M9" t="str">
        <f>CONCATENATE(Table1[[#This Row],[Contract]]," ",Table1[[#This Row],[Strike Price]],IF(Table1[[#This Row],[Type]]="Put","PE","CE"))</f>
        <v>BANKNIFTY 22300PE</v>
      </c>
      <c r="N9" s="1">
        <v>42858</v>
      </c>
      <c r="O9">
        <v>40</v>
      </c>
      <c r="P9" s="2">
        <v>71.3</v>
      </c>
      <c r="Q9" s="2">
        <f>Table1[[#This Row],[Quantity2]]*Table1[[#This Row],[Price3]]</f>
        <v>2852</v>
      </c>
      <c r="R9" s="2">
        <v>95</v>
      </c>
      <c r="S9" s="2">
        <v>16.89</v>
      </c>
      <c r="T9" s="2">
        <f>Table1[[#This Row],[Value4]]-Table1[[#This Row],[Brokerage5]]-Table1[[#This Row],[Taxes6]]</f>
        <v>2740.11</v>
      </c>
      <c r="U9" s="2">
        <f>Table1[Value4]-Table1[Value]</f>
        <v>452</v>
      </c>
      <c r="V9" s="7">
        <f>(Table1[[#This Row],[Value4]]-Table1[[#This Row],[Value]])/Table1[[#This Row],[Value]]</f>
        <v>0.18833333333333332</v>
      </c>
      <c r="W9" s="9" t="str">
        <f>TEXT(Table1[[#This Row],[Sell Date]],"mmm-yy")</f>
        <v>May-17</v>
      </c>
      <c r="X9" s="10" t="s">
        <v>45</v>
      </c>
      <c r="Y9" s="2" t="str">
        <f>TEXT(Table1[[#This Row],[Sell Date]],"ddd")</f>
        <v>Wed</v>
      </c>
      <c r="Z9" s="2" t="s">
        <v>92</v>
      </c>
      <c r="AA9" s="2">
        <f>SUM(AA7:AA8)</f>
        <v>-5484</v>
      </c>
      <c r="AC9">
        <f>AC7-AC8</f>
        <v>-33912.5</v>
      </c>
      <c r="AD9" t="s">
        <v>36</v>
      </c>
    </row>
    <row r="10" spans="1:30" x14ac:dyDescent="0.25">
      <c r="A10" s="6">
        <v>6</v>
      </c>
      <c r="B10" s="1">
        <v>42859</v>
      </c>
      <c r="C10" t="s">
        <v>24</v>
      </c>
      <c r="D10">
        <v>1540</v>
      </c>
      <c r="E10" t="s">
        <v>23</v>
      </c>
      <c r="F10" s="1">
        <v>42850</v>
      </c>
      <c r="G10">
        <v>500</v>
      </c>
      <c r="H10" s="2">
        <v>14.6</v>
      </c>
      <c r="I10" s="2">
        <f>Table1[[#This Row],[Quantity]]*Table1[[#This Row],[Price]]</f>
        <v>7300</v>
      </c>
      <c r="J10" s="2">
        <v>95</v>
      </c>
      <c r="K10" s="2">
        <v>18.440000000000001</v>
      </c>
      <c r="L10" s="2">
        <f>Table1[[#This Row],[Value]]+Table1[[#This Row],[Brokerage]]+Table1[[#This Row],[Taxes]]</f>
        <v>7413.44</v>
      </c>
      <c r="M10" t="str">
        <f>CONCATENATE(Table1[[#This Row],[Contract]]," ",Table1[[#This Row],[Strike Price]],IF(Table1[[#This Row],[Type]]="Put","PE","CE"))</f>
        <v>HDFC 1540PE</v>
      </c>
      <c r="N10" s="1">
        <v>42859</v>
      </c>
      <c r="O10">
        <v>500</v>
      </c>
      <c r="P10" s="2">
        <v>12</v>
      </c>
      <c r="Q10" s="2">
        <f>Table1[[#This Row],[Quantity2]]*Table1[[#This Row],[Price3]]</f>
        <v>6000</v>
      </c>
      <c r="R10" s="2">
        <v>50</v>
      </c>
      <c r="S10" s="2">
        <v>13.94</v>
      </c>
      <c r="T10" s="2">
        <f>Table1[[#This Row],[Value4]]-Table1[[#This Row],[Brokerage5]]-Table1[[#This Row],[Taxes6]]</f>
        <v>5936.06</v>
      </c>
      <c r="U10" s="2">
        <f>Table1[Value4]-Table1[Value]</f>
        <v>-1300</v>
      </c>
      <c r="V10" s="7">
        <f>(Table1[[#This Row],[Value4]]-Table1[[#This Row],[Value]])/Table1[[#This Row],[Value]]</f>
        <v>-0.17808219178082191</v>
      </c>
      <c r="W10" s="9" t="str">
        <f>TEXT(Table1[[#This Row],[Sell Date]],"mmm-yy")</f>
        <v>May-17</v>
      </c>
      <c r="X10" s="10" t="s">
        <v>45</v>
      </c>
      <c r="Y10" s="2" t="str">
        <f>TEXT(Table1[[#This Row],[Sell Date]],"ddd")</f>
        <v>Thu</v>
      </c>
      <c r="Z10" s="2" t="s">
        <v>92</v>
      </c>
      <c r="AC10" s="2">
        <f>AC9-AA9</f>
        <v>-28428.5</v>
      </c>
      <c r="AD10" t="s">
        <v>37</v>
      </c>
    </row>
    <row r="11" spans="1:30" x14ac:dyDescent="0.25">
      <c r="A11" s="6">
        <v>7</v>
      </c>
      <c r="B11" s="1">
        <v>42860</v>
      </c>
      <c r="C11" t="s">
        <v>19</v>
      </c>
      <c r="D11">
        <v>22500</v>
      </c>
      <c r="E11" t="s">
        <v>23</v>
      </c>
      <c r="F11" s="1">
        <v>42866</v>
      </c>
      <c r="G11">
        <v>40</v>
      </c>
      <c r="H11" s="2">
        <v>98</v>
      </c>
      <c r="I11" s="2">
        <f>Table1[[#This Row],[Quantity]]*Table1[[#This Row],[Price]]</f>
        <v>3920</v>
      </c>
      <c r="J11" s="2">
        <v>95</v>
      </c>
      <c r="K11" s="2">
        <v>16.5</v>
      </c>
      <c r="L11" s="2">
        <f>Table1[[#This Row],[Value]]+Table1[[#This Row],[Brokerage]]+Table1[[#This Row],[Taxes]]</f>
        <v>4031.5</v>
      </c>
      <c r="M11" t="str">
        <f>CONCATENATE(Table1[[#This Row],[Contract]]," ",Table1[[#This Row],[Strike Price]],IF(Table1[[#This Row],[Type]]="Put","PE","CE"))</f>
        <v>BANKNIFTY 22500PE</v>
      </c>
      <c r="N11" s="1">
        <v>42864</v>
      </c>
      <c r="O11">
        <v>40</v>
      </c>
      <c r="P11" s="2">
        <v>49.2</v>
      </c>
      <c r="Q11" s="2">
        <f>Table1[[#This Row],[Quantity2]]*Table1[[#This Row],[Price3]]</f>
        <v>1968</v>
      </c>
      <c r="R11" s="2">
        <v>95</v>
      </c>
      <c r="S11" s="2">
        <v>16.579999999999998</v>
      </c>
      <c r="T11" s="2">
        <f>Table1[[#This Row],[Value4]]-Table1[[#This Row],[Brokerage5]]-Table1[[#This Row],[Taxes6]]</f>
        <v>1856.42</v>
      </c>
      <c r="U11" s="2">
        <f>Table1[Value4]-Table1[Value]</f>
        <v>-1952</v>
      </c>
      <c r="V11" s="7">
        <f>(Table1[[#This Row],[Value4]]-Table1[[#This Row],[Value]])/Table1[[#This Row],[Value]]</f>
        <v>-0.49795918367346936</v>
      </c>
      <c r="W11" s="9" t="str">
        <f>TEXT(Table1[[#This Row],[Sell Date]],"mmm-yy")</f>
        <v>May-17</v>
      </c>
      <c r="X11" s="10" t="s">
        <v>45</v>
      </c>
      <c r="Y11" s="2" t="str">
        <f>TEXT(Table1[[#This Row],[Sell Date]],"ddd")</f>
        <v>Tue</v>
      </c>
      <c r="Z11" s="2" t="s">
        <v>92</v>
      </c>
      <c r="AC11" s="2"/>
    </row>
    <row r="12" spans="1:30" x14ac:dyDescent="0.25">
      <c r="A12" s="6">
        <v>8</v>
      </c>
      <c r="B12" s="1">
        <v>42863</v>
      </c>
      <c r="C12" t="s">
        <v>19</v>
      </c>
      <c r="D12">
        <v>22600</v>
      </c>
      <c r="E12" t="s">
        <v>23</v>
      </c>
      <c r="F12" s="1">
        <v>42866</v>
      </c>
      <c r="G12">
        <v>40</v>
      </c>
      <c r="H12" s="2">
        <v>78.5</v>
      </c>
      <c r="I12" s="2">
        <f>Table1[[#This Row],[Quantity]]*Table1[[#This Row],[Price]]</f>
        <v>3140</v>
      </c>
      <c r="J12" s="2">
        <v>95</v>
      </c>
      <c r="K12" s="2">
        <v>16.05</v>
      </c>
      <c r="L12" s="2">
        <f>Table1[[#This Row],[Value]]+Table1[[#This Row],[Brokerage]]+Table1[[#This Row],[Taxes]]</f>
        <v>3251.05</v>
      </c>
      <c r="M12" t="str">
        <f>CONCATENATE(Table1[[#This Row],[Contract]]," ",Table1[[#This Row],[Strike Price]],IF(Table1[[#This Row],[Type]]="Put","PE","CE"))</f>
        <v>BANKNIFTY 22600PE</v>
      </c>
      <c r="N12" s="1">
        <v>42863</v>
      </c>
      <c r="O12">
        <v>40</v>
      </c>
      <c r="P12" s="2">
        <v>61</v>
      </c>
      <c r="Q12" s="2">
        <f>Table1[[#This Row],[Quantity2]]*Table1[[#This Row],[Price3]]</f>
        <v>2440</v>
      </c>
      <c r="R12" s="2">
        <v>50</v>
      </c>
      <c r="S12" s="2">
        <v>9.9</v>
      </c>
      <c r="T12" s="2">
        <f>Table1[[#This Row],[Value4]]-Table1[[#This Row],[Brokerage5]]-Table1[[#This Row],[Taxes6]]</f>
        <v>2380.1</v>
      </c>
      <c r="U12" s="2">
        <f>Table1[Value4]-Table1[Value]</f>
        <v>-700</v>
      </c>
      <c r="V12" s="7">
        <f>(Table1[[#This Row],[Value4]]-Table1[[#This Row],[Value]])/Table1[[#This Row],[Value]]</f>
        <v>-0.22292993630573249</v>
      </c>
      <c r="W12" s="9" t="str">
        <f>TEXT(Table1[[#This Row],[Sell Date]],"mmm-yy")</f>
        <v>May-17</v>
      </c>
      <c r="X12" s="10" t="s">
        <v>45</v>
      </c>
      <c r="Y12" s="2" t="str">
        <f>TEXT(Table1[[#This Row],[Sell Date]],"ddd")</f>
        <v>Mon</v>
      </c>
      <c r="Z12" s="2" t="s">
        <v>92</v>
      </c>
    </row>
    <row r="13" spans="1:30" x14ac:dyDescent="0.25">
      <c r="A13" s="6">
        <v>9</v>
      </c>
      <c r="B13" s="1">
        <v>42864</v>
      </c>
      <c r="C13" t="s">
        <v>19</v>
      </c>
      <c r="D13">
        <v>23000</v>
      </c>
      <c r="E13" t="s">
        <v>20</v>
      </c>
      <c r="F13" s="1">
        <v>42866</v>
      </c>
      <c r="G13">
        <v>80</v>
      </c>
      <c r="H13" s="2">
        <v>25</v>
      </c>
      <c r="I13" s="2">
        <f>Table1[[#This Row],[Quantity]]*Table1[[#This Row],[Price]]</f>
        <v>2000</v>
      </c>
      <c r="J13" s="2">
        <v>190</v>
      </c>
      <c r="K13" s="2">
        <v>29.64</v>
      </c>
      <c r="L13" s="2">
        <f>Table1[[#This Row],[Value]]+Table1[[#This Row],[Brokerage]]+Table1[[#This Row],[Taxes]]</f>
        <v>2219.64</v>
      </c>
      <c r="M13" t="str">
        <f>CONCATENATE(Table1[[#This Row],[Contract]]," ",Table1[[#This Row],[Strike Price]],IF(Table1[[#This Row],[Type]]="Put","PE","CE"))</f>
        <v>BANKNIFTY 23000CE</v>
      </c>
      <c r="N13" s="1">
        <v>42864</v>
      </c>
      <c r="O13">
        <v>80</v>
      </c>
      <c r="P13" s="2">
        <v>20</v>
      </c>
      <c r="Q13" s="2">
        <f>Table1[[#This Row],[Quantity2]]*Table1[[#This Row],[Price3]]</f>
        <v>1600</v>
      </c>
      <c r="R13" s="2">
        <v>100</v>
      </c>
      <c r="S13" s="2">
        <v>16.71</v>
      </c>
      <c r="T13" s="2">
        <f>Table1[[#This Row],[Value4]]-Table1[[#This Row],[Brokerage5]]-Table1[[#This Row],[Taxes6]]</f>
        <v>1483.29</v>
      </c>
      <c r="U13" s="2">
        <f>Table1[Value4]-Table1[Value]</f>
        <v>-400</v>
      </c>
      <c r="V13" s="7">
        <f>(Table1[[#This Row],[Value4]]-Table1[[#This Row],[Value]])/Table1[[#This Row],[Value]]</f>
        <v>-0.2</v>
      </c>
      <c r="W13" s="9" t="str">
        <f>TEXT(Table1[[#This Row],[Sell Date]],"mmm-yy")</f>
        <v>May-17</v>
      </c>
      <c r="X13" s="10" t="s">
        <v>45</v>
      </c>
      <c r="Y13" s="2" t="str">
        <f>TEXT(Table1[[#This Row],[Sell Date]],"ddd")</f>
        <v>Tue</v>
      </c>
      <c r="Z13" s="2" t="s">
        <v>92</v>
      </c>
    </row>
    <row r="14" spans="1:30" x14ac:dyDescent="0.25">
      <c r="A14" s="6">
        <v>10</v>
      </c>
      <c r="B14" s="1">
        <v>42865</v>
      </c>
      <c r="C14" t="s">
        <v>19</v>
      </c>
      <c r="D14">
        <v>22800</v>
      </c>
      <c r="E14" t="s">
        <v>20</v>
      </c>
      <c r="F14" s="1">
        <v>42866</v>
      </c>
      <c r="G14">
        <v>40</v>
      </c>
      <c r="H14" s="2">
        <v>68.900000000000006</v>
      </c>
      <c r="I14" s="2">
        <f>Table1[[#This Row],[Quantity]]*Table1[[#This Row],[Price]]</f>
        <v>2756</v>
      </c>
      <c r="J14" s="2">
        <v>50</v>
      </c>
      <c r="K14" s="2">
        <v>9.09</v>
      </c>
      <c r="L14" s="2">
        <f>Table1[[#This Row],[Value]]+Table1[[#This Row],[Brokerage]]+Table1[[#This Row],[Taxes]]</f>
        <v>2815.09</v>
      </c>
      <c r="M14" t="str">
        <f>CONCATENATE(Table1[[#This Row],[Contract]]," ",Table1[[#This Row],[Strike Price]],IF(Table1[[#This Row],[Type]]="Put","PE","CE"))</f>
        <v>BANKNIFTY 22800CE</v>
      </c>
      <c r="N14" s="1">
        <v>42865</v>
      </c>
      <c r="O14">
        <v>40</v>
      </c>
      <c r="P14" s="2">
        <v>99.45</v>
      </c>
      <c r="Q14" s="2">
        <f>Table1[[#This Row],[Quantity2]]*Table1[[#This Row],[Price3]]</f>
        <v>3978</v>
      </c>
      <c r="R14" s="2">
        <v>95</v>
      </c>
      <c r="S14" s="2">
        <v>18.54</v>
      </c>
      <c r="T14" s="2">
        <f>Table1[[#This Row],[Value4]]-Table1[[#This Row],[Brokerage5]]-Table1[[#This Row],[Taxes6]]</f>
        <v>3864.46</v>
      </c>
      <c r="U14" s="2">
        <f>Table1[Value4]-Table1[Value]</f>
        <v>1222</v>
      </c>
      <c r="V14" s="7">
        <f>(Table1[[#This Row],[Value4]]-Table1[[#This Row],[Value]])/Table1[[#This Row],[Value]]</f>
        <v>0.44339622641509435</v>
      </c>
      <c r="W14" s="9" t="str">
        <f>TEXT(Table1[[#This Row],[Sell Date]],"mmm-yy")</f>
        <v>May-17</v>
      </c>
      <c r="X14" s="10" t="s">
        <v>45</v>
      </c>
      <c r="Y14" s="2" t="str">
        <f>TEXT(Table1[[#This Row],[Sell Date]],"ddd")</f>
        <v>Wed</v>
      </c>
      <c r="Z14" s="2" t="s">
        <v>92</v>
      </c>
    </row>
    <row r="15" spans="1:30" x14ac:dyDescent="0.25">
      <c r="A15" s="6">
        <v>11</v>
      </c>
      <c r="B15" s="1">
        <v>42866</v>
      </c>
      <c r="C15" t="s">
        <v>19</v>
      </c>
      <c r="D15">
        <v>22900</v>
      </c>
      <c r="E15" t="s">
        <v>23</v>
      </c>
      <c r="F15" s="1">
        <v>42866</v>
      </c>
      <c r="G15">
        <v>80</v>
      </c>
      <c r="H15" s="2">
        <v>40</v>
      </c>
      <c r="I15" s="2">
        <f>Table1[[#This Row],[Quantity]]*Table1[[#This Row],[Price]]</f>
        <v>3200</v>
      </c>
      <c r="J15" s="2">
        <v>190</v>
      </c>
      <c r="K15" s="2">
        <v>30.34</v>
      </c>
      <c r="L15" s="2">
        <f>Table1[[#This Row],[Value]]+Table1[[#This Row],[Brokerage]]+Table1[[#This Row],[Taxes]]</f>
        <v>3420.34</v>
      </c>
      <c r="M15" t="str">
        <f>CONCATENATE(Table1[[#This Row],[Contract]]," ",Table1[[#This Row],[Strike Price]],IF(Table1[[#This Row],[Type]]="Put","PE","CE"))</f>
        <v>BANKNIFTY 22900PE</v>
      </c>
      <c r="N15" s="1">
        <v>42866</v>
      </c>
      <c r="O15">
        <v>80</v>
      </c>
      <c r="P15" s="2">
        <v>30</v>
      </c>
      <c r="Q15" s="2">
        <f>Table1[[#This Row],[Quantity2]]*Table1[[#This Row],[Price3]]</f>
        <v>2400</v>
      </c>
      <c r="R15" s="2">
        <v>100</v>
      </c>
      <c r="S15" s="2">
        <v>17.37</v>
      </c>
      <c r="T15" s="2">
        <f>Table1[[#This Row],[Value4]]-Table1[[#This Row],[Brokerage5]]-Table1[[#This Row],[Taxes6]]</f>
        <v>2282.63</v>
      </c>
      <c r="U15" s="2">
        <f>Table1[Value4]-Table1[Value]</f>
        <v>-800</v>
      </c>
      <c r="V15" s="7">
        <f>(Table1[[#This Row],[Value4]]-Table1[[#This Row],[Value]])/Table1[[#This Row],[Value]]</f>
        <v>-0.25</v>
      </c>
      <c r="W15" s="9" t="str">
        <f>TEXT(Table1[[#This Row],[Sell Date]],"mmm-yy")</f>
        <v>May-17</v>
      </c>
      <c r="X15" s="10" t="s">
        <v>45</v>
      </c>
      <c r="Y15" s="2" t="str">
        <f>TEXT(Table1[[#This Row],[Sell Date]],"ddd")</f>
        <v>Thu</v>
      </c>
      <c r="Z15" s="2" t="s">
        <v>92</v>
      </c>
    </row>
    <row r="16" spans="1:30" x14ac:dyDescent="0.25">
      <c r="A16" s="6">
        <v>12</v>
      </c>
      <c r="B16" s="1">
        <v>42870</v>
      </c>
      <c r="C16" t="s">
        <v>19</v>
      </c>
      <c r="D16">
        <v>22700</v>
      </c>
      <c r="E16" t="s">
        <v>23</v>
      </c>
      <c r="F16" s="1">
        <v>42873</v>
      </c>
      <c r="G16">
        <v>40</v>
      </c>
      <c r="H16" s="2">
        <v>70</v>
      </c>
      <c r="I16" s="2">
        <f>Table1[[#This Row],[Quantity]]*Table1[[#This Row],[Price]]</f>
        <v>2800</v>
      </c>
      <c r="J16" s="2">
        <v>50</v>
      </c>
      <c r="K16" s="2">
        <v>9.1199999999999992</v>
      </c>
      <c r="L16" s="2">
        <f>Table1[[#This Row],[Value]]+Table1[[#This Row],[Brokerage]]+Table1[[#This Row],[Taxes]]</f>
        <v>2859.12</v>
      </c>
      <c r="M16" t="str">
        <f>CONCATENATE(Table1[[#This Row],[Contract]]," ",Table1[[#This Row],[Strike Price]],IF(Table1[[#This Row],[Type]]="Put","PE","CE"))</f>
        <v>BANKNIFTY 22700PE</v>
      </c>
      <c r="N16" s="1">
        <v>42870</v>
      </c>
      <c r="O16">
        <v>40</v>
      </c>
      <c r="P16" s="2">
        <v>81.3</v>
      </c>
      <c r="Q16" s="2">
        <f>Table1[[#This Row],[Quantity2]]*Table1[[#This Row],[Price3]]</f>
        <v>3252</v>
      </c>
      <c r="R16" s="2">
        <v>95</v>
      </c>
      <c r="S16" s="2">
        <v>17.41</v>
      </c>
      <c r="T16" s="2">
        <f>Table1[[#This Row],[Value4]]-Table1[[#This Row],[Brokerage5]]-Table1[[#This Row],[Taxes6]]</f>
        <v>3139.59</v>
      </c>
      <c r="U16" s="2">
        <f>Table1[Value4]-Table1[Value]</f>
        <v>452</v>
      </c>
      <c r="V16" s="7">
        <f>(Table1[[#This Row],[Value4]]-Table1[[#This Row],[Value]])/Table1[[#This Row],[Value]]</f>
        <v>0.16142857142857142</v>
      </c>
      <c r="W16" s="9" t="str">
        <f>TEXT(Table1[[#This Row],[Sell Date]],"mmm-yy")</f>
        <v>May-17</v>
      </c>
      <c r="X16" s="10" t="s">
        <v>45</v>
      </c>
      <c r="Y16" s="2" t="str">
        <f>TEXT(Table1[[#This Row],[Sell Date]],"ddd")</f>
        <v>Mon</v>
      </c>
      <c r="Z16" s="2" t="s">
        <v>92</v>
      </c>
    </row>
    <row r="17" spans="1:26" x14ac:dyDescent="0.25">
      <c r="A17" s="6">
        <v>13</v>
      </c>
      <c r="B17" s="1">
        <v>42870</v>
      </c>
      <c r="C17" t="s">
        <v>19</v>
      </c>
      <c r="D17">
        <v>22800</v>
      </c>
      <c r="E17" t="s">
        <v>23</v>
      </c>
      <c r="F17" s="1">
        <v>42873</v>
      </c>
      <c r="G17">
        <v>40</v>
      </c>
      <c r="H17" s="2">
        <v>92</v>
      </c>
      <c r="I17" s="2">
        <f>Table1[[#This Row],[Quantity]]*Table1[[#This Row],[Price]]</f>
        <v>3680</v>
      </c>
      <c r="J17" s="2">
        <v>95</v>
      </c>
      <c r="K17" s="2">
        <v>16.36</v>
      </c>
      <c r="L17" s="2">
        <f>Table1[[#This Row],[Value]]+Table1[[#This Row],[Brokerage]]+Table1[[#This Row],[Taxes]]</f>
        <v>3791.36</v>
      </c>
      <c r="M17" t="str">
        <f>CONCATENATE(Table1[[#This Row],[Contract]]," ",Table1[[#This Row],[Strike Price]],IF(Table1[[#This Row],[Type]]="Put","PE","CE"))</f>
        <v>BANKNIFTY 22800PE</v>
      </c>
      <c r="N17" s="1">
        <v>42870</v>
      </c>
      <c r="O17">
        <v>40</v>
      </c>
      <c r="P17" s="2">
        <v>85</v>
      </c>
      <c r="Q17" s="2">
        <f>Table1[[#This Row],[Quantity2]]*Table1[[#This Row],[Price3]]</f>
        <v>3400</v>
      </c>
      <c r="R17" s="2">
        <v>50</v>
      </c>
      <c r="S17" s="2">
        <v>11.16</v>
      </c>
      <c r="T17" s="2">
        <f>Table1[[#This Row],[Value4]]-Table1[[#This Row],[Brokerage5]]-Table1[[#This Row],[Taxes6]]</f>
        <v>3338.84</v>
      </c>
      <c r="U17" s="2">
        <f>Table1[Value4]-Table1[Value]</f>
        <v>-280</v>
      </c>
      <c r="V17" s="7">
        <f>(Table1[[#This Row],[Value4]]-Table1[[#This Row],[Value]])/Table1[[#This Row],[Value]]</f>
        <v>-7.6086956521739135E-2</v>
      </c>
      <c r="W17" s="9" t="str">
        <f>TEXT(Table1[[#This Row],[Sell Date]],"mmm-yy")</f>
        <v>May-17</v>
      </c>
      <c r="X17" s="10" t="s">
        <v>45</v>
      </c>
      <c r="Y17" s="2" t="str">
        <f>TEXT(Table1[[#This Row],[Sell Date]],"ddd")</f>
        <v>Mon</v>
      </c>
      <c r="Z17" s="2" t="s">
        <v>92</v>
      </c>
    </row>
    <row r="18" spans="1:26" x14ac:dyDescent="0.25">
      <c r="A18" s="6">
        <v>14</v>
      </c>
      <c r="B18" s="1">
        <v>42870</v>
      </c>
      <c r="C18" t="s">
        <v>19</v>
      </c>
      <c r="D18">
        <v>22900</v>
      </c>
      <c r="E18" t="s">
        <v>20</v>
      </c>
      <c r="F18" s="1">
        <v>42873</v>
      </c>
      <c r="G18">
        <v>40</v>
      </c>
      <c r="H18" s="2">
        <v>58.15</v>
      </c>
      <c r="I18" s="2">
        <f>Table1[[#This Row],[Quantity]]*Table1[[#This Row],[Price]]</f>
        <v>2326</v>
      </c>
      <c r="J18" s="2">
        <v>95</v>
      </c>
      <c r="K18" s="2">
        <v>15.58</v>
      </c>
      <c r="L18" s="2">
        <f>Table1[[#This Row],[Value]]+Table1[[#This Row],[Brokerage]]+Table1[[#This Row],[Taxes]]</f>
        <v>2436.58</v>
      </c>
      <c r="M18" t="str">
        <f>CONCATENATE(Table1[[#This Row],[Contract]]," ",Table1[[#This Row],[Strike Price]],IF(Table1[[#This Row],[Type]]="Put","PE","CE"))</f>
        <v>BANKNIFTY 22900CE</v>
      </c>
      <c r="N18" s="1">
        <v>42870</v>
      </c>
      <c r="O18">
        <v>40</v>
      </c>
      <c r="P18" s="2">
        <v>51</v>
      </c>
      <c r="Q18" s="2">
        <f>Table1[[#This Row],[Quantity2]]*Table1[[#This Row],[Price3]]</f>
        <v>2040</v>
      </c>
      <c r="R18" s="2">
        <v>50</v>
      </c>
      <c r="S18" s="2">
        <v>9.69</v>
      </c>
      <c r="T18" s="2">
        <f>Table1[[#This Row],[Value4]]-Table1[[#This Row],[Brokerage5]]-Table1[[#This Row],[Taxes6]]</f>
        <v>1980.31</v>
      </c>
      <c r="U18" s="2">
        <f>Table1[Value4]-Table1[Value]</f>
        <v>-286</v>
      </c>
      <c r="V18" s="7">
        <f>(Table1[[#This Row],[Value4]]-Table1[[#This Row],[Value]])/Table1[[#This Row],[Value]]</f>
        <v>-0.12295786758383491</v>
      </c>
      <c r="W18" s="9" t="str">
        <f>TEXT(Table1[[#This Row],[Sell Date]],"mmm-yy")</f>
        <v>May-17</v>
      </c>
      <c r="X18" s="10" t="s">
        <v>45</v>
      </c>
      <c r="Y18" s="2" t="str">
        <f>TEXT(Table1[[#This Row],[Sell Date]],"ddd")</f>
        <v>Mon</v>
      </c>
      <c r="Z18" s="2" t="s">
        <v>92</v>
      </c>
    </row>
    <row r="19" spans="1:26" x14ac:dyDescent="0.25">
      <c r="A19" s="6">
        <v>15</v>
      </c>
      <c r="B19" s="1">
        <v>42871</v>
      </c>
      <c r="C19" t="s">
        <v>19</v>
      </c>
      <c r="D19">
        <v>23000</v>
      </c>
      <c r="E19" t="s">
        <v>20</v>
      </c>
      <c r="F19" s="1">
        <v>42873</v>
      </c>
      <c r="G19">
        <v>40</v>
      </c>
      <c r="H19" s="2">
        <v>31</v>
      </c>
      <c r="I19" s="2">
        <f>Table1[[#This Row],[Quantity]]*Table1[[#This Row],[Price]]</f>
        <v>1240</v>
      </c>
      <c r="J19" s="2">
        <v>50</v>
      </c>
      <c r="K19" s="2">
        <v>8.1999999999999993</v>
      </c>
      <c r="L19" s="2">
        <f>Table1[[#This Row],[Value]]+Table1[[#This Row],[Brokerage]]+Table1[[#This Row],[Taxes]]</f>
        <v>1298.2</v>
      </c>
      <c r="M19" t="str">
        <f>CONCATENATE(Table1[[#This Row],[Contract]]," ",Table1[[#This Row],[Strike Price]],IF(Table1[[#This Row],[Type]]="Put","PE","CE"))</f>
        <v>BANKNIFTY 23000CE</v>
      </c>
      <c r="N19" s="1">
        <v>42871</v>
      </c>
      <c r="O19">
        <v>40</v>
      </c>
      <c r="P19" s="2">
        <v>36.049999999999997</v>
      </c>
      <c r="Q19" s="2">
        <f>Table1[[#This Row],[Quantity2]]*Table1[[#This Row],[Price3]]</f>
        <v>1442</v>
      </c>
      <c r="R19" s="2">
        <v>95</v>
      </c>
      <c r="S19" s="2"/>
      <c r="T19" s="2">
        <f>Table1[[#This Row],[Value4]]-Table1[[#This Row],[Brokerage5]]-Table1[[#This Row],[Taxes6]]</f>
        <v>1347</v>
      </c>
      <c r="U19" s="2">
        <f>Table1[Value4]-Table1[Value]</f>
        <v>202</v>
      </c>
      <c r="V19" s="7">
        <f>(Table1[[#This Row],[Value4]]-Table1[[#This Row],[Value]])/Table1[[#This Row],[Value]]</f>
        <v>0.16290322580645161</v>
      </c>
      <c r="W19" s="9" t="str">
        <f>TEXT(Table1[[#This Row],[Sell Date]],"mmm-yy")</f>
        <v>May-17</v>
      </c>
      <c r="X19" s="10" t="s">
        <v>45</v>
      </c>
      <c r="Y19" s="2" t="str">
        <f>TEXT(Table1[[#This Row],[Sell Date]],"ddd")</f>
        <v>Tue</v>
      </c>
      <c r="Z19" s="2" t="s">
        <v>92</v>
      </c>
    </row>
    <row r="20" spans="1:26" x14ac:dyDescent="0.25">
      <c r="A20" s="6">
        <v>16</v>
      </c>
      <c r="B20" s="1">
        <v>42871</v>
      </c>
      <c r="C20" t="s">
        <v>19</v>
      </c>
      <c r="D20">
        <v>23000</v>
      </c>
      <c r="E20" t="s">
        <v>20</v>
      </c>
      <c r="F20" s="1">
        <v>42873</v>
      </c>
      <c r="G20">
        <v>40</v>
      </c>
      <c r="H20" s="2">
        <v>20</v>
      </c>
      <c r="I20" s="2">
        <f>Table1[[#This Row],[Quantity]]*Table1[[#This Row],[Price]]</f>
        <v>800</v>
      </c>
      <c r="J20" s="2">
        <v>50</v>
      </c>
      <c r="K20" s="2">
        <v>7.96</v>
      </c>
      <c r="L20" s="2">
        <f>Table1[[#This Row],[Value]]+Table1[[#This Row],[Brokerage]]+Table1[[#This Row],[Taxes]]</f>
        <v>857.96</v>
      </c>
      <c r="M20" t="str">
        <f>CONCATENATE(Table1[[#This Row],[Contract]]," ",Table1[[#This Row],[Strike Price]],IF(Table1[[#This Row],[Type]]="Put","PE","CE"))</f>
        <v>BANKNIFTY 23000CE</v>
      </c>
      <c r="N20" s="1">
        <v>42871</v>
      </c>
      <c r="O20">
        <v>40</v>
      </c>
      <c r="P20" s="2">
        <v>36.049999999999997</v>
      </c>
      <c r="Q20" s="2">
        <f>Table1[[#This Row],[Quantity2]]*Table1[[#This Row],[Price3]]</f>
        <v>1442</v>
      </c>
      <c r="R20" s="2">
        <v>95</v>
      </c>
      <c r="S20" s="2">
        <v>31.16</v>
      </c>
      <c r="T20" s="2">
        <f>Table1[[#This Row],[Value4]]-Table1[[#This Row],[Brokerage5]]-Table1[[#This Row],[Taxes6]]</f>
        <v>1315.84</v>
      </c>
      <c r="U20" s="2">
        <f>Table1[Value4]-Table1[Value]</f>
        <v>642</v>
      </c>
      <c r="V20" s="7">
        <f>(Table1[[#This Row],[Value4]]-Table1[[#This Row],[Value]])/Table1[[#This Row],[Value]]</f>
        <v>0.80249999999999999</v>
      </c>
      <c r="W20" s="9" t="str">
        <f>TEXT(Table1[[#This Row],[Sell Date]],"mmm-yy")</f>
        <v>May-17</v>
      </c>
      <c r="X20" s="10" t="s">
        <v>45</v>
      </c>
      <c r="Y20" s="2" t="str">
        <f>TEXT(Table1[[#This Row],[Sell Date]],"ddd")</f>
        <v>Tue</v>
      </c>
      <c r="Z20" s="2" t="s">
        <v>92</v>
      </c>
    </row>
    <row r="21" spans="1:26" x14ac:dyDescent="0.25">
      <c r="A21" s="6">
        <v>17</v>
      </c>
      <c r="B21" s="1">
        <v>42871</v>
      </c>
      <c r="C21" t="s">
        <v>28</v>
      </c>
      <c r="D21">
        <v>2500</v>
      </c>
      <c r="E21" t="s">
        <v>20</v>
      </c>
      <c r="F21" s="1">
        <v>42880</v>
      </c>
      <c r="G21">
        <v>250</v>
      </c>
      <c r="H21" s="2">
        <v>9</v>
      </c>
      <c r="I21" s="2">
        <f>Table1[[#This Row],[Quantity]]*Table1[[#This Row],[Price]]</f>
        <v>2250</v>
      </c>
      <c r="J21" s="2">
        <v>95</v>
      </c>
      <c r="K21" s="2">
        <v>15.54</v>
      </c>
      <c r="L21" s="2">
        <f>Table1[[#This Row],[Value]]+Table1[[#This Row],[Brokerage]]+Table1[[#This Row],[Taxes]]</f>
        <v>2360.54</v>
      </c>
      <c r="M21" t="str">
        <f>CONCATENATE(Table1[[#This Row],[Contract]]," ",Table1[[#This Row],[Strike Price]],IF(Table1[[#This Row],[Type]]="Put","PE","CE"))</f>
        <v>TCS 2500CE</v>
      </c>
      <c r="N21" s="1">
        <v>42872</v>
      </c>
      <c r="O21">
        <v>250</v>
      </c>
      <c r="P21" s="2">
        <v>10.4</v>
      </c>
      <c r="Q21" s="2">
        <f>Table1[[#This Row],[Quantity2]]*Table1[[#This Row],[Price3]]</f>
        <v>2600</v>
      </c>
      <c r="R21" s="2">
        <v>95</v>
      </c>
      <c r="S21" s="2">
        <v>17.05</v>
      </c>
      <c r="T21" s="2">
        <f>Table1[[#This Row],[Value4]]-Table1[[#This Row],[Brokerage5]]-Table1[[#This Row],[Taxes6]]</f>
        <v>2487.9499999999998</v>
      </c>
      <c r="U21" s="2">
        <f>Table1[Value4]-Table1[Value]</f>
        <v>350</v>
      </c>
      <c r="V21" s="7">
        <f>(Table1[[#This Row],[Value4]]-Table1[[#This Row],[Value]])/Table1[[#This Row],[Value]]</f>
        <v>0.15555555555555556</v>
      </c>
      <c r="W21" s="9" t="str">
        <f>TEXT(Table1[[#This Row],[Sell Date]],"mmm-yy")</f>
        <v>May-17</v>
      </c>
      <c r="X21" s="10" t="s">
        <v>45</v>
      </c>
      <c r="Y21" s="2" t="str">
        <f>TEXT(Table1[[#This Row],[Sell Date]],"ddd")</f>
        <v>Wed</v>
      </c>
      <c r="Z21" s="2" t="s">
        <v>93</v>
      </c>
    </row>
    <row r="22" spans="1:26" x14ac:dyDescent="0.25">
      <c r="A22" s="6">
        <v>18</v>
      </c>
      <c r="B22" s="1">
        <v>42872</v>
      </c>
      <c r="C22" t="s">
        <v>19</v>
      </c>
      <c r="D22">
        <v>23100</v>
      </c>
      <c r="E22" t="s">
        <v>20</v>
      </c>
      <c r="F22" s="1">
        <v>42873</v>
      </c>
      <c r="G22">
        <v>40</v>
      </c>
      <c r="H22" s="2">
        <v>16</v>
      </c>
      <c r="I22" s="2">
        <f>Table1[[#This Row],[Quantity]]*Table1[[#This Row],[Price]]</f>
        <v>640</v>
      </c>
      <c r="J22" s="2">
        <v>95</v>
      </c>
      <c r="K22" s="2">
        <v>14.61</v>
      </c>
      <c r="L22" s="2">
        <f>Table1[[#This Row],[Value]]+Table1[[#This Row],[Brokerage]]+Table1[[#This Row],[Taxes]]</f>
        <v>749.61</v>
      </c>
      <c r="M22" t="str">
        <f>CONCATENATE(Table1[[#This Row],[Contract]]," ",Table1[[#This Row],[Strike Price]],IF(Table1[[#This Row],[Type]]="Put","PE","CE"))</f>
        <v>BANKNIFTY 23100CE</v>
      </c>
      <c r="N22" s="1">
        <v>42872</v>
      </c>
      <c r="O22">
        <v>40</v>
      </c>
      <c r="P22" s="2">
        <v>11</v>
      </c>
      <c r="Q22" s="2">
        <f>Table1[[#This Row],[Quantity2]]*Table1[[#This Row],[Price3]]</f>
        <v>440</v>
      </c>
      <c r="R22" s="2">
        <v>50</v>
      </c>
      <c r="S22" s="2">
        <v>8.4499999999999993</v>
      </c>
      <c r="T22" s="2">
        <f>Table1[[#This Row],[Value4]]-Table1[[#This Row],[Brokerage5]]-Table1[[#This Row],[Taxes6]]</f>
        <v>381.55</v>
      </c>
      <c r="U22" s="2">
        <f>Table1[Value4]-Table1[Value]</f>
        <v>-200</v>
      </c>
      <c r="V22" s="7">
        <f>(Table1[[#This Row],[Value4]]-Table1[[#This Row],[Value]])/Table1[[#This Row],[Value]]</f>
        <v>-0.3125</v>
      </c>
      <c r="W22" s="9" t="str">
        <f>TEXT(Table1[[#This Row],[Sell Date]],"mmm-yy")</f>
        <v>May-17</v>
      </c>
      <c r="X22" s="10" t="s">
        <v>45</v>
      </c>
      <c r="Y22" s="2" t="str">
        <f>TEXT(Table1[[#This Row],[Sell Date]],"ddd")</f>
        <v>Wed</v>
      </c>
      <c r="Z22" s="2" t="s">
        <v>92</v>
      </c>
    </row>
    <row r="23" spans="1:26" x14ac:dyDescent="0.25">
      <c r="A23" s="6">
        <v>19</v>
      </c>
      <c r="B23" s="1">
        <v>42873</v>
      </c>
      <c r="C23" t="s">
        <v>19</v>
      </c>
      <c r="D23">
        <v>22800</v>
      </c>
      <c r="E23" t="s">
        <v>20</v>
      </c>
      <c r="F23" s="1">
        <v>42873</v>
      </c>
      <c r="G23">
        <v>80</v>
      </c>
      <c r="H23" s="2">
        <v>32</v>
      </c>
      <c r="I23" s="2">
        <f>Table1[[#This Row],[Quantity]]*Table1[[#This Row],[Price]]</f>
        <v>2560</v>
      </c>
      <c r="J23" s="2">
        <v>190</v>
      </c>
      <c r="K23" s="2">
        <v>29.97</v>
      </c>
      <c r="L23" s="2">
        <f>Table1[[#This Row],[Value]]+Table1[[#This Row],[Brokerage]]+Table1[[#This Row],[Taxes]]</f>
        <v>2779.97</v>
      </c>
      <c r="M23" t="str">
        <f>CONCATENATE(Table1[[#This Row],[Contract]]," ",Table1[[#This Row],[Strike Price]],IF(Table1[[#This Row],[Type]]="Put","PE","CE"))</f>
        <v>BANKNIFTY 22800CE</v>
      </c>
      <c r="N23" s="1">
        <v>42873</v>
      </c>
      <c r="O23">
        <v>80</v>
      </c>
      <c r="P23" s="2">
        <v>6.45</v>
      </c>
      <c r="Q23" s="2">
        <f>Table1[[#This Row],[Quantity2]]*Table1[[#This Row],[Price3]]</f>
        <v>516</v>
      </c>
      <c r="R23" s="2">
        <v>100</v>
      </c>
      <c r="S23" s="2">
        <v>15.81</v>
      </c>
      <c r="T23" s="2">
        <f>Table1[[#This Row],[Value4]]-Table1[[#This Row],[Brokerage5]]-Table1[[#This Row],[Taxes6]]</f>
        <v>400.19</v>
      </c>
      <c r="U23" s="2">
        <f>Table1[Value4]-Table1[Value]</f>
        <v>-2044</v>
      </c>
      <c r="V23" s="7">
        <f>(Table1[[#This Row],[Value4]]-Table1[[#This Row],[Value]])/Table1[[#This Row],[Value]]</f>
        <v>-0.79843750000000002</v>
      </c>
      <c r="W23" s="9" t="str">
        <f>TEXT(Table1[[#This Row],[Sell Date]],"mmm-yy")</f>
        <v>May-17</v>
      </c>
      <c r="X23" s="10" t="s">
        <v>45</v>
      </c>
      <c r="Y23" s="2" t="str">
        <f>TEXT(Table1[[#This Row],[Sell Date]],"ddd")</f>
        <v>Thu</v>
      </c>
      <c r="Z23" s="2" t="s">
        <v>92</v>
      </c>
    </row>
    <row r="24" spans="1:26" x14ac:dyDescent="0.25">
      <c r="A24" s="6">
        <v>20</v>
      </c>
      <c r="B24" s="1">
        <v>42873</v>
      </c>
      <c r="C24" t="s">
        <v>29</v>
      </c>
      <c r="D24">
        <v>160</v>
      </c>
      <c r="E24" t="s">
        <v>23</v>
      </c>
      <c r="F24" s="1">
        <v>42880</v>
      </c>
      <c r="G24">
        <v>3200</v>
      </c>
      <c r="H24" s="2">
        <v>1.05</v>
      </c>
      <c r="I24" s="2">
        <f>Table1[[#This Row],[Quantity]]*Table1[[#This Row],[Price]]</f>
        <v>3360</v>
      </c>
      <c r="J24" s="2">
        <v>50</v>
      </c>
      <c r="K24" s="2">
        <v>9.43</v>
      </c>
      <c r="L24" s="2">
        <f>Table1[[#This Row],[Value]]+Table1[[#This Row],[Brokerage]]+Table1[[#This Row],[Taxes]]</f>
        <v>3419.43</v>
      </c>
      <c r="M24" t="str">
        <f>CONCATENATE(Table1[[#This Row],[Contract]]," ",Table1[[#This Row],[Strike Price]],IF(Table1[[#This Row],[Type]]="Put","PE","CE"))</f>
        <v>EQUITAS 160PE</v>
      </c>
      <c r="N24" s="1">
        <v>42873</v>
      </c>
      <c r="O24">
        <v>3200</v>
      </c>
      <c r="P24" s="2">
        <v>1.55</v>
      </c>
      <c r="Q24" s="2">
        <f>Table1[[#This Row],[Quantity2]]*Table1[[#This Row],[Price3]]</f>
        <v>4960</v>
      </c>
      <c r="R24" s="2">
        <v>95</v>
      </c>
      <c r="S24" s="2">
        <v>19.579999999999998</v>
      </c>
      <c r="T24" s="2">
        <f>Table1[[#This Row],[Value4]]-Table1[[#This Row],[Brokerage5]]-Table1[[#This Row],[Taxes6]]</f>
        <v>4845.42</v>
      </c>
      <c r="U24" s="2">
        <f>Table1[Value4]-Table1[Value]</f>
        <v>1600</v>
      </c>
      <c r="V24" s="7">
        <f>(Table1[[#This Row],[Value4]]-Table1[[#This Row],[Value]])/Table1[[#This Row],[Value]]</f>
        <v>0.47619047619047616</v>
      </c>
      <c r="W24" s="9" t="str">
        <f>TEXT(Table1[[#This Row],[Sell Date]],"mmm-yy")</f>
        <v>May-17</v>
      </c>
      <c r="X24" s="10" t="s">
        <v>45</v>
      </c>
      <c r="Y24" s="2" t="str">
        <f>TEXT(Table1[[#This Row],[Sell Date]],"ddd")</f>
        <v>Thu</v>
      </c>
      <c r="Z24" s="2" t="s">
        <v>92</v>
      </c>
    </row>
    <row r="25" spans="1:26" x14ac:dyDescent="0.25">
      <c r="A25" s="6">
        <v>21</v>
      </c>
      <c r="B25" s="1">
        <v>42874</v>
      </c>
      <c r="C25" t="s">
        <v>31</v>
      </c>
      <c r="D25">
        <v>680</v>
      </c>
      <c r="E25" t="s">
        <v>20</v>
      </c>
      <c r="F25" s="1">
        <v>42880</v>
      </c>
      <c r="G25">
        <v>1400</v>
      </c>
      <c r="H25" s="2">
        <v>3</v>
      </c>
      <c r="I25" s="2">
        <f>Table1[[#This Row],[Quantity]]*Table1[[#This Row],[Price]]</f>
        <v>4200</v>
      </c>
      <c r="J25" s="2">
        <v>190</v>
      </c>
      <c r="K25" s="2">
        <v>30.9</v>
      </c>
      <c r="L25" s="2">
        <f>Table1[[#This Row],[Value]]+Table1[[#This Row],[Brokerage]]+Table1[[#This Row],[Taxes]]</f>
        <v>4420.8999999999996</v>
      </c>
      <c r="M25" t="str">
        <f>CONCATENATE(Table1[[#This Row],[Contract]]," ",Table1[[#This Row],[Strike Price]],IF(Table1[[#This Row],[Type]]="Put","PE","CE"))</f>
        <v>SUNPHARMA 680CE</v>
      </c>
      <c r="N25" s="1">
        <v>42880</v>
      </c>
      <c r="O25">
        <v>1400</v>
      </c>
      <c r="P25" s="2">
        <v>0</v>
      </c>
      <c r="Q25" s="2">
        <f>Table1[[#This Row],[Quantity2]]*Table1[[#This Row],[Price3]]</f>
        <v>0</v>
      </c>
      <c r="R25" s="2">
        <v>0</v>
      </c>
      <c r="S25" s="2">
        <v>0</v>
      </c>
      <c r="T25" s="2">
        <f>Table1[[#This Row],[Value4]]-Table1[[#This Row],[Brokerage5]]-Table1[[#This Row],[Taxes6]]</f>
        <v>0</v>
      </c>
      <c r="U25" s="2">
        <f>Table1[Value4]-Table1[Value]</f>
        <v>-4200</v>
      </c>
      <c r="V25" s="7">
        <f>(Table1[[#This Row],[Value4]]-Table1[[#This Row],[Value]])/Table1[[#This Row],[Value]]</f>
        <v>-1</v>
      </c>
      <c r="W25" s="9" t="str">
        <f>TEXT(Table1[[#This Row],[Sell Date]],"mmm-yy")</f>
        <v>May-17</v>
      </c>
      <c r="X25" s="10" t="s">
        <v>45</v>
      </c>
      <c r="Y25" s="2" t="str">
        <f>TEXT(Table1[[#This Row],[Sell Date]],"ddd")</f>
        <v>Thu</v>
      </c>
      <c r="Z25" s="2" t="s">
        <v>92</v>
      </c>
    </row>
    <row r="26" spans="1:26" x14ac:dyDescent="0.25">
      <c r="A26" s="6">
        <v>22</v>
      </c>
      <c r="B26" s="1">
        <v>42874</v>
      </c>
      <c r="C26" t="s">
        <v>19</v>
      </c>
      <c r="D26">
        <v>22800</v>
      </c>
      <c r="E26" t="s">
        <v>23</v>
      </c>
      <c r="F26" s="1">
        <v>42880</v>
      </c>
      <c r="G26">
        <v>40</v>
      </c>
      <c r="H26" s="2">
        <v>104.45</v>
      </c>
      <c r="I26" s="2">
        <f>Table1[[#This Row],[Quantity]]*Table1[[#This Row],[Price]]</f>
        <v>4178</v>
      </c>
      <c r="J26" s="2">
        <v>50</v>
      </c>
      <c r="K26" s="2">
        <v>9.9</v>
      </c>
      <c r="L26" s="2">
        <f>Table1[[#This Row],[Value]]+Table1[[#This Row],[Brokerage]]+Table1[[#This Row],[Taxes]]</f>
        <v>4237.8999999999996</v>
      </c>
      <c r="M26" t="str">
        <f>CONCATENATE(Table1[[#This Row],[Contract]]," ",Table1[[#This Row],[Strike Price]],IF(Table1[[#This Row],[Type]]="Put","PE","CE"))</f>
        <v>BANKNIFTY 22800PE</v>
      </c>
      <c r="N26" s="1">
        <v>42874</v>
      </c>
      <c r="O26">
        <v>40</v>
      </c>
      <c r="P26" s="2">
        <v>125.9</v>
      </c>
      <c r="Q26" s="2">
        <f>Table1[[#This Row],[Quantity2]]*Table1[[#This Row],[Price3]]</f>
        <v>5036</v>
      </c>
      <c r="R26" s="2">
        <v>95</v>
      </c>
      <c r="S26" s="2">
        <v>20.14</v>
      </c>
      <c r="T26" s="2">
        <f>Table1[[#This Row],[Value4]]-Table1[[#This Row],[Brokerage5]]-Table1[[#This Row],[Taxes6]]</f>
        <v>4920.8599999999997</v>
      </c>
      <c r="U26" s="2">
        <f>Table1[Value4]-Table1[Value]</f>
        <v>858</v>
      </c>
      <c r="V26" s="7">
        <f>(Table1[[#This Row],[Value4]]-Table1[[#This Row],[Value]])/Table1[[#This Row],[Value]]</f>
        <v>0.20536141694590712</v>
      </c>
      <c r="W26" s="9" t="str">
        <f>TEXT(Table1[[#This Row],[Sell Date]],"mmm-yy")</f>
        <v>May-17</v>
      </c>
      <c r="X26" s="10" t="s">
        <v>45</v>
      </c>
      <c r="Y26" s="2" t="str">
        <f>TEXT(Table1[[#This Row],[Sell Date]],"ddd")</f>
        <v>Fri</v>
      </c>
      <c r="Z26" s="2" t="s">
        <v>92</v>
      </c>
    </row>
    <row r="27" spans="1:26" x14ac:dyDescent="0.25">
      <c r="A27" s="6">
        <v>23</v>
      </c>
      <c r="B27" s="1">
        <v>42874</v>
      </c>
      <c r="C27" t="s">
        <v>28</v>
      </c>
      <c r="D27">
        <v>2550</v>
      </c>
      <c r="E27" t="s">
        <v>20</v>
      </c>
      <c r="F27" s="1">
        <v>42880</v>
      </c>
      <c r="G27">
        <v>250</v>
      </c>
      <c r="H27" s="2">
        <v>12</v>
      </c>
      <c r="I27" s="2">
        <f>Table1[[#This Row],[Quantity]]*Table1[[#This Row],[Price]]</f>
        <v>3000</v>
      </c>
      <c r="J27" s="2">
        <v>95</v>
      </c>
      <c r="K27" s="2">
        <v>15.98</v>
      </c>
      <c r="L27" s="2">
        <f>Table1[[#This Row],[Value]]+Table1[[#This Row],[Brokerage]]+Table1[[#This Row],[Taxes]]</f>
        <v>3110.98</v>
      </c>
      <c r="M27" t="str">
        <f>CONCATENATE(Table1[[#This Row],[Contract]]," ",Table1[[#This Row],[Strike Price]],IF(Table1[[#This Row],[Type]]="Put","PE","CE"))</f>
        <v>TCS 2550CE</v>
      </c>
      <c r="N27" s="1">
        <v>42877</v>
      </c>
      <c r="O27">
        <v>250</v>
      </c>
      <c r="P27" s="2">
        <v>22</v>
      </c>
      <c r="Q27" s="2">
        <f>Table1[[#This Row],[Quantity2]]*Table1[[#This Row],[Price3]]</f>
        <v>5500</v>
      </c>
      <c r="R27" s="2">
        <v>95</v>
      </c>
      <c r="S27" s="2">
        <v>20.16</v>
      </c>
      <c r="T27" s="2">
        <f>Table1[[#This Row],[Value4]]-Table1[[#This Row],[Brokerage5]]-Table1[[#This Row],[Taxes6]]</f>
        <v>5384.84</v>
      </c>
      <c r="U27" s="2">
        <f>Table1[Value4]-Table1[Value]</f>
        <v>2500</v>
      </c>
      <c r="V27" s="7">
        <f>(Table1[[#This Row],[Value4]]-Table1[[#This Row],[Value]])/Table1[[#This Row],[Value]]</f>
        <v>0.83333333333333337</v>
      </c>
      <c r="W27" s="9" t="str">
        <f>TEXT(Table1[[#This Row],[Sell Date]],"mmm-yy")</f>
        <v>May-17</v>
      </c>
      <c r="X27" s="10" t="s">
        <v>45</v>
      </c>
      <c r="Y27" s="2" t="str">
        <f>TEXT(Table1[[#This Row],[Sell Date]],"ddd")</f>
        <v>Mon</v>
      </c>
      <c r="Z27" s="2" t="s">
        <v>93</v>
      </c>
    </row>
    <row r="28" spans="1:26" x14ac:dyDescent="0.25">
      <c r="A28" s="6">
        <v>24</v>
      </c>
      <c r="B28" s="1">
        <v>42877</v>
      </c>
      <c r="C28" t="s">
        <v>32</v>
      </c>
      <c r="D28">
        <v>510</v>
      </c>
      <c r="E28" t="s">
        <v>20</v>
      </c>
      <c r="F28" s="1">
        <v>42880</v>
      </c>
      <c r="G28">
        <v>1200</v>
      </c>
      <c r="H28" s="2">
        <v>4</v>
      </c>
      <c r="I28" s="2">
        <f>Table1[[#This Row],[Quantity]]*Table1[[#This Row],[Price]]</f>
        <v>4800</v>
      </c>
      <c r="J28" s="2">
        <v>95</v>
      </c>
      <c r="K28" s="2">
        <v>17.010000000000002</v>
      </c>
      <c r="L28" s="2">
        <f>Table1[[#This Row],[Value]]+Table1[[#This Row],[Brokerage]]+Table1[[#This Row],[Taxes]]</f>
        <v>4912.01</v>
      </c>
      <c r="M28" t="str">
        <f>CONCATENATE(Table1[[#This Row],[Contract]]," ",Table1[[#This Row],[Strike Price]],IF(Table1[[#This Row],[Type]]="Put","PE","CE"))</f>
        <v>AXISBANK 510CE</v>
      </c>
      <c r="N28" s="1">
        <v>42877</v>
      </c>
      <c r="O28">
        <v>1200</v>
      </c>
      <c r="P28" s="2">
        <v>3.75</v>
      </c>
      <c r="Q28" s="2">
        <f>Table1[[#This Row],[Quantity2]]*Table1[[#This Row],[Price3]]</f>
        <v>4500</v>
      </c>
      <c r="R28" s="2">
        <v>50</v>
      </c>
      <c r="S28" s="2">
        <v>12.33</v>
      </c>
      <c r="T28" s="2">
        <f>Table1[[#This Row],[Value4]]-Table1[[#This Row],[Brokerage5]]-Table1[[#This Row],[Taxes6]]</f>
        <v>4437.67</v>
      </c>
      <c r="U28" s="2">
        <f>Table1[Value4]-Table1[Value]</f>
        <v>-300</v>
      </c>
      <c r="V28" s="7">
        <f>(Table1[[#This Row],[Value4]]-Table1[[#This Row],[Value]])/Table1[[#This Row],[Value]]</f>
        <v>-6.25E-2</v>
      </c>
      <c r="W28" s="9" t="str">
        <f>TEXT(Table1[[#This Row],[Sell Date]],"mmm-yy")</f>
        <v>May-17</v>
      </c>
      <c r="X28" s="10" t="s">
        <v>45</v>
      </c>
      <c r="Y28" s="2" t="str">
        <f>TEXT(Table1[[#This Row],[Sell Date]],"ddd")</f>
        <v>Mon</v>
      </c>
      <c r="Z28" s="2" t="s">
        <v>92</v>
      </c>
    </row>
    <row r="29" spans="1:26" x14ac:dyDescent="0.25">
      <c r="A29" s="6">
        <v>25</v>
      </c>
      <c r="B29" s="1">
        <v>42877</v>
      </c>
      <c r="C29" t="s">
        <v>19</v>
      </c>
      <c r="D29">
        <v>22900</v>
      </c>
      <c r="E29" t="s">
        <v>20</v>
      </c>
      <c r="F29" s="1">
        <v>42880</v>
      </c>
      <c r="G29">
        <v>40</v>
      </c>
      <c r="H29" s="2">
        <v>85</v>
      </c>
      <c r="I29" s="2">
        <f>Table1[[#This Row],[Quantity]]*Table1[[#This Row],[Price]]</f>
        <v>3400</v>
      </c>
      <c r="J29" s="2">
        <v>95</v>
      </c>
      <c r="K29" s="2">
        <v>16.21</v>
      </c>
      <c r="L29" s="2">
        <f>Table1[[#This Row],[Value]]+Table1[[#This Row],[Brokerage]]+Table1[[#This Row],[Taxes]]</f>
        <v>3511.21</v>
      </c>
      <c r="M29" t="str">
        <f>CONCATENATE(Table1[[#This Row],[Contract]]," ",Table1[[#This Row],[Strike Price]],IF(Table1[[#This Row],[Type]]="Put","PE","CE"))</f>
        <v>BANKNIFTY 22900CE</v>
      </c>
      <c r="N29" s="1">
        <v>42880</v>
      </c>
      <c r="O29">
        <v>40</v>
      </c>
      <c r="P29" s="2">
        <v>2.85</v>
      </c>
      <c r="Q29" s="2">
        <f>Table1[[#This Row],[Quantity2]]*Table1[[#This Row],[Price3]]</f>
        <v>114</v>
      </c>
      <c r="R29" s="2">
        <v>95</v>
      </c>
      <c r="S29" s="2"/>
      <c r="T29" s="2">
        <f>Table1[[#This Row],[Value4]]-Table1[[#This Row],[Brokerage5]]-Table1[[#This Row],[Taxes6]]</f>
        <v>19</v>
      </c>
      <c r="U29" s="2">
        <f>Table1[Value4]-Table1[Value]</f>
        <v>-3286</v>
      </c>
      <c r="V29" s="7">
        <f>(Table1[[#This Row],[Value4]]-Table1[[#This Row],[Value]])/Table1[[#This Row],[Value]]</f>
        <v>-0.96647058823529408</v>
      </c>
      <c r="W29" s="9" t="str">
        <f>TEXT(Table1[[#This Row],[Sell Date]],"mmm-yy")</f>
        <v>May-17</v>
      </c>
      <c r="X29" s="10" t="s">
        <v>45</v>
      </c>
      <c r="Y29" s="2" t="str">
        <f>TEXT(Table1[[#This Row],[Sell Date]],"ddd")</f>
        <v>Thu</v>
      </c>
      <c r="Z29" s="2" t="s">
        <v>92</v>
      </c>
    </row>
    <row r="30" spans="1:26" x14ac:dyDescent="0.25">
      <c r="A30" s="6">
        <v>26</v>
      </c>
      <c r="B30" s="1">
        <v>42877</v>
      </c>
      <c r="C30" t="s">
        <v>19</v>
      </c>
      <c r="D30">
        <v>22900</v>
      </c>
      <c r="E30" t="s">
        <v>20</v>
      </c>
      <c r="F30" s="1">
        <v>42880</v>
      </c>
      <c r="G30">
        <v>40</v>
      </c>
      <c r="H30" s="2">
        <v>70</v>
      </c>
      <c r="I30" s="2">
        <f>Table1[[#This Row],[Quantity]]*Table1[[#This Row],[Price]]</f>
        <v>2800</v>
      </c>
      <c r="J30" s="2">
        <v>95</v>
      </c>
      <c r="K30" s="2">
        <v>15.87</v>
      </c>
      <c r="L30" s="2">
        <f>Table1[[#This Row],[Value]]+Table1[[#This Row],[Brokerage]]+Table1[[#This Row],[Taxes]]</f>
        <v>2910.87</v>
      </c>
      <c r="M30" t="str">
        <f>CONCATENATE(Table1[[#This Row],[Contract]]," ",Table1[[#This Row],[Strike Price]],IF(Table1[[#This Row],[Type]]="Put","PE","CE"))</f>
        <v>BANKNIFTY 22900CE</v>
      </c>
      <c r="N30" s="1">
        <v>42880</v>
      </c>
      <c r="O30">
        <v>40</v>
      </c>
      <c r="P30" s="2">
        <v>2.85</v>
      </c>
      <c r="Q30" s="2">
        <f>Table1[[#This Row],[Quantity2]]*Table1[[#This Row],[Price3]]</f>
        <v>114</v>
      </c>
      <c r="R30" s="2">
        <v>95</v>
      </c>
      <c r="S30" s="2"/>
      <c r="T30" s="2">
        <f>Table1[[#This Row],[Value4]]-Table1[[#This Row],[Brokerage5]]-Table1[[#This Row],[Taxes6]]</f>
        <v>19</v>
      </c>
      <c r="U30" s="2">
        <f>Table1[Value4]-Table1[Value]</f>
        <v>-2686</v>
      </c>
      <c r="V30" s="7">
        <f>(Table1[[#This Row],[Value4]]-Table1[[#This Row],[Value]])/Table1[[#This Row],[Value]]</f>
        <v>-0.9592857142857143</v>
      </c>
      <c r="W30" s="9" t="str">
        <f>TEXT(Table1[[#This Row],[Sell Date]],"mmm-yy")</f>
        <v>May-17</v>
      </c>
      <c r="X30" s="10" t="s">
        <v>45</v>
      </c>
      <c r="Y30" s="2" t="str">
        <f>TEXT(Table1[[#This Row],[Sell Date]],"ddd")</f>
        <v>Thu</v>
      </c>
      <c r="Z30" s="2" t="s">
        <v>92</v>
      </c>
    </row>
    <row r="31" spans="1:26" x14ac:dyDescent="0.25">
      <c r="A31" s="6">
        <v>27</v>
      </c>
      <c r="B31" s="1">
        <v>42877</v>
      </c>
      <c r="C31" t="s">
        <v>19</v>
      </c>
      <c r="D31">
        <v>22900</v>
      </c>
      <c r="E31" t="s">
        <v>20</v>
      </c>
      <c r="F31" s="1">
        <v>42880</v>
      </c>
      <c r="G31">
        <v>40</v>
      </c>
      <c r="H31" s="2">
        <v>55</v>
      </c>
      <c r="I31" s="2">
        <f>Table1[[#This Row],[Quantity]]*Table1[[#This Row],[Price]]</f>
        <v>2200</v>
      </c>
      <c r="J31" s="2">
        <v>95</v>
      </c>
      <c r="K31" s="2">
        <v>15.5</v>
      </c>
      <c r="L31" s="2">
        <f>Table1[[#This Row],[Value]]+Table1[[#This Row],[Brokerage]]+Table1[[#This Row],[Taxes]]</f>
        <v>2310.5</v>
      </c>
      <c r="M31" t="str">
        <f>CONCATENATE(Table1[[#This Row],[Contract]]," ",Table1[[#This Row],[Strike Price]],IF(Table1[[#This Row],[Type]]="Put","PE","CE"))</f>
        <v>BANKNIFTY 22900CE</v>
      </c>
      <c r="N31" s="1">
        <v>42880</v>
      </c>
      <c r="O31">
        <v>40</v>
      </c>
      <c r="P31" s="2">
        <v>2.85</v>
      </c>
      <c r="Q31" s="2">
        <f>Table1[[#This Row],[Quantity2]]*Table1[[#This Row],[Price3]]</f>
        <v>114</v>
      </c>
      <c r="R31" s="2">
        <v>95</v>
      </c>
      <c r="S31" s="2"/>
      <c r="T31" s="2">
        <f>Table1[[#This Row],[Value4]]-Table1[[#This Row],[Brokerage5]]-Table1[[#This Row],[Taxes6]]</f>
        <v>19</v>
      </c>
      <c r="U31" s="2">
        <f>Table1[Value4]-Table1[Value]</f>
        <v>-2086</v>
      </c>
      <c r="V31" s="7">
        <f>(Table1[[#This Row],[Value4]]-Table1[[#This Row],[Value]])/Table1[[#This Row],[Value]]</f>
        <v>-0.94818181818181824</v>
      </c>
      <c r="W31" s="9" t="str">
        <f>TEXT(Table1[[#This Row],[Sell Date]],"mmm-yy")</f>
        <v>May-17</v>
      </c>
      <c r="X31" s="10" t="s">
        <v>45</v>
      </c>
      <c r="Y31" s="2" t="str">
        <f>TEXT(Table1[[#This Row],[Sell Date]],"ddd")</f>
        <v>Thu</v>
      </c>
      <c r="Z31" s="2" t="s">
        <v>92</v>
      </c>
    </row>
    <row r="32" spans="1:26" x14ac:dyDescent="0.25">
      <c r="A32" s="6">
        <v>28</v>
      </c>
      <c r="B32" s="1">
        <v>42878</v>
      </c>
      <c r="C32" t="s">
        <v>28</v>
      </c>
      <c r="D32">
        <v>2500</v>
      </c>
      <c r="E32" t="s">
        <v>23</v>
      </c>
      <c r="F32" s="1">
        <v>42880</v>
      </c>
      <c r="G32">
        <v>500</v>
      </c>
      <c r="H32" s="2">
        <v>4.5</v>
      </c>
      <c r="I32" s="2">
        <f>Table1[[#This Row],[Quantity]]*Table1[[#This Row],[Price]]</f>
        <v>2250</v>
      </c>
      <c r="J32" s="2">
        <v>190</v>
      </c>
      <c r="K32" s="2"/>
      <c r="L32" s="2">
        <f>Table1[[#This Row],[Value]]+Table1[[#This Row],[Brokerage]]+Table1[[#This Row],[Taxes]]</f>
        <v>2440</v>
      </c>
      <c r="M32" s="6" t="str">
        <f>CONCATENATE(Table1[[#This Row],[Contract]]," ",Table1[[#This Row],[Strike Price]],IF(Table1[[#This Row],[Type]]="Put","PE","CE"))</f>
        <v>TCS 2500PE</v>
      </c>
      <c r="N32" s="1">
        <v>42878</v>
      </c>
      <c r="O32">
        <v>500</v>
      </c>
      <c r="P32" s="2">
        <v>5.4</v>
      </c>
      <c r="Q32" s="2">
        <f>Table1[[#This Row],[Quantity2]]*Table1[[#This Row],[Price3]]</f>
        <v>2700</v>
      </c>
      <c r="R32" s="2">
        <v>100</v>
      </c>
      <c r="S32" s="2"/>
      <c r="T32" s="2">
        <f>Table1[[#This Row],[Value4]]-Table1[[#This Row],[Brokerage5]]-Table1[[#This Row],[Taxes6]]</f>
        <v>2600</v>
      </c>
      <c r="U32" s="2">
        <f>Table1[Value4]-Table1[Value]</f>
        <v>450</v>
      </c>
      <c r="V32" s="7">
        <f>(Table1[[#This Row],[Value4]]-Table1[[#This Row],[Value]])/Table1[[#This Row],[Value]]</f>
        <v>0.2</v>
      </c>
      <c r="W32" s="9" t="str">
        <f>TEXT(Table1[[#This Row],[Sell Date]],"mmm-yy")</f>
        <v>May-17</v>
      </c>
      <c r="X32" s="10" t="s">
        <v>45</v>
      </c>
      <c r="Y32" s="2" t="str">
        <f>TEXT(Table1[[#This Row],[Sell Date]],"ddd")</f>
        <v>Tue</v>
      </c>
      <c r="Z32" s="2" t="s">
        <v>93</v>
      </c>
    </row>
    <row r="33" spans="1:26" x14ac:dyDescent="0.25">
      <c r="A33" s="6">
        <v>29</v>
      </c>
      <c r="B33" s="1">
        <v>42878</v>
      </c>
      <c r="C33" t="s">
        <v>28</v>
      </c>
      <c r="D33">
        <v>2550</v>
      </c>
      <c r="E33" t="s">
        <v>20</v>
      </c>
      <c r="F33" s="1">
        <v>42880</v>
      </c>
      <c r="G33">
        <v>250</v>
      </c>
      <c r="H33" s="2">
        <v>15</v>
      </c>
      <c r="I33" s="2">
        <f>Table1[[#This Row],[Quantity]]*Table1[[#This Row],[Price]]</f>
        <v>3750</v>
      </c>
      <c r="J33" s="2">
        <v>95</v>
      </c>
      <c r="K33" s="2"/>
      <c r="L33" s="2">
        <f>Table1[[#This Row],[Value]]+Table1[[#This Row],[Brokerage]]+Table1[[#This Row],[Taxes]]</f>
        <v>3845</v>
      </c>
      <c r="M33" s="6" t="str">
        <f>CONCATENATE(Table1[[#This Row],[Contract]]," ",Table1[[#This Row],[Strike Price]],IF(Table1[[#This Row],[Type]]="Put","PE","CE"))</f>
        <v>TCS 2550CE</v>
      </c>
      <c r="N33" s="1">
        <v>42879</v>
      </c>
      <c r="O33">
        <v>250</v>
      </c>
      <c r="P33" s="2">
        <v>14.05</v>
      </c>
      <c r="Q33" s="2">
        <f>Table1[[#This Row],[Quantity2]]*Table1[[#This Row],[Price3]]</f>
        <v>3512.5</v>
      </c>
      <c r="R33" s="2">
        <v>95</v>
      </c>
      <c r="S33" s="2"/>
      <c r="T33" s="2">
        <f>Table1[[#This Row],[Value4]]-Table1[[#This Row],[Brokerage5]]-Table1[[#This Row],[Taxes6]]</f>
        <v>3417.5</v>
      </c>
      <c r="U33" s="2">
        <f>Table1[Value4]-Table1[Value]</f>
        <v>-237.5</v>
      </c>
      <c r="V33" s="7">
        <f>(Table1[[#This Row],[Value4]]-Table1[[#This Row],[Value]])/Table1[[#This Row],[Value]]</f>
        <v>-6.3333333333333339E-2</v>
      </c>
      <c r="W33" s="9" t="str">
        <f>TEXT(Table1[[#This Row],[Sell Date]],"mmm-yy")</f>
        <v>May-17</v>
      </c>
      <c r="X33" s="10" t="s">
        <v>45</v>
      </c>
      <c r="Y33" s="2" t="str">
        <f>TEXT(Table1[[#This Row],[Sell Date]],"ddd")</f>
        <v>Wed</v>
      </c>
      <c r="Z33" s="2" t="s">
        <v>92</v>
      </c>
    </row>
    <row r="34" spans="1:26" x14ac:dyDescent="0.25">
      <c r="A34" s="6">
        <v>30</v>
      </c>
      <c r="B34" s="1">
        <v>42880</v>
      </c>
      <c r="C34" t="s">
        <v>38</v>
      </c>
      <c r="D34">
        <v>1580</v>
      </c>
      <c r="E34" t="s">
        <v>20</v>
      </c>
      <c r="F34" s="1">
        <v>42880</v>
      </c>
      <c r="G34">
        <v>1000</v>
      </c>
      <c r="H34" s="2">
        <v>2.75</v>
      </c>
      <c r="I34" s="2">
        <f>Table1[[#This Row],[Quantity]]*Table1[[#This Row],[Price]]</f>
        <v>2750</v>
      </c>
      <c r="J34" s="2">
        <v>190</v>
      </c>
      <c r="K34" s="2"/>
      <c r="L34" s="2">
        <f>Table1[[#This Row],[Value]]+Table1[[#This Row],[Brokerage]]+Table1[[#This Row],[Taxes]]</f>
        <v>2940</v>
      </c>
      <c r="M34" s="6" t="str">
        <f>CONCATENATE(Table1[[#This Row],[Contract]]," ",Table1[[#This Row],[Strike Price]],IF(Table1[[#This Row],[Type]]="Put","PE","CE"))</f>
        <v>HDFCBANK 1580CE</v>
      </c>
      <c r="N34" s="1">
        <v>42880</v>
      </c>
      <c r="O34">
        <v>1000</v>
      </c>
      <c r="P34" s="2">
        <v>3.95</v>
      </c>
      <c r="Q34" s="2">
        <f>Table1[[#This Row],[Quantity2]]*Table1[[#This Row],[Price3]]</f>
        <v>3950</v>
      </c>
      <c r="R34" s="2">
        <v>100</v>
      </c>
      <c r="S34" s="2"/>
      <c r="T34" s="2">
        <f>Table1[[#This Row],[Value4]]-Table1[[#This Row],[Brokerage5]]-Table1[[#This Row],[Taxes6]]</f>
        <v>3850</v>
      </c>
      <c r="U34" s="2">
        <f>Table1[Value4]-Table1[Value]</f>
        <v>1200</v>
      </c>
      <c r="V34" s="7">
        <f>(Table1[[#This Row],[Value4]]-Table1[[#This Row],[Value]])/Table1[[#This Row],[Value]]</f>
        <v>0.43636363636363634</v>
      </c>
      <c r="W34" s="9" t="str">
        <f>TEXT(Table1[[#This Row],[Sell Date]],"mmm-yy")</f>
        <v>May-17</v>
      </c>
      <c r="X34" s="10" t="s">
        <v>45</v>
      </c>
      <c r="Y34" s="2" t="str">
        <f>TEXT(Table1[[#This Row],[Sell Date]],"ddd")</f>
        <v>Thu</v>
      </c>
      <c r="Z34" s="2" t="s">
        <v>92</v>
      </c>
    </row>
    <row r="35" spans="1:26" x14ac:dyDescent="0.25">
      <c r="A35" s="6">
        <v>31</v>
      </c>
      <c r="B35" s="1">
        <v>42881</v>
      </c>
      <c r="C35" t="s">
        <v>19</v>
      </c>
      <c r="D35">
        <v>22700</v>
      </c>
      <c r="E35" t="s">
        <v>23</v>
      </c>
      <c r="F35" s="1">
        <v>42887</v>
      </c>
      <c r="G35">
        <v>40</v>
      </c>
      <c r="H35" s="2">
        <v>45.55</v>
      </c>
      <c r="I35" s="2">
        <f>Table1[[#This Row],[Quantity]]*Table1[[#This Row],[Price]]</f>
        <v>1822</v>
      </c>
      <c r="J35" s="2">
        <v>20</v>
      </c>
      <c r="K35" s="2"/>
      <c r="L35" s="2">
        <f>Table1[[#This Row],[Value]]+Table1[[#This Row],[Brokerage]]+Table1[[#This Row],[Taxes]]</f>
        <v>1842</v>
      </c>
      <c r="M35" s="6" t="str">
        <f>CONCATENATE(Table1[[#This Row],[Contract]]," ",Table1[[#This Row],[Strike Price]],IF(Table1[[#This Row],[Type]]="Put","PE","CE"))</f>
        <v>BANKNIFTY 22700PE</v>
      </c>
      <c r="N35" s="1">
        <v>42881</v>
      </c>
      <c r="O35">
        <v>40</v>
      </c>
      <c r="P35" s="2">
        <v>47</v>
      </c>
      <c r="Q35" s="2">
        <f>Table1[[#This Row],[Quantity2]]*Table1[[#This Row],[Price3]]</f>
        <v>1880</v>
      </c>
      <c r="R35" s="2">
        <v>20</v>
      </c>
      <c r="S35" s="2"/>
      <c r="T35" s="2">
        <f>Table1[[#This Row],[Value4]]-Table1[[#This Row],[Brokerage5]]-Table1[[#This Row],[Taxes6]]</f>
        <v>1860</v>
      </c>
      <c r="U35" s="2">
        <f>Table1[Value4]-Table1[Value]</f>
        <v>58</v>
      </c>
      <c r="V35" s="7">
        <f>(Table1[[#This Row],[Value4]]-Table1[[#This Row],[Value]])/Table1[[#This Row],[Value]]</f>
        <v>3.1833150384193196E-2</v>
      </c>
      <c r="W35" s="9" t="str">
        <f>TEXT(Table1[[#This Row],[Sell Date]],"mmm-yy")</f>
        <v>May-17</v>
      </c>
      <c r="X35" s="10" t="s">
        <v>47</v>
      </c>
      <c r="Y35" s="2" t="str">
        <f>TEXT(Table1[[#This Row],[Sell Date]],"ddd")</f>
        <v>Fri</v>
      </c>
      <c r="Z35" s="2" t="s">
        <v>93</v>
      </c>
    </row>
    <row r="36" spans="1:26" x14ac:dyDescent="0.25">
      <c r="A36" s="6">
        <v>32</v>
      </c>
      <c r="B36" s="1">
        <v>42881</v>
      </c>
      <c r="C36" t="s">
        <v>28</v>
      </c>
      <c r="D36">
        <v>2800</v>
      </c>
      <c r="E36" t="s">
        <v>20</v>
      </c>
      <c r="F36" s="1">
        <v>42915</v>
      </c>
      <c r="G36">
        <v>250</v>
      </c>
      <c r="H36" s="2">
        <v>7.6</v>
      </c>
      <c r="I36" s="2">
        <f>Table1[[#This Row],[Quantity]]*Table1[[#This Row],[Price]]</f>
        <v>1900</v>
      </c>
      <c r="J36" s="2">
        <v>20</v>
      </c>
      <c r="K36" s="2"/>
      <c r="L36" s="2">
        <f>Table1[[#This Row],[Value]]+Table1[[#This Row],[Brokerage]]+Table1[[#This Row],[Taxes]]</f>
        <v>1920</v>
      </c>
      <c r="M36" s="6" t="str">
        <f>CONCATENATE(Table1[[#This Row],[Contract]]," ",Table1[[#This Row],[Strike Price]],IF(Table1[[#This Row],[Type]]="Put","PE","CE"))</f>
        <v>TCS 2800CE</v>
      </c>
      <c r="N36" s="1">
        <v>42892</v>
      </c>
      <c r="O36">
        <v>250</v>
      </c>
      <c r="P36" s="2">
        <v>18</v>
      </c>
      <c r="Q36" s="2">
        <f>Table1[[#This Row],[Quantity2]]*Table1[[#This Row],[Price3]]</f>
        <v>4500</v>
      </c>
      <c r="R36" s="2">
        <v>20</v>
      </c>
      <c r="S36" s="2"/>
      <c r="T36" s="2">
        <f>Table1[[#This Row],[Value4]]-Table1[[#This Row],[Brokerage5]]-Table1[[#This Row],[Taxes6]]</f>
        <v>4480</v>
      </c>
      <c r="U36" s="2">
        <f>Table1[Value4]-Table1[Value]</f>
        <v>2600</v>
      </c>
      <c r="V36" s="7">
        <f>(Table1[[#This Row],[Value4]]-Table1[[#This Row],[Value]])/Table1[[#This Row],[Value]]</f>
        <v>1.368421052631579</v>
      </c>
      <c r="W36" s="9" t="str">
        <f>TEXT(Table1[[#This Row],[Sell Date]],"mmm-yy")</f>
        <v>Jun-17</v>
      </c>
      <c r="X36" s="10" t="s">
        <v>47</v>
      </c>
      <c r="Y36" s="2" t="str">
        <f>TEXT(Table1[[#This Row],[Sell Date]],"ddd")</f>
        <v>Tue</v>
      </c>
      <c r="Z36" s="2" t="s">
        <v>93</v>
      </c>
    </row>
    <row r="37" spans="1:26" x14ac:dyDescent="0.25">
      <c r="A37" s="6">
        <v>33</v>
      </c>
      <c r="B37" s="1">
        <v>42884</v>
      </c>
      <c r="C37" t="s">
        <v>19</v>
      </c>
      <c r="D37">
        <v>23800</v>
      </c>
      <c r="E37" t="s">
        <v>20</v>
      </c>
      <c r="F37" s="1">
        <v>42887</v>
      </c>
      <c r="G37">
        <v>80</v>
      </c>
      <c r="H37" s="2">
        <v>12</v>
      </c>
      <c r="I37" s="2">
        <f>Table1[[#This Row],[Quantity]]*Table1[[#This Row],[Price]]</f>
        <v>960</v>
      </c>
      <c r="J37" s="2">
        <v>20</v>
      </c>
      <c r="K37" s="2"/>
      <c r="L37" s="2">
        <f>Table1[[#This Row],[Value]]+Table1[[#This Row],[Brokerage]]+Table1[[#This Row],[Taxes]]</f>
        <v>980</v>
      </c>
      <c r="M37" s="6" t="str">
        <f>CONCATENATE(Table1[[#This Row],[Contract]]," ",Table1[[#This Row],[Strike Price]],IF(Table1[[#This Row],[Type]]="Put","PE","CE"))</f>
        <v>BANKNIFTY 23800CE</v>
      </c>
      <c r="N37" s="1">
        <v>42884</v>
      </c>
      <c r="O37">
        <v>80</v>
      </c>
      <c r="P37" s="2">
        <v>8</v>
      </c>
      <c r="Q37" s="2">
        <f>Table1[[#This Row],[Quantity2]]*Table1[[#This Row],[Price3]]</f>
        <v>640</v>
      </c>
      <c r="R37" s="2">
        <v>20</v>
      </c>
      <c r="S37" s="2"/>
      <c r="T37" s="2">
        <f>Table1[[#This Row],[Value4]]-Table1[[#This Row],[Brokerage5]]-Table1[[#This Row],[Taxes6]]</f>
        <v>620</v>
      </c>
      <c r="U37" s="2">
        <f>Table1[Value4]-Table1[Value]</f>
        <v>-320</v>
      </c>
      <c r="V37" s="7">
        <f>(Table1[[#This Row],[Value4]]-Table1[[#This Row],[Value]])/Table1[[#This Row],[Value]]</f>
        <v>-0.33333333333333331</v>
      </c>
      <c r="W37" s="9" t="str">
        <f>TEXT(Table1[[#This Row],[Sell Date]],"mmm-yy")</f>
        <v>May-17</v>
      </c>
      <c r="X37" s="10" t="s">
        <v>47</v>
      </c>
      <c r="Y37" s="2" t="str">
        <f>TEXT(Table1[[#This Row],[Sell Date]],"ddd")</f>
        <v>Mon</v>
      </c>
      <c r="Z37" s="2" t="s">
        <v>92</v>
      </c>
    </row>
    <row r="38" spans="1:26" x14ac:dyDescent="0.25">
      <c r="A38" s="6">
        <v>34</v>
      </c>
      <c r="B38" s="1">
        <v>42884</v>
      </c>
      <c r="C38" t="s">
        <v>19</v>
      </c>
      <c r="D38">
        <v>23800</v>
      </c>
      <c r="E38" t="s">
        <v>20</v>
      </c>
      <c r="F38" s="1">
        <v>42887</v>
      </c>
      <c r="G38">
        <v>80</v>
      </c>
      <c r="H38" s="2">
        <v>9</v>
      </c>
      <c r="I38" s="2">
        <f>Table1[[#This Row],[Quantity]]*Table1[[#This Row],[Price]]</f>
        <v>720</v>
      </c>
      <c r="J38" s="2">
        <v>20</v>
      </c>
      <c r="K38" s="2"/>
      <c r="L38" s="2">
        <f>Table1[[#This Row],[Value]]+Table1[[#This Row],[Brokerage]]+Table1[[#This Row],[Taxes]]</f>
        <v>740</v>
      </c>
      <c r="M38" s="6" t="str">
        <f>CONCATENATE(Table1[[#This Row],[Contract]]," ",Table1[[#This Row],[Strike Price]],IF(Table1[[#This Row],[Type]]="Put","PE","CE"))</f>
        <v>BANKNIFTY 23800CE</v>
      </c>
      <c r="N38" s="1">
        <v>42887</v>
      </c>
      <c r="O38">
        <v>80</v>
      </c>
      <c r="P38" s="2">
        <v>0</v>
      </c>
      <c r="Q38" s="2">
        <f>Table1[[#This Row],[Quantity2]]*Table1[[#This Row],[Price3]]</f>
        <v>0</v>
      </c>
      <c r="R38" s="2">
        <v>0</v>
      </c>
      <c r="S38" s="2">
        <v>0</v>
      </c>
      <c r="T38" s="2">
        <f>Table1[[#This Row],[Value4]]-Table1[[#This Row],[Brokerage5]]-Table1[[#This Row],[Taxes6]]</f>
        <v>0</v>
      </c>
      <c r="U38" s="2">
        <f>Table1[Value4]-Table1[Value]</f>
        <v>-720</v>
      </c>
      <c r="V38" s="7">
        <f>(Table1[[#This Row],[Value4]]-Table1[[#This Row],[Value]])/Table1[[#This Row],[Value]]</f>
        <v>-1</v>
      </c>
      <c r="W38" s="9" t="str">
        <f>TEXT(Table1[[#This Row],[Sell Date]],"mmm-yy")</f>
        <v>Jun-17</v>
      </c>
      <c r="X38" s="10" t="s">
        <v>47</v>
      </c>
      <c r="Y38" s="2" t="str">
        <f>TEXT(Table1[[#This Row],[Sell Date]],"ddd")</f>
        <v>Thu</v>
      </c>
      <c r="Z38" s="2" t="s">
        <v>92</v>
      </c>
    </row>
    <row r="39" spans="1:26" x14ac:dyDescent="0.25">
      <c r="A39" s="6">
        <v>35</v>
      </c>
      <c r="B39" s="1">
        <v>42886</v>
      </c>
      <c r="C39" t="s">
        <v>19</v>
      </c>
      <c r="D39">
        <v>23800</v>
      </c>
      <c r="E39" t="s">
        <v>20</v>
      </c>
      <c r="F39" s="1">
        <v>42887</v>
      </c>
      <c r="G39">
        <v>40</v>
      </c>
      <c r="H39" s="2">
        <v>2.5</v>
      </c>
      <c r="I39" s="2">
        <f>Table1[[#This Row],[Quantity]]*Table1[[#This Row],[Price]]</f>
        <v>100</v>
      </c>
      <c r="J39" s="2">
        <v>20</v>
      </c>
      <c r="K39" s="2"/>
      <c r="L39" s="2">
        <f>Table1[[#This Row],[Value]]+Table1[[#This Row],[Brokerage]]+Table1[[#This Row],[Taxes]]</f>
        <v>120</v>
      </c>
      <c r="M39" s="6" t="str">
        <f>CONCATENATE(Table1[[#This Row],[Contract]]," ",Table1[[#This Row],[Strike Price]],IF(Table1[[#This Row],[Type]]="Put","PE","CE"))</f>
        <v>BANKNIFTY 23800CE</v>
      </c>
      <c r="N39" s="1">
        <v>42887</v>
      </c>
      <c r="O39">
        <v>40</v>
      </c>
      <c r="P39" s="2">
        <v>0</v>
      </c>
      <c r="Q39" s="2">
        <f>Table1[[#This Row],[Quantity2]]*Table1[[#This Row],[Price3]]</f>
        <v>0</v>
      </c>
      <c r="R39" s="2">
        <v>0</v>
      </c>
      <c r="S39" s="2">
        <v>0</v>
      </c>
      <c r="T39" s="2">
        <f>Table1[[#This Row],[Value4]]-Table1[[#This Row],[Brokerage5]]-Table1[[#This Row],[Taxes6]]</f>
        <v>0</v>
      </c>
      <c r="U39" s="2">
        <f>Table1[Value4]-Table1[Value]</f>
        <v>-100</v>
      </c>
      <c r="V39" s="7">
        <f>(Table1[[#This Row],[Value4]]-Table1[[#This Row],[Value]])/Table1[[#This Row],[Value]]</f>
        <v>-1</v>
      </c>
      <c r="W39" s="9" t="str">
        <f>TEXT(Table1[[#This Row],[Sell Date]],"mmm-yy")</f>
        <v>Jun-17</v>
      </c>
      <c r="X39" s="10" t="s">
        <v>47</v>
      </c>
      <c r="Y39" s="2" t="str">
        <f>TEXT(Table1[[#This Row],[Sell Date]],"ddd")</f>
        <v>Thu</v>
      </c>
      <c r="Z39" s="2" t="s">
        <v>92</v>
      </c>
    </row>
    <row r="40" spans="1:26" x14ac:dyDescent="0.25">
      <c r="A40" s="6">
        <v>36</v>
      </c>
      <c r="B40" s="1">
        <v>42887</v>
      </c>
      <c r="C40" t="s">
        <v>19</v>
      </c>
      <c r="D40">
        <v>23300</v>
      </c>
      <c r="E40" t="s">
        <v>20</v>
      </c>
      <c r="F40" s="1">
        <v>42887</v>
      </c>
      <c r="G40">
        <v>40</v>
      </c>
      <c r="H40" s="2">
        <v>90</v>
      </c>
      <c r="I40" s="2">
        <f>Table1[[#This Row],[Quantity]]*Table1[[#This Row],[Price]]</f>
        <v>3600</v>
      </c>
      <c r="J40" s="2">
        <v>20</v>
      </c>
      <c r="K40" s="2"/>
      <c r="L40" s="2">
        <f>Table1[[#This Row],[Value]]+Table1[[#This Row],[Brokerage]]+Table1[[#This Row],[Taxes]]</f>
        <v>3620</v>
      </c>
      <c r="M40" s="6" t="str">
        <f>CONCATENATE(Table1[[#This Row],[Contract]]," ",Table1[[#This Row],[Strike Price]],IF(Table1[[#This Row],[Type]]="Put","PE","CE"))</f>
        <v>BANKNIFTY 23300CE</v>
      </c>
      <c r="N40" s="1">
        <v>42887</v>
      </c>
      <c r="O40">
        <v>40</v>
      </c>
      <c r="P40" s="2">
        <v>65</v>
      </c>
      <c r="Q40" s="2">
        <f>Table1[[#This Row],[Quantity2]]*Table1[[#This Row],[Price3]]</f>
        <v>2600</v>
      </c>
      <c r="R40" s="2">
        <v>20</v>
      </c>
      <c r="S40" s="2"/>
      <c r="T40" s="2">
        <f>Table1[[#This Row],[Value4]]-Table1[[#This Row],[Brokerage5]]-Table1[[#This Row],[Taxes6]]</f>
        <v>2580</v>
      </c>
      <c r="U40" s="2">
        <f>Table1[Value4]-Table1[Value]</f>
        <v>-1000</v>
      </c>
      <c r="V40" s="7">
        <f>(Table1[[#This Row],[Value4]]-Table1[[#This Row],[Value]])/Table1[[#This Row],[Value]]</f>
        <v>-0.27777777777777779</v>
      </c>
      <c r="W40" s="9" t="str">
        <f>TEXT(Table1[[#This Row],[Sell Date]],"mmm-yy")</f>
        <v>Jun-17</v>
      </c>
      <c r="X40" s="10" t="s">
        <v>47</v>
      </c>
      <c r="Y40" s="2" t="str">
        <f>TEXT(Table1[[#This Row],[Sell Date]],"ddd")</f>
        <v>Thu</v>
      </c>
      <c r="Z40" s="2" t="s">
        <v>92</v>
      </c>
    </row>
    <row r="41" spans="1:26" x14ac:dyDescent="0.25">
      <c r="A41" s="6">
        <v>37</v>
      </c>
      <c r="B41" s="1">
        <v>42887</v>
      </c>
      <c r="C41" t="s">
        <v>19</v>
      </c>
      <c r="D41">
        <v>23300</v>
      </c>
      <c r="E41" t="s">
        <v>20</v>
      </c>
      <c r="F41" s="1">
        <v>42887</v>
      </c>
      <c r="G41">
        <v>40</v>
      </c>
      <c r="H41" s="2">
        <v>80</v>
      </c>
      <c r="I41" s="2">
        <f>Table1[[#This Row],[Quantity]]*Table1[[#This Row],[Price]]</f>
        <v>3200</v>
      </c>
      <c r="J41" s="2">
        <v>20</v>
      </c>
      <c r="K41" s="2"/>
      <c r="L41" s="2">
        <f>Table1[[#This Row],[Value]]+Table1[[#This Row],[Brokerage]]+Table1[[#This Row],[Taxes]]</f>
        <v>3220</v>
      </c>
      <c r="M41" s="6" t="str">
        <f>CONCATENATE(Table1[[#This Row],[Contract]]," ",Table1[[#This Row],[Strike Price]],IF(Table1[[#This Row],[Type]]="Put","PE","CE"))</f>
        <v>BANKNIFTY 23300CE</v>
      </c>
      <c r="N41" s="1">
        <v>42887</v>
      </c>
      <c r="O41">
        <v>40</v>
      </c>
      <c r="P41" s="2">
        <v>65</v>
      </c>
      <c r="Q41" s="2">
        <f>Table1[[#This Row],[Quantity2]]*Table1[[#This Row],[Price3]]</f>
        <v>2600</v>
      </c>
      <c r="R41" s="2">
        <v>20</v>
      </c>
      <c r="S41" s="2"/>
      <c r="T41" s="2">
        <f>Table1[[#This Row],[Value4]]-Table1[[#This Row],[Brokerage5]]-Table1[[#This Row],[Taxes6]]</f>
        <v>2580</v>
      </c>
      <c r="U41" s="2">
        <f>Table1[Value4]-Table1[Value]</f>
        <v>-600</v>
      </c>
      <c r="V41" s="7">
        <f>(Table1[[#This Row],[Value4]]-Table1[[#This Row],[Value]])/Table1[[#This Row],[Value]]</f>
        <v>-0.1875</v>
      </c>
      <c r="W41" s="9" t="str">
        <f>TEXT(Table1[[#This Row],[Sell Date]],"mmm-yy")</f>
        <v>Jun-17</v>
      </c>
      <c r="X41" s="10" t="s">
        <v>47</v>
      </c>
      <c r="Y41" s="2" t="str">
        <f>TEXT(Table1[[#This Row],[Sell Date]],"ddd")</f>
        <v>Thu</v>
      </c>
      <c r="Z41" s="2" t="s">
        <v>92</v>
      </c>
    </row>
    <row r="42" spans="1:26" x14ac:dyDescent="0.25">
      <c r="A42" s="6">
        <v>38</v>
      </c>
      <c r="B42" s="1">
        <v>42887</v>
      </c>
      <c r="C42" t="s">
        <v>19</v>
      </c>
      <c r="D42">
        <v>23500</v>
      </c>
      <c r="E42" t="s">
        <v>20</v>
      </c>
      <c r="F42" s="1">
        <v>42887</v>
      </c>
      <c r="G42">
        <v>80</v>
      </c>
      <c r="H42" s="2">
        <v>8</v>
      </c>
      <c r="I42" s="2">
        <f>Table1[[#This Row],[Quantity]]*Table1[[#This Row],[Price]]</f>
        <v>640</v>
      </c>
      <c r="J42" s="2">
        <v>20</v>
      </c>
      <c r="K42" s="2"/>
      <c r="L42" s="2">
        <f>Table1[[#This Row],[Value]]+Table1[[#This Row],[Brokerage]]+Table1[[#This Row],[Taxes]]</f>
        <v>660</v>
      </c>
      <c r="M42" s="6" t="str">
        <f>CONCATENATE(Table1[[#This Row],[Contract]]," ",Table1[[#This Row],[Strike Price]],IF(Table1[[#This Row],[Type]]="Put","PE","CE"))</f>
        <v>BANKNIFTY 23500CE</v>
      </c>
      <c r="N42" s="1">
        <v>42887</v>
      </c>
      <c r="O42">
        <v>80</v>
      </c>
      <c r="P42" s="2">
        <v>0</v>
      </c>
      <c r="Q42" s="2">
        <f>Table1[[#This Row],[Quantity2]]*Table1[[#This Row],[Price3]]</f>
        <v>0</v>
      </c>
      <c r="R42" s="2">
        <v>0</v>
      </c>
      <c r="S42" s="2">
        <v>0</v>
      </c>
      <c r="T42" s="2">
        <f>Table1[[#This Row],[Value4]]-Table1[[#This Row],[Brokerage5]]-Table1[[#This Row],[Taxes6]]</f>
        <v>0</v>
      </c>
      <c r="U42" s="2">
        <f>Table1[Value4]-Table1[Value]</f>
        <v>-640</v>
      </c>
      <c r="V42" s="7">
        <f>(Table1[[#This Row],[Value4]]-Table1[[#This Row],[Value]])/Table1[[#This Row],[Value]]</f>
        <v>-1</v>
      </c>
      <c r="W42" s="9" t="str">
        <f>TEXT(Table1[[#This Row],[Sell Date]],"mmm-yy")</f>
        <v>Jun-17</v>
      </c>
      <c r="X42" s="10" t="s">
        <v>47</v>
      </c>
      <c r="Y42" s="2" t="str">
        <f>TEXT(Table1[[#This Row],[Sell Date]],"ddd")</f>
        <v>Thu</v>
      </c>
      <c r="Z42" s="2" t="s">
        <v>92</v>
      </c>
    </row>
    <row r="43" spans="1:26" x14ac:dyDescent="0.25">
      <c r="A43" s="6">
        <v>39</v>
      </c>
      <c r="B43" s="1">
        <v>42887</v>
      </c>
      <c r="C43" t="s">
        <v>19</v>
      </c>
      <c r="D43">
        <v>23300</v>
      </c>
      <c r="E43" t="s">
        <v>20</v>
      </c>
      <c r="F43" s="1">
        <v>42887</v>
      </c>
      <c r="G43">
        <v>40</v>
      </c>
      <c r="H43" s="2">
        <v>65</v>
      </c>
      <c r="I43" s="2">
        <f>Table1[[#This Row],[Quantity]]*Table1[[#This Row],[Price]]</f>
        <v>2600</v>
      </c>
      <c r="J43" s="2">
        <v>20</v>
      </c>
      <c r="K43" s="2"/>
      <c r="L43" s="2">
        <f>Table1[[#This Row],[Value]]+Table1[[#This Row],[Brokerage]]+Table1[[#This Row],[Taxes]]</f>
        <v>2620</v>
      </c>
      <c r="M43" s="6" t="str">
        <f>CONCATENATE(Table1[[#This Row],[Contract]]," ",Table1[[#This Row],[Strike Price]],IF(Table1[[#This Row],[Type]]="Put","PE","CE"))</f>
        <v>BANKNIFTY 23300CE</v>
      </c>
      <c r="N43" s="1">
        <v>42887</v>
      </c>
      <c r="O43">
        <v>40</v>
      </c>
      <c r="P43" s="2">
        <v>7.6</v>
      </c>
      <c r="Q43" s="2">
        <f>Table1[[#This Row],[Quantity2]]*Table1[[#This Row],[Price3]]</f>
        <v>304</v>
      </c>
      <c r="R43" s="2">
        <v>20</v>
      </c>
      <c r="S43" s="2"/>
      <c r="T43" s="2">
        <f>Table1[[#This Row],[Value4]]-Table1[[#This Row],[Brokerage5]]-Table1[[#This Row],[Taxes6]]</f>
        <v>284</v>
      </c>
      <c r="U43" s="2">
        <f>Table1[Value4]-Table1[Value]</f>
        <v>-2296</v>
      </c>
      <c r="V43" s="7">
        <f>(Table1[[#This Row],[Value4]]-Table1[[#This Row],[Value]])/Table1[[#This Row],[Value]]</f>
        <v>-0.88307692307692309</v>
      </c>
      <c r="W43" s="9" t="str">
        <f>TEXT(Table1[[#This Row],[Sell Date]],"mmm-yy")</f>
        <v>Jun-17</v>
      </c>
      <c r="X43" s="10" t="s">
        <v>47</v>
      </c>
      <c r="Y43" s="2" t="str">
        <f>TEXT(Table1[[#This Row],[Sell Date]],"ddd")</f>
        <v>Thu</v>
      </c>
      <c r="Z43" s="2" t="s">
        <v>92</v>
      </c>
    </row>
    <row r="44" spans="1:26" x14ac:dyDescent="0.25">
      <c r="A44" s="6">
        <v>40</v>
      </c>
      <c r="B44" s="1">
        <v>42887</v>
      </c>
      <c r="C44" t="s">
        <v>38</v>
      </c>
      <c r="D44">
        <v>1660</v>
      </c>
      <c r="E44" t="s">
        <v>20</v>
      </c>
      <c r="F44" s="1">
        <v>42915</v>
      </c>
      <c r="G44">
        <v>500</v>
      </c>
      <c r="H44" s="2">
        <v>10</v>
      </c>
      <c r="I44" s="2">
        <f>Table1[[#This Row],[Quantity]]*Table1[[#This Row],[Price]]</f>
        <v>5000</v>
      </c>
      <c r="J44" s="2">
        <v>20</v>
      </c>
      <c r="K44" s="2"/>
      <c r="L44" s="2">
        <f>Table1[[#This Row],[Value]]+Table1[[#This Row],[Brokerage]]+Table1[[#This Row],[Taxes]]</f>
        <v>5020</v>
      </c>
      <c r="M44" s="6" t="str">
        <f>CONCATENATE(Table1[[#This Row],[Contract]]," ",Table1[[#This Row],[Strike Price]],IF(Table1[[#This Row],[Type]]="Put","PE","CE"))</f>
        <v>HDFCBANK 1660CE</v>
      </c>
      <c r="N44" s="1">
        <v>42888</v>
      </c>
      <c r="O44">
        <v>500</v>
      </c>
      <c r="P44" s="2">
        <v>12.5</v>
      </c>
      <c r="Q44" s="2">
        <f>Table1[[#This Row],[Quantity2]]*Table1[[#This Row],[Price3]]</f>
        <v>6250</v>
      </c>
      <c r="R44" s="2">
        <v>20</v>
      </c>
      <c r="S44" s="2"/>
      <c r="T44" s="2">
        <f>Table1[[#This Row],[Value4]]-Table1[[#This Row],[Brokerage5]]-Table1[[#This Row],[Taxes6]]</f>
        <v>6230</v>
      </c>
      <c r="U44" s="2">
        <f>Table1[Value4]-Table1[Value]</f>
        <v>1250</v>
      </c>
      <c r="V44" s="7">
        <f>(Table1[[#This Row],[Value4]]-Table1[[#This Row],[Value]])/Table1[[#This Row],[Value]]</f>
        <v>0.25</v>
      </c>
      <c r="W44" s="9" t="str">
        <f>TEXT(Table1[[#This Row],[Sell Date]],"mmm-yy")</f>
        <v>Jun-17</v>
      </c>
      <c r="X44" s="10" t="s">
        <v>47</v>
      </c>
      <c r="Y44" s="2" t="str">
        <f>TEXT(Table1[[#This Row],[Sell Date]],"ddd")</f>
        <v>Fri</v>
      </c>
      <c r="Z44" s="2" t="s">
        <v>92</v>
      </c>
    </row>
    <row r="45" spans="1:26" x14ac:dyDescent="0.25">
      <c r="A45" s="6">
        <v>41</v>
      </c>
      <c r="B45" s="1">
        <v>42888</v>
      </c>
      <c r="C45" t="s">
        <v>19</v>
      </c>
      <c r="D45">
        <v>23400</v>
      </c>
      <c r="E45" t="s">
        <v>20</v>
      </c>
      <c r="F45" s="1">
        <v>42894</v>
      </c>
      <c r="G45">
        <v>40</v>
      </c>
      <c r="H45" s="2">
        <v>125</v>
      </c>
      <c r="I45" s="2">
        <f>Table1[[#This Row],[Quantity]]*Table1[[#This Row],[Price]]</f>
        <v>5000</v>
      </c>
      <c r="J45" s="2">
        <v>20</v>
      </c>
      <c r="K45" s="2"/>
      <c r="L45" s="2">
        <f>Table1[[#This Row],[Value]]+Table1[[#This Row],[Brokerage]]+Table1[[#This Row],[Taxes]]</f>
        <v>5020</v>
      </c>
      <c r="M45" s="6" t="str">
        <f>CONCATENATE(Table1[[#This Row],[Contract]]," ",Table1[[#This Row],[Strike Price]],IF(Table1[[#This Row],[Type]]="Put","PE","CE"))</f>
        <v>BANKNIFTY 23400CE</v>
      </c>
      <c r="N45" s="1">
        <v>42888</v>
      </c>
      <c r="O45">
        <v>40</v>
      </c>
      <c r="P45" s="2">
        <v>135</v>
      </c>
      <c r="Q45" s="2">
        <f>Table1[[#This Row],[Quantity2]]*Table1[[#This Row],[Price3]]</f>
        <v>5400</v>
      </c>
      <c r="R45" s="2">
        <v>20</v>
      </c>
      <c r="S45" s="2"/>
      <c r="T45" s="2">
        <f>Table1[[#This Row],[Value4]]-Table1[[#This Row],[Brokerage5]]-Table1[[#This Row],[Taxes6]]</f>
        <v>5380</v>
      </c>
      <c r="U45" s="2">
        <f>Table1[Value4]-Table1[Value]</f>
        <v>400</v>
      </c>
      <c r="V45" s="7">
        <f>(Table1[[#This Row],[Value4]]-Table1[[#This Row],[Value]])/Table1[[#This Row],[Value]]</f>
        <v>0.08</v>
      </c>
      <c r="W45" s="9" t="str">
        <f>TEXT(Table1[[#This Row],[Sell Date]],"mmm-yy")</f>
        <v>Jun-17</v>
      </c>
      <c r="X45" s="10" t="s">
        <v>47</v>
      </c>
      <c r="Y45" s="2" t="str">
        <f>TEXT(Table1[[#This Row],[Sell Date]],"ddd")</f>
        <v>Fri</v>
      </c>
      <c r="Z45" s="2" t="s">
        <v>92</v>
      </c>
    </row>
    <row r="46" spans="1:26" x14ac:dyDescent="0.25">
      <c r="A46" s="6">
        <v>42</v>
      </c>
      <c r="B46" s="1">
        <v>42898</v>
      </c>
      <c r="C46" t="s">
        <v>28</v>
      </c>
      <c r="D46">
        <v>2700</v>
      </c>
      <c r="E46" t="s">
        <v>20</v>
      </c>
      <c r="F46" s="1">
        <v>42915</v>
      </c>
      <c r="G46">
        <v>500</v>
      </c>
      <c r="H46" s="2">
        <v>4.5</v>
      </c>
      <c r="I46" s="2">
        <f>Table1[[#This Row],[Quantity]]*Table1[[#This Row],[Price]]</f>
        <v>2250</v>
      </c>
      <c r="J46" s="2">
        <v>20</v>
      </c>
      <c r="K46" s="2"/>
      <c r="L46" s="2">
        <f>Table1[[#This Row],[Value]]+Table1[[#This Row],[Brokerage]]+Table1[[#This Row],[Taxes]]</f>
        <v>2270</v>
      </c>
      <c r="M46" s="6" t="str">
        <f>CONCATENATE(Table1[[#This Row],[Contract]]," ",Table1[[#This Row],[Strike Price]],IF(Table1[[#This Row],[Type]]="Put","PE","CE"))</f>
        <v>TCS 2700CE</v>
      </c>
      <c r="N46" s="1">
        <v>42915</v>
      </c>
      <c r="O46">
        <v>500</v>
      </c>
      <c r="P46" s="2">
        <v>0</v>
      </c>
      <c r="Q46" s="2">
        <f>Table1[[#This Row],[Quantity2]]*Table1[[#This Row],[Price3]]</f>
        <v>0</v>
      </c>
      <c r="R46" s="2">
        <v>0</v>
      </c>
      <c r="S46" s="2">
        <v>0</v>
      </c>
      <c r="T46" s="2">
        <f>Table1[[#This Row],[Value4]]-Table1[[#This Row],[Brokerage5]]-Table1[[#This Row],[Taxes6]]</f>
        <v>0</v>
      </c>
      <c r="U46" s="2">
        <f>Table1[Value4]-Table1[Value]</f>
        <v>-2250</v>
      </c>
      <c r="V46" s="7">
        <f>(Table1[[#This Row],[Value4]]-Table1[[#This Row],[Value]])/Table1[[#This Row],[Value]]</f>
        <v>-1</v>
      </c>
      <c r="W46" s="9" t="str">
        <f>TEXT(Table1[[#This Row],[Sell Date]],"mmm-yy")</f>
        <v>Jun-17</v>
      </c>
      <c r="X46" s="10" t="s">
        <v>47</v>
      </c>
      <c r="Y46" s="2" t="str">
        <f>TEXT(Table1[[#This Row],[Sell Date]],"ddd")</f>
        <v>Thu</v>
      </c>
      <c r="Z46" s="2" t="s">
        <v>93</v>
      </c>
    </row>
    <row r="47" spans="1:26" x14ac:dyDescent="0.25">
      <c r="A47" s="6">
        <v>43</v>
      </c>
      <c r="B47" s="1">
        <v>42898</v>
      </c>
      <c r="C47" t="s">
        <v>28</v>
      </c>
      <c r="D47">
        <v>2800</v>
      </c>
      <c r="E47" t="s">
        <v>20</v>
      </c>
      <c r="F47" s="1">
        <v>42915</v>
      </c>
      <c r="G47">
        <v>500</v>
      </c>
      <c r="H47" s="2">
        <v>2.15</v>
      </c>
      <c r="I47" s="2">
        <f>Table1[[#This Row],[Quantity]]*Table1[[#This Row],[Price]]</f>
        <v>1075</v>
      </c>
      <c r="J47" s="2">
        <v>20</v>
      </c>
      <c r="K47" s="2"/>
      <c r="L47" s="2">
        <f>Table1[[#This Row],[Value]]+Table1[[#This Row],[Brokerage]]+Table1[[#This Row],[Taxes]]</f>
        <v>1095</v>
      </c>
      <c r="M47" s="6" t="str">
        <f>CONCATENATE(Table1[[#This Row],[Contract]]," ",Table1[[#This Row],[Strike Price]],IF(Table1[[#This Row],[Type]]="Put","PE","CE"))</f>
        <v>TCS 2800CE</v>
      </c>
      <c r="N47" s="1">
        <v>42915</v>
      </c>
      <c r="O47">
        <v>500</v>
      </c>
      <c r="P47" s="2">
        <v>0</v>
      </c>
      <c r="Q47" s="2">
        <f>Table1[[#This Row],[Quantity2]]*Table1[[#This Row],[Price3]]</f>
        <v>0</v>
      </c>
      <c r="R47" s="2">
        <v>0</v>
      </c>
      <c r="S47" s="2">
        <v>0</v>
      </c>
      <c r="T47" s="2">
        <f>Table1[[#This Row],[Value4]]-Table1[[#This Row],[Brokerage5]]-Table1[[#This Row],[Taxes6]]</f>
        <v>0</v>
      </c>
      <c r="U47" s="2">
        <f>Table1[Value4]-Table1[Value]</f>
        <v>-1075</v>
      </c>
      <c r="V47" s="7">
        <f>(Table1[[#This Row],[Value4]]-Table1[[#This Row],[Value]])/Table1[[#This Row],[Value]]</f>
        <v>-1</v>
      </c>
      <c r="W47" s="9" t="str">
        <f>TEXT(Table1[[#This Row],[Sell Date]],"mmm-yy")</f>
        <v>Jun-17</v>
      </c>
      <c r="X47" s="10" t="s">
        <v>47</v>
      </c>
      <c r="Y47" s="2" t="str">
        <f>TEXT(Table1[[#This Row],[Sell Date]],"ddd")</f>
        <v>Thu</v>
      </c>
      <c r="Z47" s="2" t="s">
        <v>93</v>
      </c>
    </row>
    <row r="48" spans="1:26" x14ac:dyDescent="0.25">
      <c r="A48" s="6">
        <v>44</v>
      </c>
      <c r="B48" s="1">
        <v>42898</v>
      </c>
      <c r="C48" t="s">
        <v>19</v>
      </c>
      <c r="D48">
        <v>23800</v>
      </c>
      <c r="E48" t="s">
        <v>20</v>
      </c>
      <c r="F48" s="1">
        <v>42901</v>
      </c>
      <c r="G48">
        <v>80</v>
      </c>
      <c r="H48" s="2">
        <v>15</v>
      </c>
      <c r="I48" s="2">
        <f>Table1[[#This Row],[Quantity]]*Table1[[#This Row],[Price]]</f>
        <v>1200</v>
      </c>
      <c r="J48" s="2">
        <v>20</v>
      </c>
      <c r="K48" s="2"/>
      <c r="L48" s="2">
        <f>Table1[[#This Row],[Value]]+Table1[[#This Row],[Brokerage]]+Table1[[#This Row],[Taxes]]</f>
        <v>1220</v>
      </c>
      <c r="M48" s="6" t="str">
        <f>CONCATENATE(Table1[[#This Row],[Contract]]," ",Table1[[#This Row],[Strike Price]],IF(Table1[[#This Row],[Type]]="Put","PE","CE"))</f>
        <v>BANKNIFTY 23800CE</v>
      </c>
      <c r="N48" s="1">
        <v>42901</v>
      </c>
      <c r="O48">
        <v>80</v>
      </c>
      <c r="P48" s="2">
        <v>0</v>
      </c>
      <c r="Q48" s="2">
        <f>Table1[[#This Row],[Quantity2]]*Table1[[#This Row],[Price3]]</f>
        <v>0</v>
      </c>
      <c r="R48" s="2">
        <v>0</v>
      </c>
      <c r="S48" s="2">
        <v>0</v>
      </c>
      <c r="T48" s="2">
        <f>Table1[[#This Row],[Value4]]-Table1[[#This Row],[Brokerage5]]-Table1[[#This Row],[Taxes6]]</f>
        <v>0</v>
      </c>
      <c r="U48" s="2">
        <f>Table1[Value4]-Table1[Value]</f>
        <v>-1200</v>
      </c>
      <c r="V48" s="7">
        <f>(Table1[[#This Row],[Value4]]-Table1[[#This Row],[Value]])/Table1[[#This Row],[Value]]</f>
        <v>-1</v>
      </c>
      <c r="W48" s="9" t="str">
        <f>TEXT(Table1[[#This Row],[Sell Date]],"mmm-yy")</f>
        <v>Jun-17</v>
      </c>
      <c r="X48" s="10" t="s">
        <v>47</v>
      </c>
      <c r="Y48" s="2" t="str">
        <f>TEXT(Table1[[#This Row],[Sell Date]],"ddd")</f>
        <v>Thu</v>
      </c>
      <c r="Z48" s="2" t="s">
        <v>92</v>
      </c>
    </row>
    <row r="49" spans="1:26" x14ac:dyDescent="0.25">
      <c r="A49" s="6">
        <v>45</v>
      </c>
      <c r="B49" s="1">
        <v>42900</v>
      </c>
      <c r="C49" t="s">
        <v>19</v>
      </c>
      <c r="D49">
        <v>22900</v>
      </c>
      <c r="E49" t="s">
        <v>23</v>
      </c>
      <c r="F49" s="1">
        <v>42901</v>
      </c>
      <c r="G49">
        <v>200</v>
      </c>
      <c r="H49" s="2">
        <v>1.5</v>
      </c>
      <c r="I49" s="2">
        <f>Table1[[#This Row],[Quantity]]*Table1[[#This Row],[Price]]</f>
        <v>300</v>
      </c>
      <c r="J49" s="2">
        <v>20</v>
      </c>
      <c r="K49" s="2"/>
      <c r="L49" s="2">
        <f>Table1[[#This Row],[Value]]+Table1[[#This Row],[Brokerage]]+Table1[[#This Row],[Taxes]]</f>
        <v>320</v>
      </c>
      <c r="M49" s="6" t="str">
        <f>CONCATENATE(Table1[[#This Row],[Contract]]," ",Table1[[#This Row],[Strike Price]],IF(Table1[[#This Row],[Type]]="Put","PE","CE"))</f>
        <v>BANKNIFTY 22900PE</v>
      </c>
      <c r="N49" s="1">
        <v>42901</v>
      </c>
      <c r="O49">
        <v>200</v>
      </c>
      <c r="P49" s="2">
        <v>0</v>
      </c>
      <c r="Q49" s="2">
        <f>Table1[[#This Row],[Quantity2]]*Table1[[#This Row],[Price3]]</f>
        <v>0</v>
      </c>
      <c r="R49" s="2">
        <v>0</v>
      </c>
      <c r="S49" s="2">
        <v>0</v>
      </c>
      <c r="T49" s="2">
        <f>Table1[[#This Row],[Value4]]-Table1[[#This Row],[Brokerage5]]-Table1[[#This Row],[Taxes6]]</f>
        <v>0</v>
      </c>
      <c r="U49" s="2">
        <f>Table1[Value4]-Table1[Value]</f>
        <v>-300</v>
      </c>
      <c r="V49" s="7">
        <f>(Table1[[#This Row],[Value4]]-Table1[[#This Row],[Value]])/Table1[[#This Row],[Value]]</f>
        <v>-1</v>
      </c>
      <c r="W49" s="9" t="str">
        <f>TEXT(Table1[[#This Row],[Sell Date]],"mmm-yy")</f>
        <v>Jun-17</v>
      </c>
      <c r="X49" s="10" t="s">
        <v>47</v>
      </c>
      <c r="Y49" s="2" t="str">
        <f>TEXT(Table1[[#This Row],[Sell Date]],"ddd")</f>
        <v>Thu</v>
      </c>
      <c r="Z49" s="2" t="s">
        <v>92</v>
      </c>
    </row>
    <row r="50" spans="1:26" x14ac:dyDescent="0.25">
      <c r="A50" s="6">
        <v>46</v>
      </c>
      <c r="B50" s="1">
        <v>42907</v>
      </c>
      <c r="C50" t="s">
        <v>19</v>
      </c>
      <c r="D50">
        <v>23900</v>
      </c>
      <c r="E50" t="s">
        <v>20</v>
      </c>
      <c r="F50" s="1">
        <v>42907</v>
      </c>
      <c r="G50">
        <v>40</v>
      </c>
      <c r="H50" s="2">
        <v>4.55</v>
      </c>
      <c r="I50" s="2">
        <f>Table1[[#This Row],[Quantity]]*Table1[[#This Row],[Price]]</f>
        <v>182</v>
      </c>
      <c r="J50" s="2">
        <v>20</v>
      </c>
      <c r="K50" s="2"/>
      <c r="L50" s="2">
        <f>Table1[[#This Row],[Value]]+Table1[[#This Row],[Brokerage]]+Table1[[#This Row],[Taxes]]</f>
        <v>202</v>
      </c>
      <c r="M50" s="6" t="str">
        <f>CONCATENATE(Table1[[#This Row],[Contract]]," ",Table1[[#This Row],[Strike Price]],IF(Table1[[#This Row],[Type]]="Put","PE","CE"))</f>
        <v>BANKNIFTY 23900CE</v>
      </c>
      <c r="N50" s="1">
        <v>42907</v>
      </c>
      <c r="O50">
        <v>40</v>
      </c>
      <c r="P50" s="2">
        <v>18</v>
      </c>
      <c r="Q50" s="2">
        <f>Table1[[#This Row],[Quantity2]]*Table1[[#This Row],[Price3]]</f>
        <v>720</v>
      </c>
      <c r="R50" s="2">
        <v>20</v>
      </c>
      <c r="S50" s="2"/>
      <c r="T50" s="2">
        <f>Table1[[#This Row],[Value4]]-Table1[[#This Row],[Brokerage5]]-Table1[[#This Row],[Taxes6]]</f>
        <v>700</v>
      </c>
      <c r="U50" s="2">
        <f>Table1[Value4]-Table1[Value]</f>
        <v>538</v>
      </c>
      <c r="V50" s="7">
        <f>(Table1[[#This Row],[Value4]]-Table1[[#This Row],[Value]])/Table1[[#This Row],[Value]]</f>
        <v>2.9560439560439562</v>
      </c>
      <c r="W50" s="9" t="str">
        <f>TEXT(Table1[[#This Row],[Sell Date]],"mmm-yy")</f>
        <v>Jun-17</v>
      </c>
      <c r="X50" s="10" t="s">
        <v>47</v>
      </c>
      <c r="Y50" s="2" t="str">
        <f>TEXT(Table1[[#This Row],[Sell Date]],"ddd")</f>
        <v>Wed</v>
      </c>
      <c r="Z50" s="2" t="s">
        <v>93</v>
      </c>
    </row>
    <row r="51" spans="1:26" x14ac:dyDescent="0.25">
      <c r="A51" s="6">
        <v>47</v>
      </c>
      <c r="B51" s="1">
        <v>42907</v>
      </c>
      <c r="C51" t="s">
        <v>19</v>
      </c>
      <c r="D51">
        <v>23900</v>
      </c>
      <c r="E51" t="s">
        <v>20</v>
      </c>
      <c r="F51" s="1">
        <v>42908</v>
      </c>
      <c r="G51">
        <v>40</v>
      </c>
      <c r="H51" s="2">
        <v>16.75</v>
      </c>
      <c r="I51" s="2">
        <f>Table1[[#This Row],[Quantity]]*Table1[[#This Row],[Price]]</f>
        <v>670</v>
      </c>
      <c r="J51" s="2">
        <v>20</v>
      </c>
      <c r="K51" s="2"/>
      <c r="L51" s="2">
        <f>Table1[[#This Row],[Value]]+Table1[[#This Row],[Brokerage]]+Table1[[#This Row],[Taxes]]</f>
        <v>690</v>
      </c>
      <c r="M51" s="6" t="str">
        <f>CONCATENATE(Table1[[#This Row],[Contract]]," ",Table1[[#This Row],[Strike Price]],IF(Table1[[#This Row],[Type]]="Put","PE","CE"))</f>
        <v>BANKNIFTY 23900CE</v>
      </c>
      <c r="N51" s="1">
        <v>42908</v>
      </c>
      <c r="O51">
        <v>40</v>
      </c>
      <c r="P51" s="2">
        <v>18</v>
      </c>
      <c r="Q51" s="2">
        <f>Table1[[#This Row],[Quantity2]]*Table1[[#This Row],[Price3]]</f>
        <v>720</v>
      </c>
      <c r="R51" s="2">
        <v>20</v>
      </c>
      <c r="S51" s="2"/>
      <c r="T51" s="2">
        <f>Table1[[#This Row],[Value4]]-Table1[[#This Row],[Brokerage5]]-Table1[[#This Row],[Taxes6]]</f>
        <v>700</v>
      </c>
      <c r="U51" s="2">
        <f>Table1[Value4]-Table1[Value]</f>
        <v>50</v>
      </c>
      <c r="V51" s="7">
        <f>(Table1[[#This Row],[Value4]]-Table1[[#This Row],[Value]])/Table1[[#This Row],[Value]]</f>
        <v>7.4626865671641784E-2</v>
      </c>
      <c r="W51" s="9" t="str">
        <f>TEXT(Table1[[#This Row],[Sell Date]],"mmm-yy")</f>
        <v>Jun-17</v>
      </c>
      <c r="X51" s="10" t="s">
        <v>47</v>
      </c>
      <c r="Y51" s="2" t="str">
        <f>TEXT(Table1[[#This Row],[Sell Date]],"ddd")</f>
        <v>Thu</v>
      </c>
      <c r="Z51" s="2" t="s">
        <v>93</v>
      </c>
    </row>
    <row r="52" spans="1:26" x14ac:dyDescent="0.25">
      <c r="A52" s="6">
        <v>48</v>
      </c>
      <c r="B52" s="1">
        <v>42908</v>
      </c>
      <c r="C52" t="s">
        <v>19</v>
      </c>
      <c r="D52">
        <v>24000</v>
      </c>
      <c r="E52" t="s">
        <v>20</v>
      </c>
      <c r="F52" s="1">
        <v>42908</v>
      </c>
      <c r="G52">
        <v>40</v>
      </c>
      <c r="H52" s="2">
        <v>2.1</v>
      </c>
      <c r="I52" s="2">
        <f>Table1[[#This Row],[Quantity]]*Table1[[#This Row],[Price]]</f>
        <v>84</v>
      </c>
      <c r="J52" s="2">
        <v>20</v>
      </c>
      <c r="K52" s="2"/>
      <c r="L52" s="2">
        <f>Table1[[#This Row],[Value]]+Table1[[#This Row],[Brokerage]]+Table1[[#This Row],[Taxes]]</f>
        <v>104</v>
      </c>
      <c r="M52" s="6" t="str">
        <f>CONCATENATE(Table1[[#This Row],[Contract]]," ",Table1[[#This Row],[Strike Price]],IF(Table1[[#This Row],[Type]]="Put","PE","CE"))</f>
        <v>BANKNIFTY 24000CE</v>
      </c>
      <c r="N52" s="1">
        <v>42908</v>
      </c>
      <c r="O52">
        <v>40</v>
      </c>
      <c r="P52" s="2">
        <v>0</v>
      </c>
      <c r="Q52" s="2">
        <f>Table1[[#This Row],[Quantity2]]*Table1[[#This Row],[Price3]]</f>
        <v>0</v>
      </c>
      <c r="R52" s="2">
        <v>0</v>
      </c>
      <c r="S52" s="2">
        <v>0</v>
      </c>
      <c r="T52" s="2">
        <f>Table1[[#This Row],[Value4]]-Table1[[#This Row],[Brokerage5]]-Table1[[#This Row],[Taxes6]]</f>
        <v>0</v>
      </c>
      <c r="U52" s="2">
        <f>Table1[Value4]-Table1[Value]</f>
        <v>-84</v>
      </c>
      <c r="V52" s="7">
        <f>(Table1[[#This Row],[Value4]]-Table1[[#This Row],[Value]])/Table1[[#This Row],[Value]]</f>
        <v>-1</v>
      </c>
      <c r="W52" s="9" t="str">
        <f>TEXT(Table1[[#This Row],[Sell Date]],"mmm-yy")</f>
        <v>Jun-17</v>
      </c>
      <c r="X52" s="10" t="s">
        <v>47</v>
      </c>
      <c r="Y52" s="2" t="str">
        <f>TEXT(Table1[[#This Row],[Sell Date]],"ddd")</f>
        <v>Thu</v>
      </c>
      <c r="Z52" s="2" t="s">
        <v>92</v>
      </c>
    </row>
    <row r="53" spans="1:26" x14ac:dyDescent="0.25">
      <c r="A53" s="6">
        <v>49</v>
      </c>
      <c r="B53" s="1">
        <v>42908</v>
      </c>
      <c r="C53" t="s">
        <v>19</v>
      </c>
      <c r="D53">
        <v>24000</v>
      </c>
      <c r="E53" t="s">
        <v>20</v>
      </c>
      <c r="F53" s="1">
        <v>42908</v>
      </c>
      <c r="G53">
        <v>40</v>
      </c>
      <c r="H53" s="2">
        <v>3</v>
      </c>
      <c r="I53" s="2">
        <f>Table1[[#This Row],[Quantity]]*Table1[[#This Row],[Price]]</f>
        <v>120</v>
      </c>
      <c r="J53" s="2">
        <v>20</v>
      </c>
      <c r="K53" s="2"/>
      <c r="L53" s="2">
        <f>Table1[[#This Row],[Value]]+Table1[[#This Row],[Brokerage]]+Table1[[#This Row],[Taxes]]</f>
        <v>140</v>
      </c>
      <c r="M53" s="6" t="str">
        <f>CONCATENATE(Table1[[#This Row],[Contract]]," ",Table1[[#This Row],[Strike Price]],IF(Table1[[#This Row],[Type]]="Put","PE","CE"))</f>
        <v>BANKNIFTY 24000CE</v>
      </c>
      <c r="N53" s="1">
        <v>42908</v>
      </c>
      <c r="O53">
        <v>40</v>
      </c>
      <c r="P53" s="2">
        <v>0</v>
      </c>
      <c r="Q53" s="2">
        <f>Table1[[#This Row],[Quantity2]]*Table1[[#This Row],[Price3]]</f>
        <v>0</v>
      </c>
      <c r="R53" s="2">
        <v>0</v>
      </c>
      <c r="S53" s="2">
        <v>0</v>
      </c>
      <c r="T53" s="2">
        <f>Table1[[#This Row],[Value4]]-Table1[[#This Row],[Brokerage5]]-Table1[[#This Row],[Taxes6]]</f>
        <v>0</v>
      </c>
      <c r="U53" s="2">
        <f>Table1[Value4]-Table1[Value]</f>
        <v>-120</v>
      </c>
      <c r="V53" s="7">
        <f>(Table1[[#This Row],[Value4]]-Table1[[#This Row],[Value]])/Table1[[#This Row],[Value]]</f>
        <v>-1</v>
      </c>
      <c r="W53" s="9" t="str">
        <f>TEXT(Table1[[#This Row],[Sell Date]],"mmm-yy")</f>
        <v>Jun-17</v>
      </c>
      <c r="X53" s="10" t="s">
        <v>47</v>
      </c>
      <c r="Y53" s="2" t="str">
        <f>TEXT(Table1[[#This Row],[Sell Date]],"ddd")</f>
        <v>Thu</v>
      </c>
      <c r="Z53" s="2" t="s">
        <v>92</v>
      </c>
    </row>
    <row r="54" spans="1:26" x14ac:dyDescent="0.25">
      <c r="A54" s="6">
        <v>50</v>
      </c>
      <c r="B54" s="1">
        <v>42914</v>
      </c>
      <c r="C54" t="s">
        <v>19</v>
      </c>
      <c r="D54">
        <v>23600</v>
      </c>
      <c r="E54" t="s">
        <v>20</v>
      </c>
      <c r="F54" s="1">
        <v>42915</v>
      </c>
      <c r="G54">
        <v>40</v>
      </c>
      <c r="H54" s="2">
        <v>13</v>
      </c>
      <c r="I54" s="2">
        <f>Table1[[#This Row],[Quantity]]*Table1[[#This Row],[Price]]</f>
        <v>520</v>
      </c>
      <c r="J54" s="2">
        <v>20</v>
      </c>
      <c r="K54" s="2">
        <f>0.28+2.84+0.1+0.1+0.01</f>
        <v>3.33</v>
      </c>
      <c r="L54" s="2">
        <f>Table1[[#This Row],[Value]]+Table1[[#This Row],[Brokerage]]+Table1[[#This Row],[Taxes]]</f>
        <v>543.33000000000004</v>
      </c>
      <c r="M54" s="6" t="str">
        <f>CONCATENATE(Table1[[#This Row],[Contract]]," ",Table1[[#This Row],[Strike Price]],IF(Table1[[#This Row],[Type]]="Put","PE","CE"))</f>
        <v>BANKNIFTY 23600CE</v>
      </c>
      <c r="N54" s="1">
        <v>42915</v>
      </c>
      <c r="O54">
        <v>40</v>
      </c>
      <c r="P54" s="2">
        <v>18.8</v>
      </c>
      <c r="Q54" s="2">
        <f>Table1[[#This Row],[Quantity2]]*Table1[[#This Row],[Price3]]</f>
        <v>752</v>
      </c>
      <c r="R54" s="2">
        <v>20</v>
      </c>
      <c r="S54" s="2">
        <f>0.4+2.86+0.1+0.1+0.02</f>
        <v>3.48</v>
      </c>
      <c r="T54" s="2">
        <f>Table1[[#This Row],[Value4]]-Table1[[#This Row],[Brokerage5]]-Table1[[#This Row],[Taxes6]]</f>
        <v>728.52</v>
      </c>
      <c r="U54" s="2">
        <f>Table1[Value4]-Table1[Value]</f>
        <v>232</v>
      </c>
      <c r="V54" s="7">
        <f>(Table1[[#This Row],[Value4]]-Table1[[#This Row],[Value]])/Table1[[#This Row],[Value]]</f>
        <v>0.44615384615384618</v>
      </c>
      <c r="W54" s="9" t="str">
        <f>TEXT(Table1[[#This Row],[Sell Date]],"mmm-yy")</f>
        <v>Jun-17</v>
      </c>
      <c r="X54" s="10" t="s">
        <v>47</v>
      </c>
      <c r="Y54" s="2" t="str">
        <f>TEXT(Table1[[#This Row],[Sell Date]],"ddd")</f>
        <v>Thu</v>
      </c>
      <c r="Z54" s="2" t="s">
        <v>93</v>
      </c>
    </row>
    <row r="55" spans="1:26" x14ac:dyDescent="0.25">
      <c r="A55" s="6">
        <v>51</v>
      </c>
      <c r="B55" s="1">
        <v>42919</v>
      </c>
      <c r="C55" t="s">
        <v>73</v>
      </c>
      <c r="D55">
        <v>2000</v>
      </c>
      <c r="E55" t="s">
        <v>20</v>
      </c>
      <c r="F55" s="1">
        <v>42943</v>
      </c>
      <c r="G55">
        <v>800</v>
      </c>
      <c r="H55" s="2">
        <v>1</v>
      </c>
      <c r="I55" s="2">
        <f>Table1[[#This Row],[Quantity]]*Table1[[#This Row],[Price]]</f>
        <v>800</v>
      </c>
      <c r="J55" s="2">
        <v>20</v>
      </c>
      <c r="K55" s="2"/>
      <c r="L55" s="2">
        <f>Table1[[#This Row],[Value]]+Table1[[#This Row],[Brokerage]]+Table1[[#This Row],[Taxes]]</f>
        <v>820</v>
      </c>
      <c r="M55" s="6" t="str">
        <f>CONCATENATE(Table1[[#This Row],[Contract]]," ",Table1[[#This Row],[Strike Price]],IF(Table1[[#This Row],[Type]]="Put","PE","CE"))</f>
        <v>ABIRLANUVO 2000CE</v>
      </c>
      <c r="N55" s="1">
        <v>42919</v>
      </c>
      <c r="O55">
        <v>800</v>
      </c>
      <c r="P55" s="2">
        <v>0.75</v>
      </c>
      <c r="Q55" s="2">
        <f>Table1[[#This Row],[Quantity2]]*Table1[[#This Row],[Price3]]</f>
        <v>600</v>
      </c>
      <c r="R55" s="2">
        <v>20</v>
      </c>
      <c r="S55" s="2"/>
      <c r="T55" s="2">
        <f>Table1[[#This Row],[Value4]]-Table1[[#This Row],[Brokerage5]]-Table1[[#This Row],[Taxes6]]</f>
        <v>580</v>
      </c>
      <c r="U55" s="2">
        <f>Table1[Value4]-Table1[Value]</f>
        <v>-200</v>
      </c>
      <c r="V55" s="7">
        <f>(Table1[[#This Row],[Value4]]-Table1[[#This Row],[Value]])/Table1[[#This Row],[Value]]</f>
        <v>-0.25</v>
      </c>
      <c r="W55" s="9" t="str">
        <f>TEXT(Table1[[#This Row],[Sell Date]],"mmm-yy")</f>
        <v>Jul-17</v>
      </c>
      <c r="X55" s="10" t="s">
        <v>47</v>
      </c>
      <c r="Y55" s="2" t="str">
        <f>TEXT(Table1[[#This Row],[Sell Date]],"ddd")</f>
        <v>Mon</v>
      </c>
      <c r="Z55" s="2" t="s">
        <v>92</v>
      </c>
    </row>
    <row r="56" spans="1:26" x14ac:dyDescent="0.25">
      <c r="A56" s="6">
        <v>52</v>
      </c>
      <c r="B56" s="1">
        <v>42919</v>
      </c>
      <c r="C56" t="s">
        <v>19</v>
      </c>
      <c r="D56">
        <v>22800</v>
      </c>
      <c r="E56" t="s">
        <v>23</v>
      </c>
      <c r="F56" s="1">
        <v>42922</v>
      </c>
      <c r="G56">
        <v>40</v>
      </c>
      <c r="H56" s="2">
        <v>16.5</v>
      </c>
      <c r="I56" s="2">
        <f>Table1[[#This Row],[Quantity]]*Table1[[#This Row],[Price]]</f>
        <v>660</v>
      </c>
      <c r="J56" s="2">
        <v>20</v>
      </c>
      <c r="K56" s="2"/>
      <c r="L56" s="2">
        <f>Table1[[#This Row],[Value]]+Table1[[#This Row],[Brokerage]]+Table1[[#This Row],[Taxes]]</f>
        <v>680</v>
      </c>
      <c r="M56" s="6" t="str">
        <f>CONCATENATE(Table1[[#This Row],[Contract]]," ",Table1[[#This Row],[Strike Price]],IF(Table1[[#This Row],[Type]]="Put","PE","CE"))</f>
        <v>BANKNIFTY 22800PE</v>
      </c>
      <c r="N56" s="1">
        <v>42919</v>
      </c>
      <c r="O56">
        <v>40</v>
      </c>
      <c r="P56" s="2">
        <v>15</v>
      </c>
      <c r="Q56" s="2">
        <f>Table1[[#This Row],[Quantity2]]*Table1[[#This Row],[Price3]]</f>
        <v>600</v>
      </c>
      <c r="R56" s="2">
        <v>20</v>
      </c>
      <c r="S56" s="2"/>
      <c r="T56" s="2">
        <f>Table1[[#This Row],[Value4]]-Table1[[#This Row],[Brokerage5]]-Table1[[#This Row],[Taxes6]]</f>
        <v>580</v>
      </c>
      <c r="U56" s="2">
        <f>Table1[Value4]-Table1[Value]</f>
        <v>-60</v>
      </c>
      <c r="V56" s="7">
        <f>(Table1[[#This Row],[Value4]]-Table1[[#This Row],[Value]])/Table1[[#This Row],[Value]]</f>
        <v>-9.0909090909090912E-2</v>
      </c>
      <c r="W56" s="9" t="str">
        <f>TEXT(Table1[[#This Row],[Sell Date]],"mmm-yy")</f>
        <v>Jul-17</v>
      </c>
      <c r="X56" s="10" t="s">
        <v>47</v>
      </c>
      <c r="Y56" s="2" t="str">
        <f>TEXT(Table1[[#This Row],[Sell Date]],"ddd")</f>
        <v>Mon</v>
      </c>
      <c r="Z56" s="2" t="s">
        <v>93</v>
      </c>
    </row>
    <row r="57" spans="1:26" x14ac:dyDescent="0.25">
      <c r="A57" s="6">
        <v>53</v>
      </c>
      <c r="B57" s="1">
        <v>42920</v>
      </c>
      <c r="C57" t="s">
        <v>19</v>
      </c>
      <c r="D57">
        <v>23500</v>
      </c>
      <c r="E57" t="s">
        <v>20</v>
      </c>
      <c r="F57" s="1">
        <v>42922</v>
      </c>
      <c r="G57">
        <v>40</v>
      </c>
      <c r="H57" s="2">
        <v>26</v>
      </c>
      <c r="I57" s="2">
        <f>Table1[[#This Row],[Quantity]]*Table1[[#This Row],[Price]]</f>
        <v>1040</v>
      </c>
      <c r="J57" s="2">
        <v>20</v>
      </c>
      <c r="K57" s="2"/>
      <c r="L57" s="2">
        <f>Table1[[#This Row],[Value]]+Table1[[#This Row],[Brokerage]]+Table1[[#This Row],[Taxes]]</f>
        <v>1060</v>
      </c>
      <c r="M57" s="6" t="str">
        <f>CONCATENATE(Table1[[#This Row],[Contract]]," ",Table1[[#This Row],[Strike Price]],IF(Table1[[#This Row],[Type]]="Put","PE","CE"))</f>
        <v>BANKNIFTY 23500CE</v>
      </c>
      <c r="N57" s="1">
        <v>42920</v>
      </c>
      <c r="O57">
        <v>40</v>
      </c>
      <c r="P57" s="2">
        <v>22</v>
      </c>
      <c r="Q57" s="2">
        <f>Table1[[#This Row],[Quantity2]]*Table1[[#This Row],[Price3]]</f>
        <v>880</v>
      </c>
      <c r="R57" s="2">
        <v>20</v>
      </c>
      <c r="S57" s="2"/>
      <c r="T57" s="2">
        <f>Table1[[#This Row],[Value4]]-Table1[[#This Row],[Brokerage5]]-Table1[[#This Row],[Taxes6]]</f>
        <v>860</v>
      </c>
      <c r="U57" s="2">
        <f>Table1[Value4]-Table1[Value]</f>
        <v>-160</v>
      </c>
      <c r="V57" s="7">
        <f>(Table1[[#This Row],[Value4]]-Table1[[#This Row],[Value]])/Table1[[#This Row],[Value]]</f>
        <v>-0.15384615384615385</v>
      </c>
      <c r="W57" s="9" t="str">
        <f>TEXT(Table1[[#This Row],[Sell Date]],"mmm-yy")</f>
        <v>Jul-17</v>
      </c>
      <c r="X57" s="10" t="s">
        <v>47</v>
      </c>
      <c r="Y57" s="2" t="str">
        <f>TEXT(Table1[[#This Row],[Sell Date]],"ddd")</f>
        <v>Tue</v>
      </c>
      <c r="Z57" s="2" t="s">
        <v>93</v>
      </c>
    </row>
    <row r="58" spans="1:26" x14ac:dyDescent="0.25">
      <c r="A58" s="6">
        <v>54</v>
      </c>
      <c r="B58" s="1">
        <v>42921</v>
      </c>
      <c r="C58" t="s">
        <v>75</v>
      </c>
      <c r="D58">
        <v>1600</v>
      </c>
      <c r="E58" t="s">
        <v>20</v>
      </c>
      <c r="F58" s="1">
        <v>42943</v>
      </c>
      <c r="G58">
        <v>350</v>
      </c>
      <c r="H58" s="2">
        <v>6.5</v>
      </c>
      <c r="I58" s="2">
        <f>Table1[[#This Row],[Quantity]]*Table1[[#This Row],[Price]]</f>
        <v>2275</v>
      </c>
      <c r="J58" s="2">
        <v>20</v>
      </c>
      <c r="K58" s="2"/>
      <c r="L58" s="2">
        <f>Table1[[#This Row],[Value]]+Table1[[#This Row],[Brokerage]]+Table1[[#This Row],[Taxes]]</f>
        <v>2295</v>
      </c>
      <c r="M58" s="6" t="str">
        <f>CONCATENATE(Table1[[#This Row],[Contract]]," ",Table1[[#This Row],[Strike Price]],IF(Table1[[#This Row],[Type]]="Put","PE","CE"))</f>
        <v>YESBANK 1600CE</v>
      </c>
      <c r="N58" s="1">
        <v>42929</v>
      </c>
      <c r="O58">
        <v>350</v>
      </c>
      <c r="P58" s="2">
        <v>11</v>
      </c>
      <c r="Q58" s="2">
        <f>Table1[[#This Row],[Quantity2]]*Table1[[#This Row],[Price3]]</f>
        <v>3850</v>
      </c>
      <c r="R58" s="2">
        <v>20</v>
      </c>
      <c r="S58" s="2"/>
      <c r="T58" s="2">
        <f>Table1[[#This Row],[Value4]]-Table1[[#This Row],[Brokerage5]]-Table1[[#This Row],[Taxes6]]</f>
        <v>3830</v>
      </c>
      <c r="U58" s="2">
        <f>Table1[Value4]-Table1[Value]</f>
        <v>1575</v>
      </c>
      <c r="V58" s="7">
        <f>(Table1[[#This Row],[Value4]]-Table1[[#This Row],[Value]])/Table1[[#This Row],[Value]]</f>
        <v>0.69230769230769229</v>
      </c>
      <c r="W58" s="9" t="str">
        <f>TEXT(Table1[[#This Row],[Sell Date]],"mmm-yy")</f>
        <v>Jul-17</v>
      </c>
      <c r="X58" s="10" t="s">
        <v>47</v>
      </c>
      <c r="Y58" s="2" t="str">
        <f>TEXT(Table1[[#This Row],[Sell Date]],"ddd")</f>
        <v>Thu</v>
      </c>
      <c r="Z58" s="2" t="s">
        <v>92</v>
      </c>
    </row>
    <row r="59" spans="1:26" x14ac:dyDescent="0.25">
      <c r="A59" s="6">
        <v>55</v>
      </c>
      <c r="B59" s="1">
        <v>42921</v>
      </c>
      <c r="C59" t="s">
        <v>19</v>
      </c>
      <c r="D59">
        <v>23000</v>
      </c>
      <c r="E59" t="s">
        <v>23</v>
      </c>
      <c r="F59" s="1">
        <v>42922</v>
      </c>
      <c r="G59">
        <v>40</v>
      </c>
      <c r="H59" s="2">
        <v>10</v>
      </c>
      <c r="I59" s="2">
        <f>Table1[[#This Row],[Quantity]]*Table1[[#This Row],[Price]]</f>
        <v>400</v>
      </c>
      <c r="J59" s="2">
        <v>20</v>
      </c>
      <c r="K59" s="2"/>
      <c r="L59" s="2">
        <f>Table1[[#This Row],[Value]]+Table1[[#This Row],[Brokerage]]+Table1[[#This Row],[Taxes]]</f>
        <v>420</v>
      </c>
      <c r="M59" s="6" t="str">
        <f>CONCATENATE(Table1[[#This Row],[Contract]]," ",Table1[[#This Row],[Strike Price]],IF(Table1[[#This Row],[Type]]="Put","PE","CE"))</f>
        <v>BANKNIFTY 23000PE</v>
      </c>
      <c r="N59" s="1">
        <v>42921</v>
      </c>
      <c r="O59">
        <v>40</v>
      </c>
      <c r="P59" s="2">
        <v>0</v>
      </c>
      <c r="Q59" s="2">
        <f>Table1[[#This Row],[Quantity2]]*Table1[[#This Row],[Price3]]</f>
        <v>0</v>
      </c>
      <c r="R59" s="2">
        <v>0</v>
      </c>
      <c r="S59" s="2">
        <v>0</v>
      </c>
      <c r="T59" s="2">
        <f>Table1[[#This Row],[Value4]]-Table1[[#This Row],[Brokerage5]]-Table1[[#This Row],[Taxes6]]</f>
        <v>0</v>
      </c>
      <c r="U59" s="2">
        <f>Table1[Value4]-Table1[Value]</f>
        <v>-400</v>
      </c>
      <c r="V59" s="7">
        <f>(Table1[[#This Row],[Value4]]-Table1[[#This Row],[Value]])/Table1[[#This Row],[Value]]</f>
        <v>-1</v>
      </c>
      <c r="W59" s="9" t="str">
        <f>TEXT(Table1[[#This Row],[Sell Date]],"mmm-yy")</f>
        <v>Jul-17</v>
      </c>
      <c r="X59" s="10" t="s">
        <v>47</v>
      </c>
      <c r="Y59" s="2" t="str">
        <f>TEXT(Table1[[#This Row],[Sell Date]],"ddd")</f>
        <v>Wed</v>
      </c>
      <c r="Z59" s="2" t="s">
        <v>93</v>
      </c>
    </row>
    <row r="60" spans="1:26" x14ac:dyDescent="0.25">
      <c r="A60" s="6">
        <v>56</v>
      </c>
      <c r="B60" s="1">
        <v>42922</v>
      </c>
      <c r="C60" t="s">
        <v>19</v>
      </c>
      <c r="D60">
        <v>23700</v>
      </c>
      <c r="E60" t="s">
        <v>20</v>
      </c>
      <c r="F60" s="1">
        <v>42922</v>
      </c>
      <c r="G60">
        <v>200</v>
      </c>
      <c r="H60" s="2">
        <v>1.6</v>
      </c>
      <c r="I60" s="2">
        <f>Table1[[#This Row],[Quantity]]*Table1[[#This Row],[Price]]</f>
        <v>320</v>
      </c>
      <c r="J60" s="2">
        <v>20</v>
      </c>
      <c r="K60" s="2">
        <f>3.63+0.01+0.17</f>
        <v>3.8099999999999996</v>
      </c>
      <c r="L60" s="2">
        <f>Table1[[#This Row],[Value]]+Table1[[#This Row],[Brokerage]]+Table1[[#This Row],[Taxes]]</f>
        <v>343.81</v>
      </c>
      <c r="M60" s="6" t="str">
        <f>CONCATENATE(Table1[[#This Row],[Contract]]," ",Table1[[#This Row],[Strike Price]],IF(Table1[[#This Row],[Type]]="Put","PE","CE"))</f>
        <v>BANKNIFTY 23700CE</v>
      </c>
      <c r="N60" s="1">
        <v>42922</v>
      </c>
      <c r="O60">
        <v>200</v>
      </c>
      <c r="P60" s="2">
        <v>0</v>
      </c>
      <c r="Q60" s="2">
        <f>Table1[[#This Row],[Quantity2]]*Table1[[#This Row],[Price3]]</f>
        <v>0</v>
      </c>
      <c r="R60" s="2">
        <v>0</v>
      </c>
      <c r="S60" s="2">
        <v>0</v>
      </c>
      <c r="T60" s="2">
        <f>Table1[[#This Row],[Value4]]-Table1[[#This Row],[Brokerage5]]-Table1[[#This Row],[Taxes6]]</f>
        <v>0</v>
      </c>
      <c r="U60" s="2">
        <f>Table1[Value4]-Table1[Value]</f>
        <v>-320</v>
      </c>
      <c r="V60" s="7">
        <f>(Table1[[#This Row],[Value4]]-Table1[[#This Row],[Value]])/Table1[[#This Row],[Value]]</f>
        <v>-1</v>
      </c>
      <c r="W60" s="9" t="str">
        <f>TEXT(Table1[[#This Row],[Sell Date]],"mmm-yy")</f>
        <v>Jul-17</v>
      </c>
      <c r="X60" s="10" t="s">
        <v>47</v>
      </c>
      <c r="Y60" s="2" t="str">
        <f>TEXT(Table1[[#This Row],[Sell Date]],"ddd")</f>
        <v>Thu</v>
      </c>
      <c r="Z60" s="2" t="s">
        <v>93</v>
      </c>
    </row>
    <row r="61" spans="1:26" x14ac:dyDescent="0.25">
      <c r="A61" s="6">
        <v>57</v>
      </c>
      <c r="B61" s="1">
        <v>42929</v>
      </c>
      <c r="C61" t="s">
        <v>19</v>
      </c>
      <c r="D61">
        <v>23700</v>
      </c>
      <c r="E61" t="s">
        <v>23</v>
      </c>
      <c r="F61" s="1">
        <v>42929</v>
      </c>
      <c r="G61">
        <v>40</v>
      </c>
      <c r="H61" s="2">
        <v>4.5</v>
      </c>
      <c r="I61" s="2">
        <f>Table1[[#This Row],[Quantity]]*Table1[[#This Row],[Price]]</f>
        <v>180</v>
      </c>
      <c r="J61" s="2">
        <v>20</v>
      </c>
      <c r="K61" s="2"/>
      <c r="L61" s="2">
        <f>Table1[[#This Row],[Value]]+Table1[[#This Row],[Brokerage]]+Table1[[#This Row],[Taxes]]</f>
        <v>200</v>
      </c>
      <c r="M61" s="6" t="str">
        <f>CONCATENATE(Table1[[#This Row],[Contract]]," ",Table1[[#This Row],[Strike Price]],IF(Table1[[#This Row],[Type]]="Put","PE","CE"))</f>
        <v>BANKNIFTY 23700PE</v>
      </c>
      <c r="N61" s="1">
        <v>42929</v>
      </c>
      <c r="O61">
        <v>40</v>
      </c>
      <c r="P61" s="2">
        <v>0</v>
      </c>
      <c r="Q61" s="2">
        <f>Table1[[#This Row],[Quantity2]]*Table1[[#This Row],[Price3]]</f>
        <v>0</v>
      </c>
      <c r="R61" s="2">
        <v>0</v>
      </c>
      <c r="S61" s="2">
        <v>0</v>
      </c>
      <c r="T61" s="2">
        <f>Table1[[#This Row],[Value4]]-Table1[[#This Row],[Brokerage5]]-Table1[[#This Row],[Taxes6]]</f>
        <v>0</v>
      </c>
      <c r="U61" s="2">
        <f>Table1[Value4]-Table1[Value]</f>
        <v>-180</v>
      </c>
      <c r="V61" s="7">
        <f>(Table1[[#This Row],[Value4]]-Table1[[#This Row],[Value]])/Table1[[#This Row],[Value]]</f>
        <v>-1</v>
      </c>
      <c r="W61" s="9" t="str">
        <f>TEXT(Table1[[#This Row],[Sell Date]],"mmm-yy")</f>
        <v>Jul-17</v>
      </c>
      <c r="X61" s="10" t="s">
        <v>47</v>
      </c>
      <c r="Y61" s="2" t="str">
        <f>TEXT(Table1[[#This Row],[Sell Date]],"ddd")</f>
        <v>Thu</v>
      </c>
      <c r="Z61" s="2" t="s">
        <v>93</v>
      </c>
    </row>
    <row r="62" spans="1:26" x14ac:dyDescent="0.25">
      <c r="A62" s="6">
        <v>58</v>
      </c>
      <c r="B62" s="1">
        <v>42929</v>
      </c>
      <c r="C62" t="s">
        <v>95</v>
      </c>
      <c r="D62">
        <v>700</v>
      </c>
      <c r="E62" t="s">
        <v>20</v>
      </c>
      <c r="F62" s="1">
        <v>42943</v>
      </c>
      <c r="G62">
        <v>700</v>
      </c>
      <c r="H62" s="2">
        <v>5.65</v>
      </c>
      <c r="I62" s="2">
        <f>Table1[[#This Row],[Quantity]]*Table1[[#This Row],[Price]]</f>
        <v>3955.0000000000005</v>
      </c>
      <c r="J62" s="2">
        <v>20</v>
      </c>
      <c r="K62" s="2"/>
      <c r="L62" s="2">
        <f>Table1[[#This Row],[Value]]+Table1[[#This Row],[Brokerage]]+Table1[[#This Row],[Taxes]]</f>
        <v>3975.0000000000005</v>
      </c>
      <c r="M62" s="6" t="str">
        <f>CONCATENATE(Table1[[#This Row],[Contract]]," ",Table1[[#This Row],[Strike Price]],IF(Table1[[#This Row],[Type]]="Put","PE","CE"))</f>
        <v>TATACOMM 700CE</v>
      </c>
      <c r="N62" s="1">
        <v>42930</v>
      </c>
      <c r="O62">
        <v>700</v>
      </c>
      <c r="P62" s="2">
        <v>9</v>
      </c>
      <c r="Q62" s="2">
        <f>Table1[[#This Row],[Quantity2]]*Table1[[#This Row],[Price3]]</f>
        <v>6300</v>
      </c>
      <c r="R62" s="2">
        <v>20</v>
      </c>
      <c r="S62" s="2">
        <f>3.34+4.2+3+0.01+0.13</f>
        <v>10.68</v>
      </c>
      <c r="T62" s="2">
        <f>Table1[[#This Row],[Value4]]-Table1[[#This Row],[Brokerage5]]-Table1[[#This Row],[Taxes6]]</f>
        <v>6269.32</v>
      </c>
      <c r="U62" s="2">
        <f>Table1[Value4]-Table1[Value]</f>
        <v>2344.9999999999995</v>
      </c>
      <c r="V62" s="7">
        <f>(Table1[[#This Row],[Value4]]-Table1[[#This Row],[Value]])/Table1[[#This Row],[Value]]</f>
        <v>0.5929203539823007</v>
      </c>
      <c r="W62" s="9" t="str">
        <f>TEXT(Table1[[#This Row],[Sell Date]],"mmm-yy")</f>
        <v>Jul-17</v>
      </c>
      <c r="X62" s="10" t="s">
        <v>47</v>
      </c>
      <c r="Y62" s="2" t="str">
        <f>TEXT(Table1[[#This Row],[Sell Date]],"ddd")</f>
        <v>Fri</v>
      </c>
      <c r="Z62" s="2" t="s">
        <v>92</v>
      </c>
    </row>
    <row r="63" spans="1:26" x14ac:dyDescent="0.25">
      <c r="A63" s="6">
        <v>59</v>
      </c>
      <c r="B63" s="1">
        <v>42933</v>
      </c>
      <c r="C63" t="s">
        <v>96</v>
      </c>
      <c r="D63">
        <v>340</v>
      </c>
      <c r="E63" t="s">
        <v>20</v>
      </c>
      <c r="F63" s="1">
        <v>42943</v>
      </c>
      <c r="G63">
        <v>2400</v>
      </c>
      <c r="H63" s="2">
        <v>2.6</v>
      </c>
      <c r="I63" s="2">
        <f>Table1[[#This Row],[Quantity]]*Table1[[#This Row],[Price]]</f>
        <v>6240</v>
      </c>
      <c r="J63" s="2">
        <v>20</v>
      </c>
      <c r="K63" s="2">
        <f>3.31+4.2+0.01+0.13</f>
        <v>7.6499999999999995</v>
      </c>
      <c r="L63" s="2">
        <f>Table1[[#This Row],[Value]]+Table1[[#This Row],[Brokerage]]+Table1[[#This Row],[Taxes]]</f>
        <v>6267.65</v>
      </c>
      <c r="M63" s="6" t="str">
        <f>CONCATENATE(Table1[[#This Row],[Contract]]," ",Table1[[#This Row],[Strike Price]],IF(Table1[[#This Row],[Type]]="Put","PE","CE"))</f>
        <v>ITC 340CE</v>
      </c>
      <c r="N63" s="1">
        <v>42943</v>
      </c>
      <c r="O63">
        <v>2400</v>
      </c>
      <c r="P63" s="2">
        <v>0</v>
      </c>
      <c r="Q63" s="2">
        <f>Table1[[#This Row],[Quantity2]]*Table1[[#This Row],[Price3]]</f>
        <v>0</v>
      </c>
      <c r="R63" s="2">
        <v>0</v>
      </c>
      <c r="S63" s="2">
        <v>0</v>
      </c>
      <c r="T63" s="2">
        <f>Table1[[#This Row],[Value4]]-Table1[[#This Row],[Brokerage5]]-Table1[[#This Row],[Taxes6]]</f>
        <v>0</v>
      </c>
      <c r="U63" s="2">
        <f>Table1[Value4]-Table1[Value]</f>
        <v>-6240</v>
      </c>
      <c r="V63" s="7">
        <f>(Table1[[#This Row],[Value4]]-Table1[[#This Row],[Value]])/Table1[[#This Row],[Value]]</f>
        <v>-1</v>
      </c>
      <c r="W63" s="9" t="str">
        <f>TEXT(Table1[[#This Row],[Sell Date]],"mmm-yy")</f>
        <v>Jul-17</v>
      </c>
      <c r="X63" s="10" t="s">
        <v>47</v>
      </c>
      <c r="Y63" s="2" t="str">
        <f>TEXT(Table1[[#This Row],[Sell Date]],"ddd")</f>
        <v>Thu</v>
      </c>
      <c r="Z63" s="2" t="s">
        <v>92</v>
      </c>
    </row>
    <row r="64" spans="1:26" x14ac:dyDescent="0.25">
      <c r="A64" s="6">
        <v>60</v>
      </c>
      <c r="B64" s="1">
        <v>42934</v>
      </c>
      <c r="C64" t="s">
        <v>96</v>
      </c>
      <c r="D64">
        <v>340</v>
      </c>
      <c r="E64" t="s">
        <v>20</v>
      </c>
      <c r="F64" s="1">
        <v>42943</v>
      </c>
      <c r="G64">
        <v>2400</v>
      </c>
      <c r="H64" s="2">
        <v>0.35</v>
      </c>
      <c r="I64" s="2">
        <f>Table1[[#This Row],[Quantity]]*Table1[[#This Row],[Price]]</f>
        <v>840</v>
      </c>
      <c r="J64" s="2">
        <v>20</v>
      </c>
      <c r="K64" s="2">
        <f>0.45+3.68+0.02</f>
        <v>4.1499999999999995</v>
      </c>
      <c r="L64" s="2">
        <f>Table1[[#This Row],[Value]]+Table1[[#This Row],[Brokerage]]+Table1[[#This Row],[Taxes]]</f>
        <v>864.15</v>
      </c>
      <c r="M64" s="6" t="str">
        <f>CONCATENATE(Table1[[#This Row],[Contract]]," ",Table1[[#This Row],[Strike Price]],IF(Table1[[#This Row],[Type]]="Put","PE","CE"))</f>
        <v>ITC 340CE</v>
      </c>
      <c r="N64" s="1">
        <v>42943</v>
      </c>
      <c r="O64">
        <v>2400</v>
      </c>
      <c r="P64" s="2">
        <v>0</v>
      </c>
      <c r="Q64" s="2">
        <f>Table1[[#This Row],[Quantity2]]*Table1[[#This Row],[Price3]]</f>
        <v>0</v>
      </c>
      <c r="R64" s="2">
        <v>0</v>
      </c>
      <c r="S64" s="2">
        <v>0</v>
      </c>
      <c r="T64" s="2">
        <f>Table1[[#This Row],[Value4]]-Table1[[#This Row],[Brokerage5]]-Table1[[#This Row],[Taxes6]]</f>
        <v>0</v>
      </c>
      <c r="U64" s="2">
        <f>Table1[Value4]-Table1[Value]</f>
        <v>-840</v>
      </c>
      <c r="V64" s="7">
        <f>(Table1[[#This Row],[Value4]]-Table1[[#This Row],[Value]])/Table1[[#This Row],[Value]]</f>
        <v>-1</v>
      </c>
      <c r="W64" s="9" t="str">
        <f>TEXT(Table1[[#This Row],[Sell Date]],"mmm-yy")</f>
        <v>Jul-17</v>
      </c>
      <c r="X64" s="10" t="s">
        <v>47</v>
      </c>
      <c r="Y64" s="2" t="str">
        <f>TEXT(Table1[[#This Row],[Sell Date]],"ddd")</f>
        <v>Thu</v>
      </c>
      <c r="Z64" s="2" t="s">
        <v>92</v>
      </c>
    </row>
    <row r="65" spans="1:26" x14ac:dyDescent="0.25">
      <c r="A65" s="6">
        <v>61</v>
      </c>
      <c r="B65" s="1">
        <v>42936</v>
      </c>
      <c r="C65" t="s">
        <v>19</v>
      </c>
      <c r="D65">
        <v>23900</v>
      </c>
      <c r="E65" t="s">
        <v>23</v>
      </c>
      <c r="F65" s="1">
        <v>42936</v>
      </c>
      <c r="G65">
        <v>40</v>
      </c>
      <c r="H65" s="2">
        <v>1.3</v>
      </c>
      <c r="I65" s="2">
        <f>Table1[[#This Row],[Quantity]]*Table1[[#This Row],[Price]]</f>
        <v>52</v>
      </c>
      <c r="J65" s="2">
        <v>20</v>
      </c>
      <c r="K65" s="2"/>
      <c r="L65" s="2">
        <f>Table1[[#This Row],[Value]]+Table1[[#This Row],[Brokerage]]+Table1[[#This Row],[Taxes]]</f>
        <v>72</v>
      </c>
      <c r="M65" s="6" t="str">
        <f>CONCATENATE(Table1[[#This Row],[Contract]]," ",Table1[[#This Row],[Strike Price]],IF(Table1[[#This Row],[Type]]="Put","PE","CE"))</f>
        <v>BANKNIFTY 23900PE</v>
      </c>
      <c r="N65" s="1">
        <v>42936</v>
      </c>
      <c r="O65">
        <v>40</v>
      </c>
      <c r="P65" s="2">
        <v>0</v>
      </c>
      <c r="Q65" s="2">
        <f>Table1[[#This Row],[Quantity2]]*Table1[[#This Row],[Price3]]</f>
        <v>0</v>
      </c>
      <c r="R65" s="2">
        <v>0</v>
      </c>
      <c r="S65" s="2">
        <v>0</v>
      </c>
      <c r="T65" s="2">
        <f>Table1[[#This Row],[Value4]]-Table1[[#This Row],[Brokerage5]]-Table1[[#This Row],[Taxes6]]</f>
        <v>0</v>
      </c>
      <c r="U65" s="2">
        <f>Table1[Value4]-Table1[Value]</f>
        <v>-52</v>
      </c>
      <c r="V65" s="7">
        <f>(Table1[[#This Row],[Value4]]-Table1[[#This Row],[Value]])/Table1[[#This Row],[Value]]</f>
        <v>-1</v>
      </c>
      <c r="W65" s="9" t="str">
        <f>TEXT(Table1[[#This Row],[Sell Date]],"mmm-yy")</f>
        <v>Jul-17</v>
      </c>
      <c r="X65" s="10" t="s">
        <v>47</v>
      </c>
      <c r="Y65" s="2" t="str">
        <f>TEXT(Table1[[#This Row],[Sell Date]],"ddd")</f>
        <v>Thu</v>
      </c>
      <c r="Z65" s="2" t="s">
        <v>93</v>
      </c>
    </row>
    <row r="66" spans="1:26" x14ac:dyDescent="0.25">
      <c r="A66" s="6">
        <v>62</v>
      </c>
      <c r="B66" s="1">
        <v>42955</v>
      </c>
      <c r="C66" t="s">
        <v>19</v>
      </c>
      <c r="D66">
        <v>24900</v>
      </c>
      <c r="E66" t="s">
        <v>20</v>
      </c>
      <c r="F66" s="1">
        <v>42957</v>
      </c>
      <c r="G66">
        <v>40</v>
      </c>
      <c r="H66" s="2">
        <v>24</v>
      </c>
      <c r="I66" s="2">
        <f>Table1[[#This Row],[Quantity]]*Table1[[#This Row],[Price]]</f>
        <v>960</v>
      </c>
      <c r="J66" s="2">
        <v>20</v>
      </c>
      <c r="K66" s="2"/>
      <c r="L66" s="2">
        <f>Table1[[#This Row],[Value]]+Table1[[#This Row],[Brokerage]]+Table1[[#This Row],[Taxes]]</f>
        <v>980</v>
      </c>
      <c r="M66" s="6" t="str">
        <f>CONCATENATE(Table1[[#This Row],[Contract]]," ",Table1[[#This Row],[Strike Price]],IF(Table1[[#This Row],[Type]]="Put","PE","CE"))</f>
        <v>BANKNIFTY 24900CE</v>
      </c>
      <c r="N66" s="1">
        <v>42955</v>
      </c>
      <c r="O66">
        <v>40</v>
      </c>
      <c r="P66" s="2">
        <v>25.55</v>
      </c>
      <c r="Q66" s="2">
        <f>Table1[[#This Row],[Quantity2]]*Table1[[#This Row],[Price3]]</f>
        <v>1022</v>
      </c>
      <c r="R66" s="2">
        <v>20</v>
      </c>
      <c r="S66" s="2"/>
      <c r="T66" s="2">
        <f>Table1[[#This Row],[Value4]]-Table1[[#This Row],[Brokerage5]]-Table1[[#This Row],[Taxes6]]</f>
        <v>1002</v>
      </c>
      <c r="U66" s="2">
        <f>Table1[Value4]-Table1[Value]</f>
        <v>62</v>
      </c>
      <c r="V66" s="7">
        <f>(Table1[[#This Row],[Value4]]-Table1[[#This Row],[Value]])/Table1[[#This Row],[Value]]</f>
        <v>6.458333333333334E-2</v>
      </c>
      <c r="W66" s="9" t="str">
        <f>TEXT(Table1[[#This Row],[Sell Date]],"mmm-yy")</f>
        <v>Aug-17</v>
      </c>
      <c r="X66" s="10" t="s">
        <v>47</v>
      </c>
      <c r="Y66" s="2" t="str">
        <f>TEXT(Table1[[#This Row],[Sell Date]],"ddd")</f>
        <v>Tue</v>
      </c>
      <c r="Z66" s="2" t="s">
        <v>93</v>
      </c>
    </row>
    <row r="67" spans="1:26" x14ac:dyDescent="0.25">
      <c r="A67" s="6">
        <v>63</v>
      </c>
      <c r="B67" s="1">
        <v>42956</v>
      </c>
      <c r="C67" t="s">
        <v>19</v>
      </c>
      <c r="D67">
        <v>24800</v>
      </c>
      <c r="E67" t="s">
        <v>20</v>
      </c>
      <c r="F67" s="1">
        <v>42957</v>
      </c>
      <c r="G67">
        <v>40</v>
      </c>
      <c r="H67" s="2">
        <v>13.4</v>
      </c>
      <c r="I67" s="2">
        <f>Table1[[#This Row],[Quantity]]*Table1[[#This Row],[Price]]</f>
        <v>536</v>
      </c>
      <c r="J67" s="2">
        <v>20</v>
      </c>
      <c r="K67" s="2"/>
      <c r="L67" s="2">
        <f>Table1[[#This Row],[Value]]+Table1[[#This Row],[Brokerage]]+Table1[[#This Row],[Taxes]]</f>
        <v>556</v>
      </c>
      <c r="M67" s="6" t="str">
        <f>CONCATENATE(Table1[[#This Row],[Contract]]," ",Table1[[#This Row],[Strike Price]],IF(Table1[[#This Row],[Type]]="Put","PE","CE"))</f>
        <v>BANKNIFTY 24800CE</v>
      </c>
      <c r="N67" s="1">
        <v>42957</v>
      </c>
      <c r="O67">
        <v>40</v>
      </c>
      <c r="P67" s="2">
        <v>0</v>
      </c>
      <c r="Q67" s="2">
        <f>Table1[[#This Row],[Quantity2]]*Table1[[#This Row],[Price3]]</f>
        <v>0</v>
      </c>
      <c r="R67" s="2">
        <v>0</v>
      </c>
      <c r="S67" s="2">
        <v>0</v>
      </c>
      <c r="T67" s="2">
        <f>Table1[[#This Row],[Value4]]-Table1[[#This Row],[Brokerage5]]-Table1[[#This Row],[Taxes6]]</f>
        <v>0</v>
      </c>
      <c r="U67" s="2">
        <f>Table1[Value4]-Table1[Value]</f>
        <v>-536</v>
      </c>
      <c r="V67" s="7">
        <f>(Table1[[#This Row],[Value4]]-Table1[[#This Row],[Value]])/Table1[[#This Row],[Value]]</f>
        <v>-1</v>
      </c>
      <c r="W67" s="9" t="str">
        <f>TEXT(Table1[[#This Row],[Sell Date]],"mmm-yy")</f>
        <v>Aug-17</v>
      </c>
      <c r="X67" s="10" t="s">
        <v>47</v>
      </c>
      <c r="Y67" s="2" t="str">
        <f>TEXT(Table1[[#This Row],[Sell Date]],"ddd")</f>
        <v>Thu</v>
      </c>
      <c r="Z67" s="2" t="s">
        <v>93</v>
      </c>
    </row>
    <row r="68" spans="1:26" x14ac:dyDescent="0.25">
      <c r="A68" s="6">
        <v>64</v>
      </c>
      <c r="B68" s="1">
        <v>42956</v>
      </c>
      <c r="C68" t="s">
        <v>19</v>
      </c>
      <c r="D68">
        <v>24700</v>
      </c>
      <c r="E68" t="s">
        <v>20</v>
      </c>
      <c r="F68" s="1">
        <v>42957</v>
      </c>
      <c r="G68">
        <v>40</v>
      </c>
      <c r="H68" s="2">
        <v>10.45</v>
      </c>
      <c r="I68" s="2">
        <f>Table1[[#This Row],[Quantity]]*Table1[[#This Row],[Price]]</f>
        <v>418</v>
      </c>
      <c r="J68" s="2">
        <v>20</v>
      </c>
      <c r="K68" s="2"/>
      <c r="L68" s="2">
        <f>Table1[[#This Row],[Value]]+Table1[[#This Row],[Brokerage]]+Table1[[#This Row],[Taxes]]</f>
        <v>438</v>
      </c>
      <c r="M68" s="6" t="str">
        <f>CONCATENATE(Table1[[#This Row],[Contract]]," ",Table1[[#This Row],[Strike Price]],IF(Table1[[#This Row],[Type]]="Put","PE","CE"))</f>
        <v>BANKNIFTY 24700CE</v>
      </c>
      <c r="N68" s="1">
        <v>42957</v>
      </c>
      <c r="O68">
        <v>40</v>
      </c>
      <c r="P68" s="2">
        <v>0</v>
      </c>
      <c r="Q68" s="2">
        <f>Table1[[#This Row],[Quantity2]]*Table1[[#This Row],[Price3]]</f>
        <v>0</v>
      </c>
      <c r="R68" s="2">
        <v>0</v>
      </c>
      <c r="S68" s="2">
        <v>0</v>
      </c>
      <c r="T68" s="2">
        <f>Table1[[#This Row],[Value4]]-Table1[[#This Row],[Brokerage5]]-Table1[[#This Row],[Taxes6]]</f>
        <v>0</v>
      </c>
      <c r="U68" s="2">
        <f>Table1[Value4]-Table1[Value]</f>
        <v>-418</v>
      </c>
      <c r="V68" s="7">
        <f>(Table1[[#This Row],[Value4]]-Table1[[#This Row],[Value]])/Table1[[#This Row],[Value]]</f>
        <v>-1</v>
      </c>
      <c r="W68" s="9" t="str">
        <f>TEXT(Table1[[#This Row],[Sell Date]],"mmm-yy")</f>
        <v>Aug-17</v>
      </c>
      <c r="X68" s="10" t="s">
        <v>47</v>
      </c>
      <c r="Y68" s="2" t="str">
        <f>TEXT(Table1[[#This Row],[Sell Date]],"ddd")</f>
        <v>Thu</v>
      </c>
      <c r="Z68" s="2" t="s">
        <v>93</v>
      </c>
    </row>
    <row r="69" spans="1:26" x14ac:dyDescent="0.25">
      <c r="A69" s="6">
        <v>65</v>
      </c>
      <c r="B69" s="1">
        <v>42961</v>
      </c>
      <c r="C69" t="s">
        <v>19</v>
      </c>
      <c r="D69">
        <v>24800</v>
      </c>
      <c r="E69" t="s">
        <v>20</v>
      </c>
      <c r="F69" s="1">
        <v>42964</v>
      </c>
      <c r="G69">
        <v>40</v>
      </c>
      <c r="H69" s="2">
        <v>6</v>
      </c>
      <c r="I69" s="2">
        <f>Table1[[#This Row],[Quantity]]*Table1[[#This Row],[Price]]</f>
        <v>240</v>
      </c>
      <c r="J69" s="2">
        <v>20</v>
      </c>
      <c r="K69" s="2"/>
      <c r="L69" s="2">
        <f>Table1[[#This Row],[Value]]+Table1[[#This Row],[Brokerage]]+Table1[[#This Row],[Taxes]]</f>
        <v>260</v>
      </c>
      <c r="M69" s="6" t="str">
        <f>CONCATENATE(Table1[[#This Row],[Contract]]," ",Table1[[#This Row],[Strike Price]],IF(Table1[[#This Row],[Type]]="Put","PE","CE"))</f>
        <v>BANKNIFTY 24800CE</v>
      </c>
      <c r="N69" s="1">
        <v>42961</v>
      </c>
      <c r="O69">
        <v>40</v>
      </c>
      <c r="P69" s="2">
        <v>3.5</v>
      </c>
      <c r="Q69" s="2">
        <f>Table1[[#This Row],[Quantity2]]*Table1[[#This Row],[Price3]]</f>
        <v>140</v>
      </c>
      <c r="R69" s="2">
        <v>20</v>
      </c>
      <c r="S69" s="2"/>
      <c r="T69" s="2">
        <f>Table1[[#This Row],[Value4]]-Table1[[#This Row],[Brokerage5]]-Table1[[#This Row],[Taxes6]]</f>
        <v>120</v>
      </c>
      <c r="U69" s="2">
        <f>Table1[Value4]-Table1[Value]</f>
        <v>-100</v>
      </c>
      <c r="V69" s="7">
        <f>(Table1[[#This Row],[Value4]]-Table1[[#This Row],[Value]])/Table1[[#This Row],[Value]]</f>
        <v>-0.41666666666666669</v>
      </c>
      <c r="W69" s="9" t="str">
        <f>TEXT(Table1[[#This Row],[Sell Date]],"mmm-yy")</f>
        <v>Aug-17</v>
      </c>
      <c r="X69" s="10" t="s">
        <v>47</v>
      </c>
      <c r="Y69" s="2" t="str">
        <f>TEXT(Table1[[#This Row],[Sell Date]],"ddd")</f>
        <v>Mon</v>
      </c>
      <c r="Z69" s="2" t="s">
        <v>93</v>
      </c>
    </row>
    <row r="70" spans="1:26" x14ac:dyDescent="0.25">
      <c r="A70" s="6">
        <v>66</v>
      </c>
      <c r="B70" s="1">
        <v>42963</v>
      </c>
      <c r="C70" t="s">
        <v>19</v>
      </c>
      <c r="D70">
        <v>24400</v>
      </c>
      <c r="E70" t="s">
        <v>20</v>
      </c>
      <c r="F70" s="1">
        <v>42964</v>
      </c>
      <c r="G70">
        <v>40</v>
      </c>
      <c r="H70" s="2">
        <v>14.65</v>
      </c>
      <c r="I70" s="2">
        <f>Table1[[#This Row],[Quantity]]*Table1[[#This Row],[Price]]</f>
        <v>586</v>
      </c>
      <c r="J70" s="2">
        <v>20</v>
      </c>
      <c r="K70" s="2"/>
      <c r="L70" s="2">
        <f>Table1[[#This Row],[Value]]+Table1[[#This Row],[Brokerage]]+Table1[[#This Row],[Taxes]]</f>
        <v>606</v>
      </c>
      <c r="M70" s="6" t="str">
        <f>CONCATENATE(Table1[[#This Row],[Contract]]," ",Table1[[#This Row],[Strike Price]],IF(Table1[[#This Row],[Type]]="Put","PE","CE"))</f>
        <v>BANKNIFTY 24400CE</v>
      </c>
      <c r="N70" s="1">
        <v>42963</v>
      </c>
      <c r="O70">
        <v>40</v>
      </c>
      <c r="P70" s="2">
        <v>13</v>
      </c>
      <c r="Q70" s="2">
        <f>Table1[[#This Row],[Quantity2]]*Table1[[#This Row],[Price3]]</f>
        <v>520</v>
      </c>
      <c r="R70" s="2"/>
      <c r="S70" s="2"/>
      <c r="T70" s="2">
        <f>Table1[[#This Row],[Value4]]-Table1[[#This Row],[Brokerage5]]-Table1[[#This Row],[Taxes6]]</f>
        <v>520</v>
      </c>
      <c r="U70" s="2">
        <f>Table1[Value4]-Table1[Value]</f>
        <v>-66</v>
      </c>
      <c r="V70" s="7">
        <f>(Table1[[#This Row],[Value4]]-Table1[[#This Row],[Value]])/Table1[[#This Row],[Value]]</f>
        <v>-0.11262798634812286</v>
      </c>
      <c r="W70" s="9" t="str">
        <f>TEXT(Table1[[#This Row],[Sell Date]],"mmm-yy")</f>
        <v>Aug-17</v>
      </c>
      <c r="X70" s="10" t="s">
        <v>47</v>
      </c>
      <c r="Y70" s="2" t="str">
        <f>TEXT(Table1[[#This Row],[Sell Date]],"ddd")</f>
        <v>Wed</v>
      </c>
      <c r="Z70" s="2" t="s">
        <v>93</v>
      </c>
    </row>
    <row r="71" spans="1:26" x14ac:dyDescent="0.25">
      <c r="A71" s="6">
        <v>67</v>
      </c>
      <c r="B71" s="1">
        <v>42963</v>
      </c>
      <c r="C71" t="s">
        <v>19</v>
      </c>
      <c r="D71">
        <v>24400</v>
      </c>
      <c r="E71" t="s">
        <v>20</v>
      </c>
      <c r="F71" s="1">
        <v>42964</v>
      </c>
      <c r="G71">
        <v>40</v>
      </c>
      <c r="H71" s="2">
        <v>12.45</v>
      </c>
      <c r="I71" s="2">
        <f>Table1[[#This Row],[Quantity]]*Table1[[#This Row],[Price]]</f>
        <v>498</v>
      </c>
      <c r="J71" s="2">
        <v>20</v>
      </c>
      <c r="K71" s="2"/>
      <c r="L71" s="2">
        <f>Table1[[#This Row],[Value]]+Table1[[#This Row],[Brokerage]]+Table1[[#This Row],[Taxes]]</f>
        <v>518</v>
      </c>
      <c r="M71" s="6" t="str">
        <f>CONCATENATE(Table1[[#This Row],[Contract]]," ",Table1[[#This Row],[Strike Price]],IF(Table1[[#This Row],[Type]]="Put","PE","CE"))</f>
        <v>BANKNIFTY 24400CE</v>
      </c>
      <c r="N71" s="1">
        <v>42963</v>
      </c>
      <c r="O71">
        <v>40</v>
      </c>
      <c r="P71" s="2">
        <v>30</v>
      </c>
      <c r="Q71" s="2">
        <f>Table1[[#This Row],[Quantity2]]*Table1[[#This Row],[Price3]]</f>
        <v>1200</v>
      </c>
      <c r="R71" s="2"/>
      <c r="S71" s="2"/>
      <c r="T71" s="2">
        <f>Table1[[#This Row],[Value4]]-Table1[[#This Row],[Brokerage5]]-Table1[[#This Row],[Taxes6]]</f>
        <v>1200</v>
      </c>
      <c r="U71" s="2">
        <f>Table1[Value4]-Table1[Value]</f>
        <v>702</v>
      </c>
      <c r="V71" s="7">
        <f>(Table1[[#This Row],[Value4]]-Table1[[#This Row],[Value]])/Table1[[#This Row],[Value]]</f>
        <v>1.4096385542168675</v>
      </c>
      <c r="W71" s="9" t="str">
        <f>TEXT(Table1[[#This Row],[Sell Date]],"mmm-yy")</f>
        <v>Aug-17</v>
      </c>
      <c r="X71" s="10" t="s">
        <v>47</v>
      </c>
      <c r="Y71" s="2" t="str">
        <f>TEXT(Table1[[#This Row],[Sell Date]],"ddd")</f>
        <v>Wed</v>
      </c>
      <c r="Z71" s="2" t="s">
        <v>93</v>
      </c>
    </row>
    <row r="72" spans="1:26" x14ac:dyDescent="0.25">
      <c r="A72" s="6">
        <v>68</v>
      </c>
      <c r="B72" s="1">
        <v>42963</v>
      </c>
      <c r="C72" t="s">
        <v>19</v>
      </c>
      <c r="D72">
        <v>24400</v>
      </c>
      <c r="E72" t="s">
        <v>20</v>
      </c>
      <c r="F72" s="1">
        <v>42964</v>
      </c>
      <c r="G72">
        <v>40</v>
      </c>
      <c r="H72" s="2">
        <v>27.2</v>
      </c>
      <c r="I72" s="2">
        <f>Table1[[#This Row],[Quantity]]*Table1[[#This Row],[Price]]</f>
        <v>1088</v>
      </c>
      <c r="J72" s="2">
        <v>20</v>
      </c>
      <c r="K72" s="2"/>
      <c r="L72" s="2">
        <f>Table1[[#This Row],[Value]]+Table1[[#This Row],[Brokerage]]+Table1[[#This Row],[Taxes]]</f>
        <v>1108</v>
      </c>
      <c r="M72" s="6" t="str">
        <f>CONCATENATE(Table1[[#This Row],[Contract]]," ",Table1[[#This Row],[Strike Price]],IF(Table1[[#This Row],[Type]]="Put","PE","CE"))</f>
        <v>BANKNIFTY 24400CE</v>
      </c>
      <c r="N72" s="1">
        <v>42963</v>
      </c>
      <c r="O72">
        <v>40</v>
      </c>
      <c r="P72" s="2">
        <v>65</v>
      </c>
      <c r="Q72" s="2">
        <f>Table1[[#This Row],[Quantity2]]*Table1[[#This Row],[Price3]]</f>
        <v>2600</v>
      </c>
      <c r="R72" s="2"/>
      <c r="S72" s="2"/>
      <c r="T72" s="2">
        <f>Table1[[#This Row],[Value4]]-Table1[[#This Row],[Brokerage5]]-Table1[[#This Row],[Taxes6]]</f>
        <v>2600</v>
      </c>
      <c r="U72" s="2">
        <f>Table1[Value4]-Table1[Value]</f>
        <v>1512</v>
      </c>
      <c r="V72" s="7">
        <f>(Table1[[#This Row],[Value4]]-Table1[[#This Row],[Value]])/Table1[[#This Row],[Value]]</f>
        <v>1.3897058823529411</v>
      </c>
      <c r="W72" s="9" t="str">
        <f>TEXT(Table1[[#This Row],[Sell Date]],"mmm-yy")</f>
        <v>Aug-17</v>
      </c>
      <c r="X72" s="10" t="s">
        <v>47</v>
      </c>
      <c r="Y72" s="2" t="str">
        <f>TEXT(Table1[[#This Row],[Sell Date]],"ddd")</f>
        <v>Wed</v>
      </c>
      <c r="Z72" s="2" t="s">
        <v>93</v>
      </c>
    </row>
    <row r="73" spans="1:26" x14ac:dyDescent="0.25">
      <c r="A73" s="6">
        <v>69</v>
      </c>
      <c r="B73" s="1">
        <v>42963</v>
      </c>
      <c r="C73" t="s">
        <v>28</v>
      </c>
      <c r="D73">
        <v>2700</v>
      </c>
      <c r="E73" t="s">
        <v>20</v>
      </c>
      <c r="F73" s="1">
        <v>42978</v>
      </c>
      <c r="G73">
        <v>250</v>
      </c>
      <c r="H73" s="2">
        <v>3.65</v>
      </c>
      <c r="I73" s="2">
        <f>Table1[[#This Row],[Quantity]]*Table1[[#This Row],[Price]]</f>
        <v>912.5</v>
      </c>
      <c r="J73" s="2">
        <v>20</v>
      </c>
      <c r="K73" s="2"/>
      <c r="L73" s="2">
        <f>Table1[[#This Row],[Value]]+Table1[[#This Row],[Brokerage]]+Table1[[#This Row],[Taxes]]</f>
        <v>932.5</v>
      </c>
      <c r="M73" s="6" t="str">
        <f>CONCATENATE(Table1[[#This Row],[Contract]]," ",Table1[[#This Row],[Strike Price]],IF(Table1[[#This Row],[Type]]="Put","PE","CE"))</f>
        <v>TCS 2700CE</v>
      </c>
      <c r="N73" s="1">
        <v>42964</v>
      </c>
      <c r="O73">
        <v>250</v>
      </c>
      <c r="P73" s="2">
        <v>3.5</v>
      </c>
      <c r="Q73" s="2">
        <f>Table1[[#This Row],[Quantity2]]*Table1[[#This Row],[Price3]]</f>
        <v>875</v>
      </c>
      <c r="R73" s="2"/>
      <c r="S73" s="2"/>
      <c r="T73" s="2">
        <f>Table1[[#This Row],[Value4]]-Table1[[#This Row],[Brokerage5]]-Table1[[#This Row],[Taxes6]]</f>
        <v>875</v>
      </c>
      <c r="U73" s="2">
        <f>Table1[Value4]-Table1[Value]</f>
        <v>-37.5</v>
      </c>
      <c r="V73" s="7">
        <f>(Table1[[#This Row],[Value4]]-Table1[[#This Row],[Value]])/Table1[[#This Row],[Value]]</f>
        <v>-4.1095890410958902E-2</v>
      </c>
      <c r="W73" s="9" t="str">
        <f>TEXT(Table1[[#This Row],[Sell Date]],"mmm-yy")</f>
        <v>Aug-17</v>
      </c>
      <c r="X73" s="10" t="s">
        <v>47</v>
      </c>
      <c r="Y73" s="2" t="str">
        <f>TEXT(Table1[[#This Row],[Sell Date]],"ddd")</f>
        <v>Thu</v>
      </c>
      <c r="Z73" s="2" t="s">
        <v>93</v>
      </c>
    </row>
    <row r="74" spans="1:26" x14ac:dyDescent="0.25">
      <c r="A74" s="6">
        <v>70</v>
      </c>
      <c r="B74" s="1">
        <v>42964</v>
      </c>
      <c r="C74" t="s">
        <v>19</v>
      </c>
      <c r="D74">
        <v>24100</v>
      </c>
      <c r="E74" t="s">
        <v>23</v>
      </c>
      <c r="F74" s="1">
        <v>42964</v>
      </c>
      <c r="G74">
        <v>40</v>
      </c>
      <c r="H74" s="2">
        <v>4.5</v>
      </c>
      <c r="I74" s="2">
        <f>Table1[[#This Row],[Quantity]]*Table1[[#This Row],[Price]]</f>
        <v>180</v>
      </c>
      <c r="J74" s="2">
        <v>20</v>
      </c>
      <c r="K74" s="2"/>
      <c r="L74" s="2">
        <f>Table1[[#This Row],[Value]]+Table1[[#This Row],[Brokerage]]+Table1[[#This Row],[Taxes]]</f>
        <v>200</v>
      </c>
      <c r="M74" s="6" t="str">
        <f>CONCATENATE(Table1[[#This Row],[Contract]]," ",Table1[[#This Row],[Strike Price]],IF(Table1[[#This Row],[Type]]="Put","PE","CE"))</f>
        <v>BANKNIFTY 24100PE</v>
      </c>
      <c r="N74" s="1">
        <v>42964</v>
      </c>
      <c r="O74">
        <v>40</v>
      </c>
      <c r="P74" s="2">
        <v>2</v>
      </c>
      <c r="Q74" s="2">
        <f>Table1[[#This Row],[Quantity2]]*Table1[[#This Row],[Price3]]</f>
        <v>80</v>
      </c>
      <c r="R74" s="2"/>
      <c r="S74" s="2"/>
      <c r="T74" s="2">
        <f>Table1[[#This Row],[Value4]]-Table1[[#This Row],[Brokerage5]]-Table1[[#This Row],[Taxes6]]</f>
        <v>80</v>
      </c>
      <c r="U74" s="2">
        <f>Table1[Value4]-Table1[Value]</f>
        <v>-100</v>
      </c>
      <c r="V74" s="7">
        <f>(Table1[[#This Row],[Value4]]-Table1[[#This Row],[Value]])/Table1[[#This Row],[Value]]</f>
        <v>-0.55555555555555558</v>
      </c>
      <c r="W74" s="9" t="str">
        <f>TEXT(Table1[[#This Row],[Sell Date]],"mmm-yy")</f>
        <v>Aug-17</v>
      </c>
      <c r="X74" s="10" t="s">
        <v>47</v>
      </c>
      <c r="Y74" s="2" t="str">
        <f>TEXT(Table1[[#This Row],[Sell Date]],"ddd")</f>
        <v>Thu</v>
      </c>
      <c r="Z74" s="2" t="s">
        <v>93</v>
      </c>
    </row>
    <row r="75" spans="1:26" x14ac:dyDescent="0.25">
      <c r="A75" s="6">
        <v>71</v>
      </c>
      <c r="B75" s="1">
        <v>42964</v>
      </c>
      <c r="C75" t="s">
        <v>19</v>
      </c>
      <c r="D75">
        <v>24100</v>
      </c>
      <c r="E75" t="s">
        <v>23</v>
      </c>
      <c r="F75" s="1">
        <v>42964</v>
      </c>
      <c r="G75">
        <v>40</v>
      </c>
      <c r="H75" s="2">
        <v>3.5</v>
      </c>
      <c r="I75" s="2">
        <f>Table1[[#This Row],[Quantity]]*Table1[[#This Row],[Price]]</f>
        <v>140</v>
      </c>
      <c r="J75" s="2">
        <v>20</v>
      </c>
      <c r="K75" s="2"/>
      <c r="L75" s="2">
        <f>Table1[[#This Row],[Value]]+Table1[[#This Row],[Brokerage]]+Table1[[#This Row],[Taxes]]</f>
        <v>160</v>
      </c>
      <c r="M75" s="6" t="str">
        <f>CONCATENATE(Table1[[#This Row],[Contract]]," ",Table1[[#This Row],[Strike Price]],IF(Table1[[#This Row],[Type]]="Put","PE","CE"))</f>
        <v>BANKNIFTY 24100PE</v>
      </c>
      <c r="N75" s="1">
        <v>42964</v>
      </c>
      <c r="O75">
        <v>40</v>
      </c>
      <c r="P75" s="2">
        <v>2</v>
      </c>
      <c r="Q75" s="2">
        <f>Table1[[#This Row],[Quantity2]]*Table1[[#This Row],[Price3]]</f>
        <v>80</v>
      </c>
      <c r="R75" s="2"/>
      <c r="S75" s="2"/>
      <c r="T75" s="2">
        <f>Table1[[#This Row],[Value4]]-Table1[[#This Row],[Brokerage5]]-Table1[[#This Row],[Taxes6]]</f>
        <v>80</v>
      </c>
      <c r="U75" s="2">
        <f>Table1[Value4]-Table1[Value]</f>
        <v>-60</v>
      </c>
      <c r="V75" s="7">
        <f>(Table1[[#This Row],[Value4]]-Table1[[#This Row],[Value]])/Table1[[#This Row],[Value]]</f>
        <v>-0.42857142857142855</v>
      </c>
      <c r="W75" s="9" t="str">
        <f>TEXT(Table1[[#This Row],[Sell Date]],"mmm-yy")</f>
        <v>Aug-17</v>
      </c>
      <c r="X75" s="10" t="s">
        <v>47</v>
      </c>
      <c r="Y75" s="2" t="str">
        <f>TEXT(Table1[[#This Row],[Sell Date]],"ddd")</f>
        <v>Thu</v>
      </c>
      <c r="Z75" s="2" t="s">
        <v>93</v>
      </c>
    </row>
    <row r="76" spans="1:26" x14ac:dyDescent="0.25">
      <c r="A76" s="6">
        <v>72</v>
      </c>
      <c r="B76" s="1">
        <v>42965</v>
      </c>
      <c r="C76" t="s">
        <v>28</v>
      </c>
      <c r="D76">
        <v>2700</v>
      </c>
      <c r="E76" t="s">
        <v>20</v>
      </c>
      <c r="F76" s="1">
        <v>42978</v>
      </c>
      <c r="G76">
        <v>250</v>
      </c>
      <c r="H76" s="2">
        <v>7.95</v>
      </c>
      <c r="I76" s="2">
        <f>Table1[[#This Row],[Quantity]]*Table1[[#This Row],[Price]]</f>
        <v>1987.5</v>
      </c>
      <c r="J76" s="2">
        <v>20</v>
      </c>
      <c r="K76" s="2"/>
      <c r="L76" s="2">
        <f>Table1[[#This Row],[Value]]+Table1[[#This Row],[Brokerage]]+Table1[[#This Row],[Taxes]]</f>
        <v>2007.5</v>
      </c>
      <c r="M76" s="6" t="str">
        <f>CONCATENATE(Table1[[#This Row],[Contract]]," ",Table1[[#This Row],[Strike Price]],IF(Table1[[#This Row],[Type]]="Put","PE","CE"))</f>
        <v>TCS 2700CE</v>
      </c>
      <c r="N76" s="1">
        <v>42965</v>
      </c>
      <c r="O76">
        <v>250</v>
      </c>
      <c r="P76" s="2">
        <v>7.5</v>
      </c>
      <c r="Q76" s="2">
        <f>Table1[[#This Row],[Quantity2]]*Table1[[#This Row],[Price3]]</f>
        <v>1875</v>
      </c>
      <c r="R76" s="2"/>
      <c r="S76" s="2"/>
      <c r="T76" s="2">
        <f>Table1[[#This Row],[Value4]]-Table1[[#This Row],[Brokerage5]]-Table1[[#This Row],[Taxes6]]</f>
        <v>1875</v>
      </c>
      <c r="U76" s="2">
        <f>Table1[Value4]-Table1[Value]</f>
        <v>-112.5</v>
      </c>
      <c r="V76" s="7">
        <f>(Table1[[#This Row],[Value4]]-Table1[[#This Row],[Value]])/Table1[[#This Row],[Value]]</f>
        <v>-5.6603773584905662E-2</v>
      </c>
      <c r="W76" s="9" t="str">
        <f>TEXT(Table1[[#This Row],[Sell Date]],"mmm-yy")</f>
        <v>Aug-17</v>
      </c>
      <c r="X76" s="10" t="s">
        <v>47</v>
      </c>
      <c r="Y76" s="2" t="str">
        <f>TEXT(Table1[[#This Row],[Sell Date]],"ddd")</f>
        <v>Fri</v>
      </c>
      <c r="Z76" s="2" t="s">
        <v>93</v>
      </c>
    </row>
    <row r="77" spans="1:26" x14ac:dyDescent="0.25">
      <c r="A77" s="6">
        <v>73</v>
      </c>
      <c r="B77" s="1">
        <v>42965</v>
      </c>
      <c r="C77" t="s">
        <v>28</v>
      </c>
      <c r="D77">
        <v>2700</v>
      </c>
      <c r="E77" t="s">
        <v>20</v>
      </c>
      <c r="F77" s="1">
        <v>42978</v>
      </c>
      <c r="G77">
        <v>250</v>
      </c>
      <c r="H77" s="2">
        <v>7</v>
      </c>
      <c r="I77" s="2">
        <f>Table1[[#This Row],[Quantity]]*Table1[[#This Row],[Price]]</f>
        <v>1750</v>
      </c>
      <c r="J77" s="2">
        <v>20</v>
      </c>
      <c r="K77" s="2"/>
      <c r="L77" s="2">
        <f>Table1[[#This Row],[Value]]+Table1[[#This Row],[Brokerage]]+Table1[[#This Row],[Taxes]]</f>
        <v>1770</v>
      </c>
      <c r="M77" s="6" t="str">
        <f>CONCATENATE(Table1[[#This Row],[Contract]]," ",Table1[[#This Row],[Strike Price]],IF(Table1[[#This Row],[Type]]="Put","PE","CE"))</f>
        <v>TCS 2700CE</v>
      </c>
      <c r="N77" s="1">
        <v>42968</v>
      </c>
      <c r="O77">
        <v>250</v>
      </c>
      <c r="P77" s="2">
        <v>4</v>
      </c>
      <c r="Q77" s="2">
        <f>Table1[[#This Row],[Quantity2]]*Table1[[#This Row],[Price3]]</f>
        <v>1000</v>
      </c>
      <c r="R77" s="2"/>
      <c r="S77" s="2"/>
      <c r="T77" s="2">
        <f>Table1[[#This Row],[Value4]]-Table1[[#This Row],[Brokerage5]]-Table1[[#This Row],[Taxes6]]</f>
        <v>1000</v>
      </c>
      <c r="U77" s="2">
        <f>Table1[Value4]-Table1[Value]</f>
        <v>-750</v>
      </c>
      <c r="V77" s="7">
        <f>(Table1[[#This Row],[Value4]]-Table1[[#This Row],[Value]])/Table1[[#This Row],[Value]]</f>
        <v>-0.42857142857142855</v>
      </c>
      <c r="W77" s="9" t="str">
        <f>TEXT(Table1[[#This Row],[Sell Date]],"mmm-yy")</f>
        <v>Aug-17</v>
      </c>
      <c r="X77" s="10" t="s">
        <v>47</v>
      </c>
      <c r="Y77" s="2" t="str">
        <f>TEXT(Table1[[#This Row],[Sell Date]],"ddd")</f>
        <v>Mon</v>
      </c>
      <c r="Z77" s="2" t="s">
        <v>93</v>
      </c>
    </row>
    <row r="78" spans="1:26" x14ac:dyDescent="0.25">
      <c r="A78" s="6">
        <v>74</v>
      </c>
      <c r="B78" s="1">
        <v>42965</v>
      </c>
      <c r="C78" t="s">
        <v>19</v>
      </c>
      <c r="D78">
        <v>24800</v>
      </c>
      <c r="E78" t="s">
        <v>20</v>
      </c>
      <c r="F78" s="1">
        <v>42971</v>
      </c>
      <c r="G78">
        <v>40</v>
      </c>
      <c r="H78" s="2">
        <v>11.3</v>
      </c>
      <c r="I78" s="2">
        <f>Table1[[#This Row],[Quantity]]*Table1[[#This Row],[Price]]</f>
        <v>452</v>
      </c>
      <c r="J78" s="2">
        <v>20</v>
      </c>
      <c r="K78" s="2"/>
      <c r="L78" s="2">
        <f>Table1[[#This Row],[Value]]+Table1[[#This Row],[Brokerage]]+Table1[[#This Row],[Taxes]]</f>
        <v>472</v>
      </c>
      <c r="M78" s="6" t="str">
        <f>CONCATENATE(Table1[[#This Row],[Contract]]," ",Table1[[#This Row],[Strike Price]],IF(Table1[[#This Row],[Type]]="Put","PE","CE"))</f>
        <v>BANKNIFTY 24800CE</v>
      </c>
      <c r="N78" s="1">
        <v>42965</v>
      </c>
      <c r="O78">
        <v>40</v>
      </c>
      <c r="P78" s="2">
        <v>11.5</v>
      </c>
      <c r="Q78" s="2">
        <f>Table1[[#This Row],[Quantity2]]*Table1[[#This Row],[Price3]]</f>
        <v>460</v>
      </c>
      <c r="R78" s="2"/>
      <c r="S78" s="2"/>
      <c r="T78" s="2">
        <f>Table1[[#This Row],[Value4]]-Table1[[#This Row],[Brokerage5]]-Table1[[#This Row],[Taxes6]]</f>
        <v>460</v>
      </c>
      <c r="U78" s="2">
        <f>Table1[Value4]-Table1[Value]</f>
        <v>8</v>
      </c>
      <c r="V78" s="7">
        <f>(Table1[[#This Row],[Value4]]-Table1[[#This Row],[Value]])/Table1[[#This Row],[Value]]</f>
        <v>1.7699115044247787E-2</v>
      </c>
      <c r="W78" s="9" t="str">
        <f>TEXT(Table1[[#This Row],[Sell Date]],"mmm-yy")</f>
        <v>Aug-17</v>
      </c>
      <c r="X78" s="10" t="s">
        <v>47</v>
      </c>
      <c r="Y78" s="2" t="str">
        <f>TEXT(Table1[[#This Row],[Sell Date]],"ddd")</f>
        <v>Fri</v>
      </c>
      <c r="Z78" s="2" t="s">
        <v>93</v>
      </c>
    </row>
    <row r="79" spans="1:26" x14ac:dyDescent="0.25">
      <c r="A79" s="6">
        <v>75</v>
      </c>
      <c r="B79" s="1">
        <v>42968</v>
      </c>
      <c r="C79" t="s">
        <v>102</v>
      </c>
      <c r="D79">
        <v>400</v>
      </c>
      <c r="E79" t="s">
        <v>20</v>
      </c>
      <c r="F79" s="1">
        <v>42978</v>
      </c>
      <c r="G79">
        <v>1500</v>
      </c>
      <c r="H79" s="2">
        <v>2.2000000000000002</v>
      </c>
      <c r="I79" s="2">
        <f>Table1[[#This Row],[Quantity]]*Table1[[#This Row],[Price]]</f>
        <v>3300.0000000000005</v>
      </c>
      <c r="J79" s="2">
        <v>20</v>
      </c>
      <c r="K79" s="2"/>
      <c r="L79" s="2">
        <f>Table1[[#This Row],[Value]]+Table1[[#This Row],[Brokerage]]+Table1[[#This Row],[Taxes]]</f>
        <v>3320.0000000000005</v>
      </c>
      <c r="M79" s="6" t="str">
        <f>CONCATENATE(Table1[[#This Row],[Contract]]," ",Table1[[#This Row],[Strike Price]],IF(Table1[[#This Row],[Type]]="Put","PE","CE"))</f>
        <v>TATAMOTORS 400CE</v>
      </c>
      <c r="N79" s="1">
        <v>42978</v>
      </c>
      <c r="O79">
        <v>1500</v>
      </c>
      <c r="P79" s="2">
        <v>0</v>
      </c>
      <c r="Q79" s="2">
        <v>0</v>
      </c>
      <c r="R79" s="2">
        <v>0</v>
      </c>
      <c r="S79" s="2">
        <v>0</v>
      </c>
      <c r="T79" s="2">
        <f>Table1[[#This Row],[Value4]]-Table1[[#This Row],[Brokerage5]]-Table1[[#This Row],[Taxes6]]</f>
        <v>0</v>
      </c>
      <c r="U79" s="2">
        <f>Table1[Value4]-Table1[Value]</f>
        <v>-3300.0000000000005</v>
      </c>
      <c r="V79" s="7">
        <f>(Table1[[#This Row],[Value4]]-Table1[[#This Row],[Value]])/Table1[[#This Row],[Value]]</f>
        <v>-1</v>
      </c>
      <c r="W79" s="9" t="str">
        <f>TEXT(Table1[[#This Row],[Sell Date]],"mmm-yy")</f>
        <v>Aug-17</v>
      </c>
      <c r="X79" s="10" t="s">
        <v>47</v>
      </c>
      <c r="Y79" s="2" t="str">
        <f>TEXT(Table1[[#This Row],[Sell Date]],"ddd")</f>
        <v>Thu</v>
      </c>
      <c r="Z79" s="2" t="s">
        <v>92</v>
      </c>
    </row>
    <row r="80" spans="1:26" x14ac:dyDescent="0.25">
      <c r="A80" s="6">
        <v>76</v>
      </c>
      <c r="B80" s="1">
        <v>42968</v>
      </c>
      <c r="C80" t="s">
        <v>19</v>
      </c>
      <c r="D80">
        <v>24800</v>
      </c>
      <c r="E80" t="s">
        <v>20</v>
      </c>
      <c r="F80" s="1">
        <v>42971</v>
      </c>
      <c r="G80">
        <v>40</v>
      </c>
      <c r="H80" s="2">
        <v>9</v>
      </c>
      <c r="I80" s="2">
        <f>Table1[[#This Row],[Quantity]]*Table1[[#This Row],[Price]]</f>
        <v>360</v>
      </c>
      <c r="J80" s="2">
        <v>20</v>
      </c>
      <c r="K80" s="2"/>
      <c r="L80" s="2">
        <f>Table1[[#This Row],[Value]]+Table1[[#This Row],[Brokerage]]+Table1[[#This Row],[Taxes]]</f>
        <v>380</v>
      </c>
      <c r="M80" s="6" t="str">
        <f>CONCATENATE(Table1[[#This Row],[Contract]]," ",Table1[[#This Row],[Strike Price]],IF(Table1[[#This Row],[Type]]="Put","PE","CE"))</f>
        <v>BANKNIFTY 24800CE</v>
      </c>
      <c r="N80" s="1">
        <v>42968</v>
      </c>
      <c r="O80">
        <v>40</v>
      </c>
      <c r="P80" s="2">
        <v>5.5</v>
      </c>
      <c r="Q80" s="2">
        <f>Table1[[#This Row],[Quantity2]]*Table1[[#This Row],[Price3]]</f>
        <v>220</v>
      </c>
      <c r="R80" s="2"/>
      <c r="S80" s="2"/>
      <c r="T80" s="2">
        <f>Table1[[#This Row],[Value4]]-Table1[[#This Row],[Brokerage5]]-Table1[[#This Row],[Taxes6]]</f>
        <v>220</v>
      </c>
      <c r="U80" s="2">
        <f>Table1[Value4]-Table1[Value]</f>
        <v>-140</v>
      </c>
      <c r="V80" s="7">
        <f>(Table1[[#This Row],[Value4]]-Table1[[#This Row],[Value]])/Table1[[#This Row],[Value]]</f>
        <v>-0.3888888888888889</v>
      </c>
      <c r="W80" s="9" t="str">
        <f>TEXT(Table1[[#This Row],[Sell Date]],"mmm-yy")</f>
        <v>Aug-17</v>
      </c>
      <c r="X80" s="10" t="s">
        <v>47</v>
      </c>
      <c r="Y80" s="2" t="str">
        <f>TEXT(Table1[[#This Row],[Sell Date]],"ddd")</f>
        <v>Mon</v>
      </c>
      <c r="Z80" s="2" t="s">
        <v>93</v>
      </c>
    </row>
    <row r="81" spans="1:26" x14ac:dyDescent="0.25">
      <c r="A81" s="6">
        <v>77</v>
      </c>
      <c r="B81" s="1">
        <v>42969</v>
      </c>
      <c r="C81" t="s">
        <v>19</v>
      </c>
      <c r="D81">
        <v>25000</v>
      </c>
      <c r="E81" t="s">
        <v>20</v>
      </c>
      <c r="F81" s="1">
        <v>42978</v>
      </c>
      <c r="G81">
        <v>80</v>
      </c>
      <c r="H81" s="2">
        <v>14</v>
      </c>
      <c r="I81" s="2">
        <f>Table1[[#This Row],[Quantity]]*Table1[[#This Row],[Price]]</f>
        <v>1120</v>
      </c>
      <c r="J81" s="2">
        <v>20</v>
      </c>
      <c r="K81" s="2"/>
      <c r="L81" s="2">
        <f>Table1[[#This Row],[Value]]+Table1[[#This Row],[Brokerage]]+Table1[[#This Row],[Taxes]]</f>
        <v>1140</v>
      </c>
      <c r="M81" s="6" t="str">
        <f>CONCATENATE(Table1[[#This Row],[Contract]]," ",Table1[[#This Row],[Strike Price]],IF(Table1[[#This Row],[Type]]="Put","PE","CE"))</f>
        <v>BANKNIFTY 25000CE</v>
      </c>
      <c r="N81" s="1">
        <v>42970</v>
      </c>
      <c r="O81">
        <v>80</v>
      </c>
      <c r="P81" s="2">
        <v>22.5</v>
      </c>
      <c r="Q81" s="2">
        <f>Table1[[#This Row],[Quantity2]]*Table1[[#This Row],[Price3]]</f>
        <v>1800</v>
      </c>
      <c r="R81" s="2"/>
      <c r="S81" s="2"/>
      <c r="T81" s="2">
        <f>Table1[[#This Row],[Value4]]-Table1[[#This Row],[Brokerage5]]-Table1[[#This Row],[Taxes6]]</f>
        <v>1800</v>
      </c>
      <c r="U81" s="2">
        <f>Table1[Value4]-Table1[Value]</f>
        <v>680</v>
      </c>
      <c r="V81" s="7">
        <f>(Table1[[#This Row],[Value4]]-Table1[[#This Row],[Value]])/Table1[[#This Row],[Value]]</f>
        <v>0.6071428571428571</v>
      </c>
      <c r="W81" s="9" t="str">
        <f>TEXT(Table1[[#This Row],[Sell Date]],"mmm-yy")</f>
        <v>Aug-17</v>
      </c>
      <c r="X81" s="10" t="s">
        <v>47</v>
      </c>
      <c r="Y81" s="2" t="str">
        <f>TEXT(Table1[[#This Row],[Sell Date]],"ddd")</f>
        <v>Wed</v>
      </c>
      <c r="Z81" s="2" t="s">
        <v>92</v>
      </c>
    </row>
    <row r="82" spans="1:26" x14ac:dyDescent="0.25">
      <c r="A82" s="6">
        <v>78</v>
      </c>
      <c r="B82" s="1">
        <v>42969</v>
      </c>
      <c r="C82" t="s">
        <v>103</v>
      </c>
      <c r="D82">
        <v>780</v>
      </c>
      <c r="E82" t="s">
        <v>23</v>
      </c>
      <c r="F82" s="1">
        <v>42978</v>
      </c>
      <c r="G82">
        <v>500</v>
      </c>
      <c r="H82" s="2">
        <v>3.3</v>
      </c>
      <c r="I82" s="2">
        <f>Table1[[#This Row],[Quantity]]*Table1[[#This Row],[Price]]</f>
        <v>1650</v>
      </c>
      <c r="J82" s="2">
        <v>20</v>
      </c>
      <c r="K82" s="2"/>
      <c r="L82" s="2">
        <f>Table1[[#This Row],[Value]]+Table1[[#This Row],[Brokerage]]+Table1[[#This Row],[Taxes]]</f>
        <v>1670</v>
      </c>
      <c r="M82" s="6" t="str">
        <f>CONCATENATE(Table1[[#This Row],[Contract]]," ",Table1[[#This Row],[Strike Price]],IF(Table1[[#This Row],[Type]]="Put","PE","CE"))</f>
        <v>INFY 780PE</v>
      </c>
      <c r="N82" s="1">
        <v>42978</v>
      </c>
      <c r="O82">
        <v>500</v>
      </c>
      <c r="P82" s="2">
        <v>0</v>
      </c>
      <c r="Q82" s="2">
        <v>0</v>
      </c>
      <c r="R82" s="2">
        <v>0</v>
      </c>
      <c r="S82" s="2">
        <v>0</v>
      </c>
      <c r="T82" s="2">
        <f>Table1[[#This Row],[Value4]]-Table1[[#This Row],[Brokerage5]]-Table1[[#This Row],[Taxes6]]</f>
        <v>0</v>
      </c>
      <c r="U82" s="2">
        <f>Table1[Value4]-Table1[Value]</f>
        <v>-1650</v>
      </c>
      <c r="V82" s="7">
        <f>(Table1[[#This Row],[Value4]]-Table1[[#This Row],[Value]])/Table1[[#This Row],[Value]]</f>
        <v>-1</v>
      </c>
      <c r="W82" s="9" t="str">
        <f>TEXT(Table1[[#This Row],[Sell Date]],"mmm-yy")</f>
        <v>Aug-17</v>
      </c>
      <c r="X82" s="10" t="s">
        <v>47</v>
      </c>
      <c r="Y82" s="2" t="str">
        <f>TEXT(Table1[[#This Row],[Sell Date]],"ddd")</f>
        <v>Thu</v>
      </c>
      <c r="Z82" s="2" t="s">
        <v>93</v>
      </c>
    </row>
    <row r="83" spans="1:26" x14ac:dyDescent="0.25">
      <c r="A83" s="6">
        <v>79</v>
      </c>
      <c r="B83" s="1">
        <v>42970</v>
      </c>
      <c r="C83" t="s">
        <v>19</v>
      </c>
      <c r="D83">
        <v>25000</v>
      </c>
      <c r="E83" t="s">
        <v>20</v>
      </c>
      <c r="F83" s="1">
        <v>42978</v>
      </c>
      <c r="G83">
        <v>40</v>
      </c>
      <c r="H83" s="2">
        <v>26</v>
      </c>
      <c r="I83" s="2">
        <f>Table1[[#This Row],[Quantity]]*Table1[[#This Row],[Price]]</f>
        <v>1040</v>
      </c>
      <c r="J83" s="2">
        <v>20</v>
      </c>
      <c r="K83" s="2"/>
      <c r="L83" s="2">
        <f>Table1[[#This Row],[Value]]+Table1[[#This Row],[Brokerage]]+Table1[[#This Row],[Taxes]]</f>
        <v>1060</v>
      </c>
      <c r="M83" s="6" t="str">
        <f>CONCATENATE(Table1[[#This Row],[Contract]]," ",Table1[[#This Row],[Strike Price]],IF(Table1[[#This Row],[Type]]="Put","PE","CE"))</f>
        <v>BANKNIFTY 25000CE</v>
      </c>
      <c r="N83" s="1">
        <v>42970</v>
      </c>
      <c r="O83">
        <v>40</v>
      </c>
      <c r="P83" s="2">
        <v>28</v>
      </c>
      <c r="Q83" s="2">
        <f>Table1[[#This Row],[Quantity2]]*Table1[[#This Row],[Price3]]</f>
        <v>1120</v>
      </c>
      <c r="R83" s="2"/>
      <c r="S83" s="2"/>
      <c r="T83" s="2">
        <f>Table1[[#This Row],[Value4]]-Table1[[#This Row],[Brokerage5]]-Table1[[#This Row],[Taxes6]]</f>
        <v>1120</v>
      </c>
      <c r="U83" s="2">
        <f>Table1[Value4]-Table1[Value]</f>
        <v>80</v>
      </c>
      <c r="V83" s="7">
        <f>(Table1[[#This Row],[Value4]]-Table1[[#This Row],[Value]])/Table1[[#This Row],[Value]]</f>
        <v>7.6923076923076927E-2</v>
      </c>
      <c r="W83" s="9" t="str">
        <f>TEXT(Table1[[#This Row],[Sell Date]],"mmm-yy")</f>
        <v>Aug-17</v>
      </c>
      <c r="X83" s="10" t="s">
        <v>47</v>
      </c>
      <c r="Y83" s="2" t="str">
        <f>TEXT(Table1[[#This Row],[Sell Date]],"ddd")</f>
        <v>Wed</v>
      </c>
      <c r="Z83" s="2" t="s">
        <v>92</v>
      </c>
    </row>
    <row r="84" spans="1:26" x14ac:dyDescent="0.25">
      <c r="A84" s="6">
        <v>80</v>
      </c>
      <c r="B84" s="1">
        <v>42971</v>
      </c>
      <c r="C84" t="s">
        <v>19</v>
      </c>
      <c r="D84">
        <v>24500</v>
      </c>
      <c r="E84" t="s">
        <v>20</v>
      </c>
      <c r="F84" s="1">
        <v>42971</v>
      </c>
      <c r="G84">
        <v>120</v>
      </c>
      <c r="H84" s="2">
        <v>4</v>
      </c>
      <c r="I84" s="2">
        <f>Table1[[#This Row],[Quantity]]*Table1[[#This Row],[Price]]</f>
        <v>480</v>
      </c>
      <c r="J84" s="2">
        <v>20</v>
      </c>
      <c r="K84" s="2"/>
      <c r="L84" s="2">
        <f>Table1[[#This Row],[Value]]+Table1[[#This Row],[Brokerage]]+Table1[[#This Row],[Taxes]]</f>
        <v>500</v>
      </c>
      <c r="M84" s="6" t="str">
        <f>CONCATENATE(Table1[[#This Row],[Contract]]," ",Table1[[#This Row],[Strike Price]],IF(Table1[[#This Row],[Type]]="Put","PE","CE"))</f>
        <v>BANKNIFTY 24500CE</v>
      </c>
      <c r="N84" s="1">
        <v>42971</v>
      </c>
      <c r="O84">
        <v>120</v>
      </c>
      <c r="P84" s="2">
        <v>3.5</v>
      </c>
      <c r="Q84" s="2">
        <f>Table1[[#This Row],[Quantity2]]*Table1[[#This Row],[Price3]]</f>
        <v>420</v>
      </c>
      <c r="R84" s="2"/>
      <c r="S84" s="2"/>
      <c r="T84" s="2">
        <f>Table1[[#This Row],[Value4]]-Table1[[#This Row],[Brokerage5]]-Table1[[#This Row],[Taxes6]]</f>
        <v>420</v>
      </c>
      <c r="U84" s="2">
        <f>Table1[Value4]-Table1[Value]</f>
        <v>-60</v>
      </c>
      <c r="V84" s="7">
        <f>(Table1[[#This Row],[Value4]]-Table1[[#This Row],[Value]])/Table1[[#This Row],[Value]]</f>
        <v>-0.125</v>
      </c>
      <c r="W84" s="9" t="str">
        <f>TEXT(Table1[[#This Row],[Sell Date]],"mmm-yy")</f>
        <v>Aug-17</v>
      </c>
      <c r="X84" s="10" t="s">
        <v>47</v>
      </c>
      <c r="Y84" s="2" t="str">
        <f>TEXT(Table1[[#This Row],[Sell Date]],"ddd")</f>
        <v>Thu</v>
      </c>
      <c r="Z84" s="2" t="s">
        <v>93</v>
      </c>
    </row>
    <row r="85" spans="1:26" x14ac:dyDescent="0.25">
      <c r="A85" s="6">
        <v>81</v>
      </c>
      <c r="B85" s="1">
        <v>42971</v>
      </c>
      <c r="C85" t="s">
        <v>19</v>
      </c>
      <c r="D85">
        <v>24500</v>
      </c>
      <c r="E85" t="s">
        <v>20</v>
      </c>
      <c r="F85" s="1">
        <v>42971</v>
      </c>
      <c r="G85">
        <v>120</v>
      </c>
      <c r="H85" s="2">
        <v>5</v>
      </c>
      <c r="I85" s="2">
        <f>Table1[[#This Row],[Quantity]]*Table1[[#This Row],[Price]]</f>
        <v>600</v>
      </c>
      <c r="J85" s="2">
        <v>20</v>
      </c>
      <c r="K85" s="2"/>
      <c r="L85" s="2">
        <f>Table1[[#This Row],[Value]]+Table1[[#This Row],[Brokerage]]+Table1[[#This Row],[Taxes]]</f>
        <v>620</v>
      </c>
      <c r="M85" s="6" t="str">
        <f>CONCATENATE(Table1[[#This Row],[Contract]]," ",Table1[[#This Row],[Strike Price]],IF(Table1[[#This Row],[Type]]="Put","PE","CE"))</f>
        <v>BANKNIFTY 24500CE</v>
      </c>
      <c r="N85" s="1">
        <v>42971</v>
      </c>
      <c r="O85">
        <v>120</v>
      </c>
      <c r="P85" s="2">
        <v>2</v>
      </c>
      <c r="Q85" s="2">
        <f>Table1[[#This Row],[Quantity2]]*Table1[[#This Row],[Price3]]</f>
        <v>240</v>
      </c>
      <c r="R85" s="2"/>
      <c r="S85" s="2"/>
      <c r="T85" s="2">
        <f>Table1[[#This Row],[Value4]]-Table1[[#This Row],[Brokerage5]]-Table1[[#This Row],[Taxes6]]</f>
        <v>240</v>
      </c>
      <c r="U85" s="2">
        <f>Table1[Value4]-Table1[Value]</f>
        <v>-360</v>
      </c>
      <c r="V85" s="7">
        <f>(Table1[[#This Row],[Value4]]-Table1[[#This Row],[Value]])/Table1[[#This Row],[Value]]</f>
        <v>-0.6</v>
      </c>
      <c r="W85" s="9" t="str">
        <f>TEXT(Table1[[#This Row],[Sell Date]],"mmm-yy")</f>
        <v>Aug-17</v>
      </c>
      <c r="X85" s="10" t="s">
        <v>47</v>
      </c>
      <c r="Y85" s="2" t="str">
        <f>TEXT(Table1[[#This Row],[Sell Date]],"ddd")</f>
        <v>Thu</v>
      </c>
      <c r="Z85" s="2" t="s">
        <v>93</v>
      </c>
    </row>
    <row r="86" spans="1:26" x14ac:dyDescent="0.25">
      <c r="A86" s="6">
        <v>82</v>
      </c>
      <c r="B86" s="1">
        <v>42971</v>
      </c>
      <c r="C86" t="s">
        <v>19</v>
      </c>
      <c r="D86">
        <v>24100</v>
      </c>
      <c r="E86" t="s">
        <v>23</v>
      </c>
      <c r="F86" s="1">
        <v>42971</v>
      </c>
      <c r="G86">
        <v>80</v>
      </c>
      <c r="H86" s="2">
        <v>12</v>
      </c>
      <c r="I86" s="2">
        <f>Table1[[#This Row],[Quantity]]*Table1[[#This Row],[Price]]</f>
        <v>960</v>
      </c>
      <c r="J86" s="2">
        <v>20</v>
      </c>
      <c r="K86" s="2"/>
      <c r="L86" s="2">
        <f>Table1[[#This Row],[Value]]+Table1[[#This Row],[Brokerage]]+Table1[[#This Row],[Taxes]]</f>
        <v>980</v>
      </c>
      <c r="M86" s="6" t="str">
        <f>CONCATENATE(Table1[[#This Row],[Contract]]," ",Table1[[#This Row],[Strike Price]],IF(Table1[[#This Row],[Type]]="Put","PE","CE"))</f>
        <v>BANKNIFTY 24100PE</v>
      </c>
      <c r="N86" s="1">
        <v>42971</v>
      </c>
      <c r="O86">
        <v>80</v>
      </c>
      <c r="P86" s="2">
        <v>6</v>
      </c>
      <c r="Q86" s="2">
        <f>Table1[[#This Row],[Quantity2]]*Table1[[#This Row],[Price3]]</f>
        <v>480</v>
      </c>
      <c r="R86" s="2"/>
      <c r="S86" s="2"/>
      <c r="T86" s="2">
        <f>Table1[[#This Row],[Value4]]-Table1[[#This Row],[Brokerage5]]-Table1[[#This Row],[Taxes6]]</f>
        <v>480</v>
      </c>
      <c r="U86" s="2">
        <f>Table1[Value4]-Table1[Value]</f>
        <v>-480</v>
      </c>
      <c r="V86" s="7">
        <f>(Table1[[#This Row],[Value4]]-Table1[[#This Row],[Value]])/Table1[[#This Row],[Value]]</f>
        <v>-0.5</v>
      </c>
      <c r="W86" s="9" t="str">
        <f>TEXT(Table1[[#This Row],[Sell Date]],"mmm-yy")</f>
        <v>Aug-17</v>
      </c>
      <c r="X86" s="10" t="s">
        <v>47</v>
      </c>
      <c r="Y86" s="2" t="str">
        <f>TEXT(Table1[[#This Row],[Sell Date]],"ddd")</f>
        <v>Thu</v>
      </c>
      <c r="Z86" s="2" t="s">
        <v>93</v>
      </c>
    </row>
    <row r="87" spans="1:26" x14ac:dyDescent="0.25">
      <c r="A87" s="6">
        <v>83</v>
      </c>
      <c r="B87" s="1">
        <v>42971</v>
      </c>
      <c r="C87" t="s">
        <v>19</v>
      </c>
      <c r="D87">
        <v>24200</v>
      </c>
      <c r="E87" t="s">
        <v>23</v>
      </c>
      <c r="F87" s="1">
        <v>42971</v>
      </c>
      <c r="G87">
        <v>40</v>
      </c>
      <c r="H87" s="2">
        <v>15</v>
      </c>
      <c r="I87" s="2">
        <f>Table1[[#This Row],[Quantity]]*Table1[[#This Row],[Price]]</f>
        <v>600</v>
      </c>
      <c r="J87" s="2">
        <v>20</v>
      </c>
      <c r="K87" s="2"/>
      <c r="L87" s="2">
        <f>Table1[[#This Row],[Value]]+Table1[[#This Row],[Brokerage]]+Table1[[#This Row],[Taxes]]</f>
        <v>620</v>
      </c>
      <c r="M87" s="6" t="str">
        <f>CONCATENATE(Table1[[#This Row],[Contract]]," ",Table1[[#This Row],[Strike Price]],IF(Table1[[#This Row],[Type]]="Put","PE","CE"))</f>
        <v>BANKNIFTY 24200PE</v>
      </c>
      <c r="N87" s="1">
        <v>42971</v>
      </c>
      <c r="O87">
        <v>40</v>
      </c>
      <c r="P87" s="2">
        <v>10</v>
      </c>
      <c r="Q87" s="2">
        <f>Table1[[#This Row],[Quantity2]]*Table1[[#This Row],[Price3]]</f>
        <v>400</v>
      </c>
      <c r="R87" s="2"/>
      <c r="S87" s="2"/>
      <c r="T87" s="2">
        <f>Table1[[#This Row],[Value4]]-Table1[[#This Row],[Brokerage5]]-Table1[[#This Row],[Taxes6]]</f>
        <v>400</v>
      </c>
      <c r="U87" s="2">
        <f>Table1[Value4]-Table1[Value]</f>
        <v>-200</v>
      </c>
      <c r="V87" s="7">
        <f>(Table1[[#This Row],[Value4]]-Table1[[#This Row],[Value]])/Table1[[#This Row],[Value]]</f>
        <v>-0.33333333333333331</v>
      </c>
      <c r="W87" s="9" t="str">
        <f>TEXT(Table1[[#This Row],[Sell Date]],"mmm-yy")</f>
        <v>Aug-17</v>
      </c>
      <c r="X87" s="10" t="s">
        <v>47</v>
      </c>
      <c r="Y87" s="2" t="str">
        <f>TEXT(Table1[[#This Row],[Sell Date]],"ddd")</f>
        <v>Thu</v>
      </c>
      <c r="Z87" s="2" t="s">
        <v>93</v>
      </c>
    </row>
    <row r="88" spans="1:26" x14ac:dyDescent="0.25">
      <c r="A88" s="6">
        <v>84</v>
      </c>
      <c r="B88" s="1">
        <v>42975</v>
      </c>
      <c r="C88" t="s">
        <v>19</v>
      </c>
      <c r="D88">
        <v>25000</v>
      </c>
      <c r="E88" t="s">
        <v>20</v>
      </c>
      <c r="F88" s="1">
        <v>42978</v>
      </c>
      <c r="G88">
        <v>40</v>
      </c>
      <c r="H88" s="2">
        <v>10</v>
      </c>
      <c r="I88" s="2">
        <f>Table1[[#This Row],[Quantity]]*Table1[[#This Row],[Price]]</f>
        <v>400</v>
      </c>
      <c r="J88" s="2">
        <v>20</v>
      </c>
      <c r="K88" s="2"/>
      <c r="L88" s="2">
        <f>Table1[[#This Row],[Value]]+Table1[[#This Row],[Brokerage]]+Table1[[#This Row],[Taxes]]</f>
        <v>420</v>
      </c>
      <c r="M88" s="6" t="str">
        <f>CONCATENATE(Table1[[#This Row],[Contract]]," ",Table1[[#This Row],[Strike Price]],IF(Table1[[#This Row],[Type]]="Put","PE","CE"))</f>
        <v>BANKNIFTY 25000CE</v>
      </c>
      <c r="N88" s="1">
        <v>42975</v>
      </c>
      <c r="O88">
        <v>40</v>
      </c>
      <c r="P88" s="2">
        <v>9.5</v>
      </c>
      <c r="Q88" s="2">
        <f>Table1[[#This Row],[Quantity2]]*Table1[[#This Row],[Price3]]</f>
        <v>380</v>
      </c>
      <c r="R88" s="2"/>
      <c r="S88" s="2"/>
      <c r="T88" s="2">
        <f>Table1[[#This Row],[Value4]]-Table1[[#This Row],[Brokerage5]]-Table1[[#This Row],[Taxes6]]</f>
        <v>380</v>
      </c>
      <c r="U88" s="2">
        <f>Table1[Value4]-Table1[Value]</f>
        <v>-20</v>
      </c>
      <c r="V88" s="7">
        <f>(Table1[[#This Row],[Value4]]-Table1[[#This Row],[Value]])/Table1[[#This Row],[Value]]</f>
        <v>-0.05</v>
      </c>
      <c r="W88" s="9" t="str">
        <f>TEXT(Table1[[#This Row],[Sell Date]],"mmm-yy")</f>
        <v>Aug-17</v>
      </c>
      <c r="X88" s="10" t="s">
        <v>47</v>
      </c>
      <c r="Y88" s="2" t="str">
        <f>TEXT(Table1[[#This Row],[Sell Date]],"ddd")</f>
        <v>Mon</v>
      </c>
      <c r="Z88" s="2" t="s">
        <v>93</v>
      </c>
    </row>
    <row r="89" spans="1:26" x14ac:dyDescent="0.25">
      <c r="A89" s="6">
        <v>85</v>
      </c>
      <c r="B89" s="1">
        <v>42975</v>
      </c>
      <c r="C89" t="s">
        <v>19</v>
      </c>
      <c r="D89">
        <v>25000</v>
      </c>
      <c r="E89" t="s">
        <v>20</v>
      </c>
      <c r="F89" s="1">
        <v>42978</v>
      </c>
      <c r="G89">
        <v>40</v>
      </c>
      <c r="H89" s="2">
        <v>9.9</v>
      </c>
      <c r="I89" s="2">
        <f>Table1[[#This Row],[Quantity]]*Table1[[#This Row],[Price]]</f>
        <v>396</v>
      </c>
      <c r="J89" s="2">
        <v>20</v>
      </c>
      <c r="K89" s="2"/>
      <c r="L89" s="2">
        <f>Table1[[#This Row],[Value]]+Table1[[#This Row],[Brokerage]]+Table1[[#This Row],[Taxes]]</f>
        <v>416</v>
      </c>
      <c r="M89" s="6" t="str">
        <f>CONCATENATE(Table1[[#This Row],[Contract]]," ",Table1[[#This Row],[Strike Price]],IF(Table1[[#This Row],[Type]]="Put","PE","CE"))</f>
        <v>BANKNIFTY 25000CE</v>
      </c>
      <c r="N89" s="1">
        <v>42976</v>
      </c>
      <c r="O89">
        <v>40</v>
      </c>
      <c r="P89" s="2">
        <v>2.5</v>
      </c>
      <c r="Q89" s="2">
        <f>Table1[[#This Row],[Quantity2]]*Table1[[#This Row],[Price3]]</f>
        <v>100</v>
      </c>
      <c r="R89" s="2"/>
      <c r="S89" s="2"/>
      <c r="T89" s="2">
        <f>Table1[[#This Row],[Value4]]-Table1[[#This Row],[Brokerage5]]-Table1[[#This Row],[Taxes6]]</f>
        <v>100</v>
      </c>
      <c r="U89" s="2">
        <f>Table1[Value4]-Table1[Value]</f>
        <v>-296</v>
      </c>
      <c r="V89" s="7">
        <f>(Table1[[#This Row],[Value4]]-Table1[[#This Row],[Value]])/Table1[[#This Row],[Value]]</f>
        <v>-0.74747474747474751</v>
      </c>
      <c r="W89" s="9" t="str">
        <f>TEXT(Table1[[#This Row],[Sell Date]],"mmm-yy")</f>
        <v>Aug-17</v>
      </c>
      <c r="X89" s="10" t="s">
        <v>47</v>
      </c>
      <c r="Y89" s="2" t="str">
        <f>TEXT(Table1[[#This Row],[Sell Date]],"ddd")</f>
        <v>Tue</v>
      </c>
      <c r="Z89" s="2" t="s">
        <v>93</v>
      </c>
    </row>
    <row r="90" spans="1:26" x14ac:dyDescent="0.25">
      <c r="A90" s="6">
        <v>86</v>
      </c>
      <c r="B90" s="1">
        <v>42977</v>
      </c>
      <c r="C90" t="s">
        <v>96</v>
      </c>
      <c r="D90">
        <v>285</v>
      </c>
      <c r="E90" t="s">
        <v>20</v>
      </c>
      <c r="F90" s="1">
        <v>42978</v>
      </c>
      <c r="G90">
        <v>2400</v>
      </c>
      <c r="H90" s="2">
        <v>0.85</v>
      </c>
      <c r="I90" s="2">
        <f>Table1[[#This Row],[Quantity]]*Table1[[#This Row],[Price]]</f>
        <v>2040</v>
      </c>
      <c r="J90" s="2">
        <v>20</v>
      </c>
      <c r="K90" s="2"/>
      <c r="L90" s="2">
        <f>Table1[[#This Row],[Value]]+Table1[[#This Row],[Brokerage]]+Table1[[#This Row],[Taxes]]</f>
        <v>2060</v>
      </c>
      <c r="M90" s="6" t="str">
        <f>CONCATENATE(Table1[[#This Row],[Contract]]," ",Table1[[#This Row],[Strike Price]],IF(Table1[[#This Row],[Type]]="Put","PE","CE"))</f>
        <v>ITC 285CE</v>
      </c>
      <c r="N90" s="1">
        <v>42977</v>
      </c>
      <c r="O90">
        <v>2400</v>
      </c>
      <c r="P90" s="2">
        <v>0.7</v>
      </c>
      <c r="Q90" s="2">
        <f>Table1[[#This Row],[Quantity2]]*Table1[[#This Row],[Price3]]</f>
        <v>1680</v>
      </c>
      <c r="R90" s="2"/>
      <c r="S90" s="2"/>
      <c r="T90" s="2">
        <f>Table1[[#This Row],[Value4]]-Table1[[#This Row],[Brokerage5]]-Table1[[#This Row],[Taxes6]]</f>
        <v>1680</v>
      </c>
      <c r="U90" s="2">
        <f>Table1[Value4]-Table1[Value]</f>
        <v>-360</v>
      </c>
      <c r="V90" s="7">
        <f>(Table1[[#This Row],[Value4]]-Table1[[#This Row],[Value]])/Table1[[#This Row],[Value]]</f>
        <v>-0.17647058823529413</v>
      </c>
      <c r="W90" s="9" t="str">
        <f>TEXT(Table1[[#This Row],[Sell Date]],"mmm-yy")</f>
        <v>Aug-17</v>
      </c>
      <c r="X90" s="10" t="s">
        <v>47</v>
      </c>
      <c r="Y90" s="2" t="str">
        <f>TEXT(Table1[[#This Row],[Sell Date]],"ddd")</f>
        <v>Wed</v>
      </c>
      <c r="Z90" s="2" t="s">
        <v>92</v>
      </c>
    </row>
    <row r="91" spans="1:26" x14ac:dyDescent="0.25">
      <c r="A91" s="6">
        <v>87</v>
      </c>
      <c r="B91" s="1">
        <v>42977</v>
      </c>
      <c r="C91" t="s">
        <v>104</v>
      </c>
      <c r="D91">
        <v>740</v>
      </c>
      <c r="E91" t="s">
        <v>20</v>
      </c>
      <c r="F91" s="1">
        <v>42978</v>
      </c>
      <c r="G91">
        <v>1000</v>
      </c>
      <c r="H91" s="2">
        <v>1.85</v>
      </c>
      <c r="I91" s="2">
        <f>Table1[[#This Row],[Quantity]]*Table1[[#This Row],[Price]]</f>
        <v>1850</v>
      </c>
      <c r="J91" s="2">
        <v>20</v>
      </c>
      <c r="K91" s="2"/>
      <c r="L91" s="2">
        <f>Table1[[#This Row],[Value]]+Table1[[#This Row],[Brokerage]]+Table1[[#This Row],[Taxes]]</f>
        <v>1870</v>
      </c>
      <c r="M91" s="6" t="str">
        <f>CONCATENATE(Table1[[#This Row],[Contract]]," ",Table1[[#This Row],[Strike Price]],IF(Table1[[#This Row],[Type]]="Put","PE","CE"))</f>
        <v>SUNTV 740CE</v>
      </c>
      <c r="N91" s="1">
        <v>42977</v>
      </c>
      <c r="O91">
        <v>1000</v>
      </c>
      <c r="P91" s="2">
        <v>1.35</v>
      </c>
      <c r="Q91" s="2">
        <f>Table1[[#This Row],[Quantity2]]*Table1[[#This Row],[Price3]]</f>
        <v>1350</v>
      </c>
      <c r="R91" s="2"/>
      <c r="S91" s="2"/>
      <c r="T91" s="2">
        <f>Table1[[#This Row],[Value4]]-Table1[[#This Row],[Brokerage5]]-Table1[[#This Row],[Taxes6]]</f>
        <v>1350</v>
      </c>
      <c r="U91" s="2">
        <f>Table1[Value4]-Table1[Value]</f>
        <v>-500</v>
      </c>
      <c r="V91" s="7">
        <f>(Table1[[#This Row],[Value4]]-Table1[[#This Row],[Value]])/Table1[[#This Row],[Value]]</f>
        <v>-0.27027027027027029</v>
      </c>
      <c r="W91" s="9" t="str">
        <f>TEXT(Table1[[#This Row],[Sell Date]],"mmm-yy")</f>
        <v>Aug-17</v>
      </c>
      <c r="X91" s="10" t="s">
        <v>47</v>
      </c>
      <c r="Y91" s="2" t="str">
        <f>TEXT(Table1[[#This Row],[Sell Date]],"ddd")</f>
        <v>Wed</v>
      </c>
      <c r="Z91" s="2" t="s">
        <v>92</v>
      </c>
    </row>
    <row r="92" spans="1:26" x14ac:dyDescent="0.25">
      <c r="A92" s="6">
        <v>88</v>
      </c>
      <c r="B92" s="1">
        <v>42977</v>
      </c>
      <c r="C92" t="s">
        <v>19</v>
      </c>
      <c r="D92">
        <v>24700</v>
      </c>
      <c r="E92" t="s">
        <v>20</v>
      </c>
      <c r="F92" s="1">
        <v>42978</v>
      </c>
      <c r="G92">
        <v>40</v>
      </c>
      <c r="H92" s="2">
        <v>7.5</v>
      </c>
      <c r="I92" s="2">
        <f>Table1[[#This Row],[Quantity]]*Table1[[#This Row],[Price]]</f>
        <v>300</v>
      </c>
      <c r="J92" s="2">
        <v>20</v>
      </c>
      <c r="K92" s="2"/>
      <c r="L92" s="2">
        <f>Table1[[#This Row],[Value]]+Table1[[#This Row],[Brokerage]]+Table1[[#This Row],[Taxes]]</f>
        <v>320</v>
      </c>
      <c r="M92" s="6" t="str">
        <f>CONCATENATE(Table1[[#This Row],[Contract]]," ",Table1[[#This Row],[Strike Price]],IF(Table1[[#This Row],[Type]]="Put","PE","CE"))</f>
        <v>BANKNIFTY 24700CE</v>
      </c>
      <c r="N92" s="1">
        <v>42977</v>
      </c>
      <c r="O92">
        <v>40</v>
      </c>
      <c r="P92" s="2">
        <v>8.5</v>
      </c>
      <c r="Q92" s="2">
        <f>Table1[[#This Row],[Quantity2]]*Table1[[#This Row],[Price3]]</f>
        <v>340</v>
      </c>
      <c r="R92" s="2"/>
      <c r="S92" s="2"/>
      <c r="T92" s="2">
        <f>Table1[[#This Row],[Value4]]-Table1[[#This Row],[Brokerage5]]-Table1[[#This Row],[Taxes6]]</f>
        <v>340</v>
      </c>
      <c r="U92" s="2">
        <f>Table1[Value4]-Table1[Value]</f>
        <v>40</v>
      </c>
      <c r="V92" s="7">
        <f>(Table1[[#This Row],[Value4]]-Table1[[#This Row],[Value]])/Table1[[#This Row],[Value]]</f>
        <v>0.13333333333333333</v>
      </c>
      <c r="W92" s="9" t="str">
        <f>TEXT(Table1[[#This Row],[Sell Date]],"mmm-yy")</f>
        <v>Aug-17</v>
      </c>
      <c r="X92" s="10" t="s">
        <v>47</v>
      </c>
      <c r="Y92" s="2" t="str">
        <f>TEXT(Table1[[#This Row],[Sell Date]],"ddd")</f>
        <v>Wed</v>
      </c>
      <c r="Z92" s="2" t="s">
        <v>93</v>
      </c>
    </row>
    <row r="93" spans="1:26" x14ac:dyDescent="0.25">
      <c r="A93" s="6">
        <v>89</v>
      </c>
      <c r="B93" s="1">
        <v>42977</v>
      </c>
      <c r="C93" t="s">
        <v>19</v>
      </c>
      <c r="D93">
        <v>24700</v>
      </c>
      <c r="E93" t="s">
        <v>20</v>
      </c>
      <c r="F93" s="1">
        <v>42978</v>
      </c>
      <c r="G93">
        <v>40</v>
      </c>
      <c r="H93" s="2">
        <v>8</v>
      </c>
      <c r="I93" s="2">
        <f>Table1[[#This Row],[Quantity]]*Table1[[#This Row],[Price]]</f>
        <v>320</v>
      </c>
      <c r="J93" s="2">
        <v>20</v>
      </c>
      <c r="K93" s="2"/>
      <c r="L93" s="2">
        <f>Table1[[#This Row],[Value]]+Table1[[#This Row],[Brokerage]]+Table1[[#This Row],[Taxes]]</f>
        <v>340</v>
      </c>
      <c r="M93" s="6" t="str">
        <f>CONCATENATE(Table1[[#This Row],[Contract]]," ",Table1[[#This Row],[Strike Price]],IF(Table1[[#This Row],[Type]]="Put","PE","CE"))</f>
        <v>BANKNIFTY 24700CE</v>
      </c>
      <c r="N93" s="1">
        <v>42978</v>
      </c>
      <c r="O93">
        <v>40</v>
      </c>
      <c r="P93" s="2">
        <v>0</v>
      </c>
      <c r="Q93" s="2">
        <v>0</v>
      </c>
      <c r="R93" s="2">
        <v>0</v>
      </c>
      <c r="S93" s="2">
        <v>0</v>
      </c>
      <c r="T93" s="2">
        <f>Table1[[#This Row],[Value4]]-Table1[[#This Row],[Brokerage5]]-Table1[[#This Row],[Taxes6]]</f>
        <v>0</v>
      </c>
      <c r="U93" s="2">
        <f>Table1[Value4]-Table1[Value]</f>
        <v>-320</v>
      </c>
      <c r="V93" s="7">
        <f>(Table1[[#This Row],[Value4]]-Table1[[#This Row],[Value]])/Table1[[#This Row],[Value]]</f>
        <v>-1</v>
      </c>
      <c r="W93" s="9" t="str">
        <f>TEXT(Table1[[#This Row],[Sell Date]],"mmm-yy")</f>
        <v>Aug-17</v>
      </c>
      <c r="X93" s="10" t="s">
        <v>47</v>
      </c>
      <c r="Y93" s="2" t="str">
        <f>TEXT(Table1[[#This Row],[Sell Date]],"ddd")</f>
        <v>Thu</v>
      </c>
      <c r="Z93" s="2" t="s">
        <v>93</v>
      </c>
    </row>
    <row r="94" spans="1:26" x14ac:dyDescent="0.25">
      <c r="A94" s="6">
        <v>90</v>
      </c>
      <c r="B94" s="1">
        <v>42977</v>
      </c>
      <c r="C94" t="s">
        <v>19</v>
      </c>
      <c r="D94">
        <v>24500</v>
      </c>
      <c r="E94" t="s">
        <v>20</v>
      </c>
      <c r="F94" s="1">
        <v>42978</v>
      </c>
      <c r="G94">
        <v>40</v>
      </c>
      <c r="H94" s="2">
        <v>35</v>
      </c>
      <c r="I94" s="2">
        <f>Table1[[#This Row],[Quantity]]*Table1[[#This Row],[Price]]</f>
        <v>1400</v>
      </c>
      <c r="J94" s="2">
        <v>20</v>
      </c>
      <c r="K94" s="2"/>
      <c r="L94" s="2">
        <f>Table1[[#This Row],[Value]]+Table1[[#This Row],[Brokerage]]+Table1[[#This Row],[Taxes]]</f>
        <v>1420</v>
      </c>
      <c r="M94" s="6" t="str">
        <f>CONCATENATE(Table1[[#This Row],[Contract]]," ",Table1[[#This Row],[Strike Price]],IF(Table1[[#This Row],[Type]]="Put","PE","CE"))</f>
        <v>BANKNIFTY 24500CE</v>
      </c>
      <c r="N94" s="1">
        <v>42977</v>
      </c>
      <c r="O94">
        <v>40</v>
      </c>
      <c r="P94" s="2">
        <v>32</v>
      </c>
      <c r="Q94" s="2">
        <f>Table1[[#This Row],[Quantity2]]*Table1[[#This Row],[Price3]]</f>
        <v>1280</v>
      </c>
      <c r="R94" s="2"/>
      <c r="S94" s="2"/>
      <c r="T94" s="2">
        <f>Table1[[#This Row],[Value4]]-Table1[[#This Row],[Brokerage5]]-Table1[[#This Row],[Taxes6]]</f>
        <v>1280</v>
      </c>
      <c r="U94" s="2">
        <f>Table1[Value4]-Table1[Value]</f>
        <v>-120</v>
      </c>
      <c r="V94" s="7">
        <f>(Table1[[#This Row],[Value4]]-Table1[[#This Row],[Value]])/Table1[[#This Row],[Value]]</f>
        <v>-8.5714285714285715E-2</v>
      </c>
      <c r="W94" s="9" t="str">
        <f>TEXT(Table1[[#This Row],[Sell Date]],"mmm-yy")</f>
        <v>Aug-17</v>
      </c>
      <c r="X94" s="10" t="s">
        <v>47</v>
      </c>
      <c r="Y94" s="2" t="str">
        <f>TEXT(Table1[[#This Row],[Sell Date]],"ddd")</f>
        <v>Wed</v>
      </c>
      <c r="Z94" s="2" t="s">
        <v>93</v>
      </c>
    </row>
    <row r="95" spans="1:26" x14ac:dyDescent="0.25">
      <c r="A95" s="6">
        <v>91</v>
      </c>
      <c r="B95" s="1">
        <v>42977</v>
      </c>
      <c r="C95" t="s">
        <v>19</v>
      </c>
      <c r="D95">
        <v>25000</v>
      </c>
      <c r="E95" t="s">
        <v>20</v>
      </c>
      <c r="F95" s="1">
        <v>42978</v>
      </c>
      <c r="G95">
        <v>120</v>
      </c>
      <c r="H95" s="2">
        <v>1.8</v>
      </c>
      <c r="I95" s="2">
        <f>Table1[[#This Row],[Quantity]]*Table1[[#This Row],[Price]]</f>
        <v>216</v>
      </c>
      <c r="J95" s="2">
        <v>20</v>
      </c>
      <c r="K95" s="2"/>
      <c r="L95" s="2">
        <f>Table1[[#This Row],[Value]]+Table1[[#This Row],[Brokerage]]+Table1[[#This Row],[Taxes]]</f>
        <v>236</v>
      </c>
      <c r="M95" s="6" t="str">
        <f>CONCATENATE(Table1[[#This Row],[Contract]]," ",Table1[[#This Row],[Strike Price]],IF(Table1[[#This Row],[Type]]="Put","PE","CE"))</f>
        <v>BANKNIFTY 25000CE</v>
      </c>
      <c r="N95" s="1">
        <v>42978</v>
      </c>
      <c r="O95">
        <v>120</v>
      </c>
      <c r="P95" s="2">
        <v>0</v>
      </c>
      <c r="Q95" s="2">
        <f>Table1[[#This Row],[Quantity2]]*Table1[[#This Row],[Price3]]</f>
        <v>0</v>
      </c>
      <c r="R95" s="2">
        <v>0</v>
      </c>
      <c r="S95" s="2">
        <v>0</v>
      </c>
      <c r="T95" s="2">
        <f>Table1[[#This Row],[Value4]]-Table1[[#This Row],[Brokerage5]]-Table1[[#This Row],[Taxes6]]</f>
        <v>0</v>
      </c>
      <c r="U95" s="2">
        <f>Table1[Value4]-Table1[Value]</f>
        <v>-216</v>
      </c>
      <c r="V95" s="7">
        <f>(Table1[[#This Row],[Value4]]-Table1[[#This Row],[Value]])/Table1[[#This Row],[Value]]</f>
        <v>-1</v>
      </c>
      <c r="W95" s="9" t="str">
        <f>TEXT(Table1[[#This Row],[Sell Date]],"mmm-yy")</f>
        <v>Aug-17</v>
      </c>
      <c r="X95" s="10" t="s">
        <v>47</v>
      </c>
      <c r="Y95" s="2" t="str">
        <f>TEXT(Table1[[#This Row],[Sell Date]],"ddd")</f>
        <v>Thu</v>
      </c>
      <c r="Z95" s="2" t="s">
        <v>92</v>
      </c>
    </row>
    <row r="96" spans="1:26" x14ac:dyDescent="0.25">
      <c r="A96" s="6">
        <v>92</v>
      </c>
      <c r="B96" s="1">
        <v>42977</v>
      </c>
      <c r="C96" t="s">
        <v>19</v>
      </c>
      <c r="D96">
        <v>25000</v>
      </c>
      <c r="E96" t="s">
        <v>20</v>
      </c>
      <c r="F96" s="1">
        <v>42978</v>
      </c>
      <c r="G96">
        <v>80</v>
      </c>
      <c r="H96" s="2">
        <v>1.6</v>
      </c>
      <c r="I96" s="2">
        <f>Table1[[#This Row],[Quantity]]*Table1[[#This Row],[Price]]</f>
        <v>128</v>
      </c>
      <c r="J96" s="2">
        <v>20</v>
      </c>
      <c r="K96" s="2"/>
      <c r="L96" s="2">
        <f>Table1[[#This Row],[Value]]+Table1[[#This Row],[Brokerage]]+Table1[[#This Row],[Taxes]]</f>
        <v>148</v>
      </c>
      <c r="M96" s="6" t="str">
        <f>CONCATENATE(Table1[[#This Row],[Contract]]," ",Table1[[#This Row],[Strike Price]],IF(Table1[[#This Row],[Type]]="Put","PE","CE"))</f>
        <v>BANKNIFTY 25000CE</v>
      </c>
      <c r="N96" s="1">
        <v>42978</v>
      </c>
      <c r="O96">
        <v>80</v>
      </c>
      <c r="P96" s="2">
        <v>0</v>
      </c>
      <c r="Q96" s="2">
        <f>Table1[[#This Row],[Quantity2]]*Table1[[#This Row],[Price3]]</f>
        <v>0</v>
      </c>
      <c r="R96" s="2">
        <v>0</v>
      </c>
      <c r="S96" s="2">
        <v>0</v>
      </c>
      <c r="T96" s="2">
        <f>Table1[[#This Row],[Value4]]-Table1[[#This Row],[Brokerage5]]-Table1[[#This Row],[Taxes6]]</f>
        <v>0</v>
      </c>
      <c r="U96" s="2">
        <f>Table1[Value4]-Table1[Value]</f>
        <v>-128</v>
      </c>
      <c r="V96" s="7">
        <f>(Table1[[#This Row],[Value4]]-Table1[[#This Row],[Value]])/Table1[[#This Row],[Value]]</f>
        <v>-1</v>
      </c>
      <c r="W96" s="9" t="str">
        <f>TEXT(Table1[[#This Row],[Sell Date]],"mmm-yy")</f>
        <v>Aug-17</v>
      </c>
      <c r="X96" s="10" t="s">
        <v>47</v>
      </c>
      <c r="Y96" s="2" t="str">
        <f>TEXT(Table1[[#This Row],[Sell Date]],"ddd")</f>
        <v>Thu</v>
      </c>
      <c r="Z96" s="2" t="s">
        <v>92</v>
      </c>
    </row>
    <row r="97" spans="1:26" x14ac:dyDescent="0.25">
      <c r="A97" s="6">
        <v>93</v>
      </c>
      <c r="B97" s="1">
        <v>42982</v>
      </c>
      <c r="C97" t="s">
        <v>19</v>
      </c>
      <c r="D97">
        <v>25000</v>
      </c>
      <c r="E97" t="s">
        <v>20</v>
      </c>
      <c r="F97" s="1">
        <v>42985</v>
      </c>
      <c r="G97">
        <v>80</v>
      </c>
      <c r="H97" s="2">
        <v>3.55</v>
      </c>
      <c r="I97" s="2">
        <f>Table1[[#This Row],[Quantity]]*Table1[[#This Row],[Price]]</f>
        <v>284</v>
      </c>
      <c r="J97" s="2">
        <v>20</v>
      </c>
      <c r="K97" s="2"/>
      <c r="L97" s="2">
        <f>Table1[[#This Row],[Value]]+Table1[[#This Row],[Brokerage]]+Table1[[#This Row],[Taxes]]</f>
        <v>304</v>
      </c>
      <c r="M97" s="6" t="str">
        <f>CONCATENATE(Table1[[#This Row],[Contract]]," ",Table1[[#This Row],[Strike Price]],IF(Table1[[#This Row],[Type]]="Put","PE","CE"))</f>
        <v>BANKNIFTY 25000CE</v>
      </c>
      <c r="N97" s="1">
        <v>42982</v>
      </c>
      <c r="O97">
        <v>80</v>
      </c>
      <c r="P97" s="2">
        <v>2.5499999999999998</v>
      </c>
      <c r="Q97" s="2">
        <f>Table1[[#This Row],[Quantity2]]*Table1[[#This Row],[Price3]]</f>
        <v>204</v>
      </c>
      <c r="R97" s="2"/>
      <c r="S97" s="2"/>
      <c r="T97" s="2">
        <f>Table1[[#This Row],[Value4]]-Table1[[#This Row],[Brokerage5]]-Table1[[#This Row],[Taxes6]]</f>
        <v>204</v>
      </c>
      <c r="U97" s="2">
        <f>Table1[Value4]-Table1[Value]</f>
        <v>-80</v>
      </c>
      <c r="V97" s="7">
        <f>(Table1[[#This Row],[Value4]]-Table1[[#This Row],[Value]])/Table1[[#This Row],[Value]]</f>
        <v>-0.28169014084507044</v>
      </c>
      <c r="W97" s="15" t="str">
        <f>TEXT(Table1[[#This Row],[Sell Date]],"mmm-yy")</f>
        <v>Sep-17</v>
      </c>
      <c r="X97" s="2" t="s">
        <v>47</v>
      </c>
      <c r="Y97" s="2" t="str">
        <f>TEXT(Table1[[#This Row],[Sell Date]],"ddd")</f>
        <v>Mon</v>
      </c>
      <c r="Z97" s="2" t="s">
        <v>93</v>
      </c>
    </row>
    <row r="98" spans="1:26" x14ac:dyDescent="0.25">
      <c r="A98" s="6">
        <v>94</v>
      </c>
      <c r="B98" s="1">
        <v>42983</v>
      </c>
      <c r="C98" t="s">
        <v>19</v>
      </c>
      <c r="D98">
        <v>24700</v>
      </c>
      <c r="E98" t="s">
        <v>20</v>
      </c>
      <c r="F98" s="1">
        <v>42985</v>
      </c>
      <c r="G98">
        <v>40</v>
      </c>
      <c r="H98" s="2">
        <v>11</v>
      </c>
      <c r="I98" s="2">
        <f>Table1[[#This Row],[Quantity]]*Table1[[#This Row],[Price]]</f>
        <v>440</v>
      </c>
      <c r="J98" s="2">
        <v>20</v>
      </c>
      <c r="K98" s="2"/>
      <c r="L98" s="2">
        <f>Table1[[#This Row],[Value]]+Table1[[#This Row],[Brokerage]]+Table1[[#This Row],[Taxes]]</f>
        <v>460</v>
      </c>
      <c r="M98" s="6" t="str">
        <f>CONCATENATE(Table1[[#This Row],[Contract]]," ",Table1[[#This Row],[Strike Price]],IF(Table1[[#This Row],[Type]]="Put","PE","CE"))</f>
        <v>BANKNIFTY 24700CE</v>
      </c>
      <c r="N98" s="1">
        <v>42983</v>
      </c>
      <c r="O98">
        <v>40</v>
      </c>
      <c r="P98" s="2">
        <v>9</v>
      </c>
      <c r="Q98" s="2">
        <f>Table1[[#This Row],[Quantity2]]*Table1[[#This Row],[Price3]]</f>
        <v>360</v>
      </c>
      <c r="R98" s="2"/>
      <c r="S98" s="2"/>
      <c r="T98" s="2">
        <f>Table1[[#This Row],[Value4]]-Table1[[#This Row],[Brokerage5]]-Table1[[#This Row],[Taxes6]]</f>
        <v>360</v>
      </c>
      <c r="U98" s="2">
        <f>Table1[Value4]-Table1[Value]</f>
        <v>-80</v>
      </c>
      <c r="V98" s="7">
        <f>(Table1[[#This Row],[Value4]]-Table1[[#This Row],[Value]])/Table1[[#This Row],[Value]]</f>
        <v>-0.18181818181818182</v>
      </c>
      <c r="W98" s="15" t="str">
        <f>TEXT(Table1[[#This Row],[Sell Date]],"mmm-yy")</f>
        <v>Sep-17</v>
      </c>
      <c r="X98" s="2" t="s">
        <v>47</v>
      </c>
      <c r="Y98" s="2" t="str">
        <f>TEXT(Table1[[#This Row],[Sell Date]],"ddd")</f>
        <v>Tue</v>
      </c>
      <c r="Z98" s="2" t="s">
        <v>93</v>
      </c>
    </row>
    <row r="99" spans="1:26" x14ac:dyDescent="0.25">
      <c r="A99" s="6">
        <v>95</v>
      </c>
      <c r="B99" s="1">
        <v>42983</v>
      </c>
      <c r="C99" t="s">
        <v>19</v>
      </c>
      <c r="D99">
        <v>24800</v>
      </c>
      <c r="E99" t="s">
        <v>20</v>
      </c>
      <c r="F99" s="1">
        <v>42985</v>
      </c>
      <c r="G99">
        <v>80</v>
      </c>
      <c r="H99" s="2">
        <v>4</v>
      </c>
      <c r="I99" s="2">
        <f>Table1[[#This Row],[Quantity]]*Table1[[#This Row],[Price]]</f>
        <v>320</v>
      </c>
      <c r="J99" s="2">
        <v>20</v>
      </c>
      <c r="K99" s="2"/>
      <c r="L99" s="2">
        <f>Table1[[#This Row],[Value]]+Table1[[#This Row],[Brokerage]]+Table1[[#This Row],[Taxes]]</f>
        <v>340</v>
      </c>
      <c r="M99" s="6" t="str">
        <f>CONCATENATE(Table1[[#This Row],[Contract]]," ",Table1[[#This Row],[Strike Price]],IF(Table1[[#This Row],[Type]]="Put","PE","CE"))</f>
        <v>BANKNIFTY 24800CE</v>
      </c>
      <c r="N99" s="1">
        <v>42985</v>
      </c>
      <c r="O99">
        <v>80</v>
      </c>
      <c r="P99" s="2">
        <v>0</v>
      </c>
      <c r="Q99" s="2">
        <f>Table1[[#This Row],[Quantity2]]*Table1[[#This Row],[Price3]]</f>
        <v>0</v>
      </c>
      <c r="R99" s="2"/>
      <c r="S99" s="2"/>
      <c r="T99" s="2">
        <f>Table1[[#This Row],[Value4]]-Table1[[#This Row],[Brokerage5]]-Table1[[#This Row],[Taxes6]]</f>
        <v>0</v>
      </c>
      <c r="U99" s="2">
        <f>Table1[Value4]-Table1[Value]</f>
        <v>-320</v>
      </c>
      <c r="V99" s="7">
        <f>(Table1[[#This Row],[Value4]]-Table1[[#This Row],[Value]])/Table1[[#This Row],[Value]]</f>
        <v>-1</v>
      </c>
      <c r="W99" s="15" t="str">
        <f>TEXT(Table1[[#This Row],[Sell Date]],"mmm-yy")</f>
        <v>Sep-17</v>
      </c>
      <c r="X99" s="2" t="s">
        <v>47</v>
      </c>
      <c r="Y99" s="2" t="str">
        <f>TEXT(Table1[[#This Row],[Sell Date]],"ddd")</f>
        <v>Thu</v>
      </c>
      <c r="Z99" s="2" t="s">
        <v>93</v>
      </c>
    </row>
    <row r="100" spans="1:26" x14ac:dyDescent="0.25">
      <c r="A100" s="6">
        <v>96</v>
      </c>
      <c r="B100" s="1">
        <v>42989</v>
      </c>
      <c r="C100" t="s">
        <v>19</v>
      </c>
      <c r="D100">
        <v>25000</v>
      </c>
      <c r="E100" t="s">
        <v>20</v>
      </c>
      <c r="F100" s="1">
        <v>42992</v>
      </c>
      <c r="G100">
        <v>40</v>
      </c>
      <c r="H100" s="2">
        <v>11</v>
      </c>
      <c r="I100" s="2">
        <f>Table1[[#This Row],[Quantity]]*Table1[[#This Row],[Price]]</f>
        <v>440</v>
      </c>
      <c r="J100" s="2">
        <v>20</v>
      </c>
      <c r="K100" s="2"/>
      <c r="L100" s="2">
        <f>Table1[[#This Row],[Value]]+Table1[[#This Row],[Brokerage]]+Table1[[#This Row],[Taxes]]</f>
        <v>460</v>
      </c>
      <c r="M100" s="6" t="str">
        <f>CONCATENATE(Table1[[#This Row],[Contract]]," ",Table1[[#This Row],[Strike Price]],IF(Table1[[#This Row],[Type]]="Put","PE","CE"))</f>
        <v>BANKNIFTY 25000CE</v>
      </c>
      <c r="N100" s="1">
        <v>42989</v>
      </c>
      <c r="O100">
        <v>40</v>
      </c>
      <c r="P100" s="2">
        <v>17</v>
      </c>
      <c r="Q100" s="2">
        <f>Table1[[#This Row],[Quantity2]]*Table1[[#This Row],[Price3]]</f>
        <v>680</v>
      </c>
      <c r="R100" s="2"/>
      <c r="S100" s="2"/>
      <c r="T100" s="2">
        <f>Table1[[#This Row],[Value4]]-Table1[[#This Row],[Brokerage5]]-Table1[[#This Row],[Taxes6]]</f>
        <v>680</v>
      </c>
      <c r="U100" s="2">
        <f>Table1[Value4]-Table1[Value]</f>
        <v>240</v>
      </c>
      <c r="V100" s="7">
        <f>(Table1[[#This Row],[Value4]]-Table1[[#This Row],[Value]])/Table1[[#This Row],[Value]]</f>
        <v>0.54545454545454541</v>
      </c>
      <c r="W100" s="15" t="str">
        <f>TEXT(Table1[[#This Row],[Sell Date]],"mmm-yy")</f>
        <v>Sep-17</v>
      </c>
      <c r="X100" s="2" t="s">
        <v>47</v>
      </c>
      <c r="Y100" s="2" t="str">
        <f>TEXT(Table1[[#This Row],[Sell Date]],"ddd")</f>
        <v>Mon</v>
      </c>
      <c r="Z100" s="2" t="s">
        <v>93</v>
      </c>
    </row>
    <row r="101" spans="1:26" x14ac:dyDescent="0.25">
      <c r="A101" s="6">
        <v>97</v>
      </c>
      <c r="B101" s="1">
        <v>42989</v>
      </c>
      <c r="C101" t="s">
        <v>19</v>
      </c>
      <c r="D101">
        <v>25000</v>
      </c>
      <c r="E101" t="s">
        <v>20</v>
      </c>
      <c r="F101" s="1">
        <v>42992</v>
      </c>
      <c r="G101">
        <v>40</v>
      </c>
      <c r="H101" s="2">
        <v>17.2</v>
      </c>
      <c r="I101" s="2">
        <f>Table1[[#This Row],[Quantity]]*Table1[[#This Row],[Price]]</f>
        <v>688</v>
      </c>
      <c r="J101" s="2">
        <v>20</v>
      </c>
      <c r="K101" s="2"/>
      <c r="L101" s="2">
        <f>Table1[[#This Row],[Value]]+Table1[[#This Row],[Brokerage]]+Table1[[#This Row],[Taxes]]</f>
        <v>708</v>
      </c>
      <c r="M101" s="6" t="str">
        <f>CONCATENATE(Table1[[#This Row],[Contract]]," ",Table1[[#This Row],[Strike Price]],IF(Table1[[#This Row],[Type]]="Put","PE","CE"))</f>
        <v>BANKNIFTY 25000CE</v>
      </c>
      <c r="N101" s="1">
        <v>42989</v>
      </c>
      <c r="O101">
        <v>40</v>
      </c>
      <c r="P101" s="2">
        <v>19</v>
      </c>
      <c r="Q101" s="2">
        <f>Table1[[#This Row],[Quantity2]]*Table1[[#This Row],[Price3]]</f>
        <v>760</v>
      </c>
      <c r="R101" s="2"/>
      <c r="S101" s="2"/>
      <c r="T101" s="2">
        <f>Table1[[#This Row],[Value4]]-Table1[[#This Row],[Brokerage5]]-Table1[[#This Row],[Taxes6]]</f>
        <v>760</v>
      </c>
      <c r="U101" s="2">
        <f>Table1[Value4]-Table1[Value]</f>
        <v>72</v>
      </c>
      <c r="V101" s="7">
        <f>(Table1[[#This Row],[Value4]]-Table1[[#This Row],[Value]])/Table1[[#This Row],[Value]]</f>
        <v>0.10465116279069768</v>
      </c>
      <c r="W101" s="15" t="str">
        <f>TEXT(Table1[[#This Row],[Sell Date]],"mmm-yy")</f>
        <v>Sep-17</v>
      </c>
      <c r="X101" s="2" t="s">
        <v>47</v>
      </c>
      <c r="Y101" s="2" t="str">
        <f>TEXT(Table1[[#This Row],[Sell Date]],"ddd")</f>
        <v>Mon</v>
      </c>
      <c r="Z101" s="2" t="s">
        <v>93</v>
      </c>
    </row>
    <row r="102" spans="1:26" x14ac:dyDescent="0.25">
      <c r="A102" s="6">
        <v>98</v>
      </c>
      <c r="B102" s="1">
        <v>42989</v>
      </c>
      <c r="C102" t="s">
        <v>19</v>
      </c>
      <c r="D102">
        <v>25000</v>
      </c>
      <c r="E102" t="s">
        <v>20</v>
      </c>
      <c r="F102" s="1">
        <v>42992</v>
      </c>
      <c r="G102">
        <v>40</v>
      </c>
      <c r="H102" s="2">
        <v>17.899999999999999</v>
      </c>
      <c r="I102" s="2">
        <f>Table1[[#This Row],[Quantity]]*Table1[[#This Row],[Price]]</f>
        <v>716</v>
      </c>
      <c r="J102" s="2">
        <v>20</v>
      </c>
      <c r="K102" s="2"/>
      <c r="L102" s="2">
        <f>Table1[[#This Row],[Value]]+Table1[[#This Row],[Brokerage]]+Table1[[#This Row],[Taxes]]</f>
        <v>736</v>
      </c>
      <c r="M102" s="6" t="str">
        <f>CONCATENATE(Table1[[#This Row],[Contract]]," ",Table1[[#This Row],[Strike Price]],IF(Table1[[#This Row],[Type]]="Put","PE","CE"))</f>
        <v>BANKNIFTY 25000CE</v>
      </c>
      <c r="N102" s="1">
        <v>42989</v>
      </c>
      <c r="O102">
        <v>40</v>
      </c>
      <c r="P102" s="2">
        <v>15</v>
      </c>
      <c r="Q102" s="2">
        <f>Table1[[#This Row],[Quantity2]]*Table1[[#This Row],[Price3]]</f>
        <v>600</v>
      </c>
      <c r="R102" s="2"/>
      <c r="S102" s="2"/>
      <c r="T102" s="2">
        <f>Table1[[#This Row],[Value4]]-Table1[[#This Row],[Brokerage5]]-Table1[[#This Row],[Taxes6]]</f>
        <v>600</v>
      </c>
      <c r="U102" s="2">
        <f>Table1[Value4]-Table1[Value]</f>
        <v>-116</v>
      </c>
      <c r="V102" s="7">
        <f>(Table1[[#This Row],[Value4]]-Table1[[#This Row],[Value]])/Table1[[#This Row],[Value]]</f>
        <v>-0.16201117318435754</v>
      </c>
      <c r="W102" s="15" t="str">
        <f>TEXT(Table1[[#This Row],[Sell Date]],"mmm-yy")</f>
        <v>Sep-17</v>
      </c>
      <c r="X102" s="2" t="s">
        <v>47</v>
      </c>
      <c r="Y102" s="2" t="str">
        <f>TEXT(Table1[[#This Row],[Sell Date]],"ddd")</f>
        <v>Mon</v>
      </c>
      <c r="Z102" s="2" t="s">
        <v>93</v>
      </c>
    </row>
    <row r="103" spans="1:26" x14ac:dyDescent="0.25">
      <c r="A103" s="6">
        <v>99</v>
      </c>
      <c r="B103" s="1">
        <v>42989</v>
      </c>
      <c r="C103" t="s">
        <v>19</v>
      </c>
      <c r="D103">
        <v>25000</v>
      </c>
      <c r="E103" t="s">
        <v>20</v>
      </c>
      <c r="F103" s="1">
        <v>42992</v>
      </c>
      <c r="G103">
        <v>40</v>
      </c>
      <c r="H103" s="2">
        <v>19</v>
      </c>
      <c r="I103" s="2">
        <f>Table1[[#This Row],[Quantity]]*Table1[[#This Row],[Price]]</f>
        <v>760</v>
      </c>
      <c r="J103" s="2">
        <v>20</v>
      </c>
      <c r="K103" s="2"/>
      <c r="L103" s="2">
        <f>Table1[[#This Row],[Value]]+Table1[[#This Row],[Brokerage]]+Table1[[#This Row],[Taxes]]</f>
        <v>780</v>
      </c>
      <c r="M103" s="6" t="str">
        <f>CONCATENATE(Table1[[#This Row],[Contract]]," ",Table1[[#This Row],[Strike Price]],IF(Table1[[#This Row],[Type]]="Put","PE","CE"))</f>
        <v>BANKNIFTY 25000CE</v>
      </c>
      <c r="N103" s="1">
        <v>42989</v>
      </c>
      <c r="O103">
        <v>40</v>
      </c>
      <c r="P103" s="2">
        <v>16</v>
      </c>
      <c r="Q103" s="2">
        <f>Table1[[#This Row],[Quantity2]]*Table1[[#This Row],[Price3]]</f>
        <v>640</v>
      </c>
      <c r="R103" s="2"/>
      <c r="S103" s="2"/>
      <c r="T103" s="2">
        <f>Table1[[#This Row],[Value4]]-Table1[[#This Row],[Brokerage5]]-Table1[[#This Row],[Taxes6]]</f>
        <v>640</v>
      </c>
      <c r="U103" s="2">
        <f>Table1[Value4]-Table1[Value]</f>
        <v>-120</v>
      </c>
      <c r="V103" s="7">
        <f>(Table1[[#This Row],[Value4]]-Table1[[#This Row],[Value]])/Table1[[#This Row],[Value]]</f>
        <v>-0.15789473684210525</v>
      </c>
      <c r="W103" s="15" t="str">
        <f>TEXT(Table1[[#This Row],[Sell Date]],"mmm-yy")</f>
        <v>Sep-17</v>
      </c>
      <c r="X103" s="2" t="s">
        <v>47</v>
      </c>
      <c r="Y103" s="2" t="str">
        <f>TEXT(Table1[[#This Row],[Sell Date]],"ddd")</f>
        <v>Mon</v>
      </c>
      <c r="Z103" s="2" t="s">
        <v>93</v>
      </c>
    </row>
    <row r="104" spans="1:26" x14ac:dyDescent="0.25">
      <c r="A104" s="6">
        <v>100</v>
      </c>
      <c r="B104" s="1">
        <v>42989</v>
      </c>
      <c r="C104" t="s">
        <v>19</v>
      </c>
      <c r="D104">
        <v>25000</v>
      </c>
      <c r="E104" t="s">
        <v>20</v>
      </c>
      <c r="F104" s="1">
        <v>42992</v>
      </c>
      <c r="G104">
        <v>40</v>
      </c>
      <c r="H104" s="2">
        <v>18.5</v>
      </c>
      <c r="I104" s="2">
        <f>Table1[[#This Row],[Quantity]]*Table1[[#This Row],[Price]]</f>
        <v>740</v>
      </c>
      <c r="J104" s="2">
        <v>20</v>
      </c>
      <c r="K104" s="2"/>
      <c r="L104" s="2">
        <f>Table1[[#This Row],[Value]]+Table1[[#This Row],[Brokerage]]+Table1[[#This Row],[Taxes]]</f>
        <v>760</v>
      </c>
      <c r="M104" s="6" t="str">
        <f>CONCATENATE(Table1[[#This Row],[Contract]]," ",Table1[[#This Row],[Strike Price]],IF(Table1[[#This Row],[Type]]="Put","PE","CE"))</f>
        <v>BANKNIFTY 25000CE</v>
      </c>
      <c r="N104" s="1">
        <v>42989</v>
      </c>
      <c r="O104">
        <v>40</v>
      </c>
      <c r="P104" s="2">
        <v>14</v>
      </c>
      <c r="Q104" s="2">
        <f>Table1[[#This Row],[Quantity2]]*Table1[[#This Row],[Price3]]</f>
        <v>560</v>
      </c>
      <c r="R104" s="2"/>
      <c r="S104" s="2"/>
      <c r="T104" s="2">
        <f>Table1[[#This Row],[Value4]]-Table1[[#This Row],[Brokerage5]]-Table1[[#This Row],[Taxes6]]</f>
        <v>560</v>
      </c>
      <c r="U104" s="2">
        <f>Table1[Value4]-Table1[Value]</f>
        <v>-180</v>
      </c>
      <c r="V104" s="7">
        <f>(Table1[[#This Row],[Value4]]-Table1[[#This Row],[Value]])/Table1[[#This Row],[Value]]</f>
        <v>-0.24324324324324326</v>
      </c>
      <c r="W104" s="15" t="str">
        <f>TEXT(Table1[[#This Row],[Sell Date]],"mmm-yy")</f>
        <v>Sep-17</v>
      </c>
      <c r="X104" s="2" t="s">
        <v>47</v>
      </c>
      <c r="Y104" s="2" t="str">
        <f>TEXT(Table1[[#This Row],[Sell Date]],"ddd")</f>
        <v>Mon</v>
      </c>
      <c r="Z104" s="2" t="s">
        <v>93</v>
      </c>
    </row>
    <row r="105" spans="1:26" x14ac:dyDescent="0.25">
      <c r="A105" s="6">
        <v>101</v>
      </c>
      <c r="B105" s="1">
        <v>42990</v>
      </c>
      <c r="C105" t="s">
        <v>19</v>
      </c>
      <c r="D105">
        <v>25100</v>
      </c>
      <c r="E105" t="s">
        <v>20</v>
      </c>
      <c r="F105" s="1">
        <v>42992</v>
      </c>
      <c r="G105">
        <v>40</v>
      </c>
      <c r="H105" s="2">
        <v>9.5</v>
      </c>
      <c r="I105" s="2">
        <f>Table1[[#This Row],[Quantity]]*Table1[[#This Row],[Price]]</f>
        <v>380</v>
      </c>
      <c r="J105" s="2">
        <v>20</v>
      </c>
      <c r="K105" s="2"/>
      <c r="L105" s="2">
        <f>Table1[[#This Row],[Value]]+Table1[[#This Row],[Brokerage]]+Table1[[#This Row],[Taxes]]</f>
        <v>400</v>
      </c>
      <c r="M105" s="6" t="str">
        <f>CONCATENATE(Table1[[#This Row],[Contract]]," ",Table1[[#This Row],[Strike Price]],IF(Table1[[#This Row],[Type]]="Put","PE","CE"))</f>
        <v>BANKNIFTY 25100CE</v>
      </c>
      <c r="N105" s="1">
        <v>42990</v>
      </c>
      <c r="O105">
        <v>40</v>
      </c>
      <c r="P105" s="2">
        <v>11</v>
      </c>
      <c r="Q105" s="2">
        <f>Table1[[#This Row],[Quantity2]]*Table1[[#This Row],[Price3]]</f>
        <v>440</v>
      </c>
      <c r="R105" s="2"/>
      <c r="S105" s="2"/>
      <c r="T105" s="2">
        <f>Table1[[#This Row],[Value4]]-Table1[[#This Row],[Brokerage5]]-Table1[[#This Row],[Taxes6]]</f>
        <v>440</v>
      </c>
      <c r="U105" s="2">
        <f>Table1[Value4]-Table1[Value]</f>
        <v>60</v>
      </c>
      <c r="V105" s="7">
        <f>(Table1[[#This Row],[Value4]]-Table1[[#This Row],[Value]])/Table1[[#This Row],[Value]]</f>
        <v>0.15789473684210525</v>
      </c>
      <c r="W105" s="15" t="str">
        <f>TEXT(Table1[[#This Row],[Sell Date]],"mmm-yy")</f>
        <v>Sep-17</v>
      </c>
      <c r="X105" s="2" t="s">
        <v>47</v>
      </c>
      <c r="Y105" s="2" t="str">
        <f>TEXT(Table1[[#This Row],[Sell Date]],"ddd")</f>
        <v>Tue</v>
      </c>
      <c r="Z105" s="2" t="s">
        <v>93</v>
      </c>
    </row>
    <row r="106" spans="1:26" x14ac:dyDescent="0.25">
      <c r="A106" s="6">
        <v>102</v>
      </c>
      <c r="B106" s="1">
        <v>42990</v>
      </c>
      <c r="C106" t="s">
        <v>19</v>
      </c>
      <c r="D106">
        <v>25100</v>
      </c>
      <c r="E106" t="s">
        <v>20</v>
      </c>
      <c r="F106" s="1">
        <v>42992</v>
      </c>
      <c r="G106">
        <v>40</v>
      </c>
      <c r="H106" s="2">
        <v>11</v>
      </c>
      <c r="I106" s="2">
        <f>Table1[[#This Row],[Quantity]]*Table1[[#This Row],[Price]]</f>
        <v>440</v>
      </c>
      <c r="J106" s="2">
        <v>20</v>
      </c>
      <c r="K106" s="2"/>
      <c r="L106" s="2">
        <f>Table1[[#This Row],[Value]]+Table1[[#This Row],[Brokerage]]+Table1[[#This Row],[Taxes]]</f>
        <v>460</v>
      </c>
      <c r="M106" s="6" t="str">
        <f>CONCATENATE(Table1[[#This Row],[Contract]]," ",Table1[[#This Row],[Strike Price]],IF(Table1[[#This Row],[Type]]="Put","PE","CE"))</f>
        <v>BANKNIFTY 25100CE</v>
      </c>
      <c r="N106" s="1">
        <v>42991</v>
      </c>
      <c r="O106">
        <v>40</v>
      </c>
      <c r="P106" s="2">
        <v>15</v>
      </c>
      <c r="Q106" s="2">
        <f>Table1[[#This Row],[Quantity2]]*Table1[[#This Row],[Price3]]</f>
        <v>600</v>
      </c>
      <c r="R106" s="2"/>
      <c r="S106" s="2"/>
      <c r="T106" s="2">
        <f>Table1[[#This Row],[Value4]]-Table1[[#This Row],[Brokerage5]]-Table1[[#This Row],[Taxes6]]</f>
        <v>600</v>
      </c>
      <c r="U106" s="2">
        <f>Table1[Value4]-Table1[Value]</f>
        <v>160</v>
      </c>
      <c r="V106" s="7">
        <f>(Table1[[#This Row],[Value4]]-Table1[[#This Row],[Value]])/Table1[[#This Row],[Value]]</f>
        <v>0.36363636363636365</v>
      </c>
      <c r="W106" s="15" t="str">
        <f>TEXT(Table1[[#This Row],[Sell Date]],"mmm-yy")</f>
        <v>Sep-17</v>
      </c>
      <c r="X106" s="2" t="s">
        <v>47</v>
      </c>
      <c r="Y106" s="2" t="str">
        <f>TEXT(Table1[[#This Row],[Sell Date]],"ddd")</f>
        <v>Wed</v>
      </c>
      <c r="Z106" s="2" t="s">
        <v>93</v>
      </c>
    </row>
    <row r="107" spans="1:26" x14ac:dyDescent="0.25">
      <c r="A107" s="6">
        <v>103</v>
      </c>
      <c r="B107" s="1">
        <v>42991</v>
      </c>
      <c r="C107" t="s">
        <v>19</v>
      </c>
      <c r="D107">
        <v>24600</v>
      </c>
      <c r="E107" t="s">
        <v>23</v>
      </c>
      <c r="F107" s="1">
        <v>42992</v>
      </c>
      <c r="G107">
        <v>40</v>
      </c>
      <c r="H107" s="2">
        <v>16</v>
      </c>
      <c r="I107" s="2">
        <f>Table1[[#This Row],[Quantity]]*Table1[[#This Row],[Price]]</f>
        <v>640</v>
      </c>
      <c r="J107" s="2">
        <v>20</v>
      </c>
      <c r="K107" s="2"/>
      <c r="L107" s="2">
        <f>Table1[[#This Row],[Value]]+Table1[[#This Row],[Brokerage]]+Table1[[#This Row],[Taxes]]</f>
        <v>660</v>
      </c>
      <c r="M107" s="6" t="str">
        <f>CONCATENATE(Table1[[#This Row],[Contract]]," ",Table1[[#This Row],[Strike Price]],IF(Table1[[#This Row],[Type]]="Put","PE","CE"))</f>
        <v>BANKNIFTY 24600PE</v>
      </c>
      <c r="N107" s="1">
        <v>42992</v>
      </c>
      <c r="O107">
        <v>40</v>
      </c>
      <c r="P107" s="2">
        <v>0</v>
      </c>
      <c r="Q107" s="2">
        <f>Table1[[#This Row],[Quantity2]]*Table1[[#This Row],[Price3]]</f>
        <v>0</v>
      </c>
      <c r="R107" s="2"/>
      <c r="S107" s="2"/>
      <c r="T107" s="2">
        <f>Table1[[#This Row],[Value4]]-Table1[[#This Row],[Brokerage5]]-Table1[[#This Row],[Taxes6]]</f>
        <v>0</v>
      </c>
      <c r="U107" s="2">
        <f>Table1[Value4]-Table1[Value]</f>
        <v>-640</v>
      </c>
      <c r="V107" s="7">
        <f>(Table1[[#This Row],[Value4]]-Table1[[#This Row],[Value]])/Table1[[#This Row],[Value]]</f>
        <v>-1</v>
      </c>
      <c r="W107" s="15" t="str">
        <f>TEXT(Table1[[#This Row],[Sell Date]],"mmm-yy")</f>
        <v>Sep-17</v>
      </c>
      <c r="X107" s="2" t="s">
        <v>47</v>
      </c>
      <c r="Y107" s="2" t="str">
        <f>TEXT(Table1[[#This Row],[Sell Date]],"ddd")</f>
        <v>Thu</v>
      </c>
      <c r="Z107" s="2" t="s">
        <v>93</v>
      </c>
    </row>
    <row r="108" spans="1:26" x14ac:dyDescent="0.25">
      <c r="A108" s="6">
        <v>104</v>
      </c>
      <c r="B108" s="1">
        <v>42991</v>
      </c>
      <c r="C108" t="s">
        <v>19</v>
      </c>
      <c r="D108">
        <v>25100</v>
      </c>
      <c r="E108" t="s">
        <v>20</v>
      </c>
      <c r="F108" s="1">
        <v>42992</v>
      </c>
      <c r="G108">
        <v>40</v>
      </c>
      <c r="H108" s="2">
        <v>3</v>
      </c>
      <c r="I108" s="2">
        <f>Table1[[#This Row],[Quantity]]*Table1[[#This Row],[Price]]</f>
        <v>120</v>
      </c>
      <c r="J108" s="2">
        <v>20</v>
      </c>
      <c r="K108" s="2"/>
      <c r="L108" s="2">
        <f>Table1[[#This Row],[Value]]+Table1[[#This Row],[Brokerage]]+Table1[[#This Row],[Taxes]]</f>
        <v>140</v>
      </c>
      <c r="M108" s="6" t="str">
        <f>CONCATENATE(Table1[[#This Row],[Contract]]," ",Table1[[#This Row],[Strike Price]],IF(Table1[[#This Row],[Type]]="Put","PE","CE"))</f>
        <v>BANKNIFTY 25100CE</v>
      </c>
      <c r="N108" s="1">
        <v>42992</v>
      </c>
      <c r="O108">
        <v>40</v>
      </c>
      <c r="P108" s="2">
        <v>0</v>
      </c>
      <c r="Q108" s="2">
        <f>Table1[[#This Row],[Quantity2]]*Table1[[#This Row],[Price3]]</f>
        <v>0</v>
      </c>
      <c r="R108" s="2"/>
      <c r="S108" s="2"/>
      <c r="T108" s="2">
        <f>Table1[[#This Row],[Value4]]-Table1[[#This Row],[Brokerage5]]-Table1[[#This Row],[Taxes6]]</f>
        <v>0</v>
      </c>
      <c r="U108" s="2">
        <f>Table1[Value4]-Table1[Value]</f>
        <v>-120</v>
      </c>
      <c r="V108" s="7">
        <f>(Table1[[#This Row],[Value4]]-Table1[[#This Row],[Value]])/Table1[[#This Row],[Value]]</f>
        <v>-1</v>
      </c>
      <c r="W108" s="15" t="str">
        <f>TEXT(Table1[[#This Row],[Sell Date]],"mmm-yy")</f>
        <v>Sep-17</v>
      </c>
      <c r="X108" s="2" t="s">
        <v>47</v>
      </c>
      <c r="Y108" s="2" t="str">
        <f>TEXT(Table1[[#This Row],[Sell Date]],"ddd")</f>
        <v>Thu</v>
      </c>
      <c r="Z108" s="2" t="s">
        <v>93</v>
      </c>
    </row>
    <row r="109" spans="1:26" x14ac:dyDescent="0.25">
      <c r="A109" s="6">
        <v>105</v>
      </c>
      <c r="B109" s="1">
        <v>42999</v>
      </c>
      <c r="C109" t="s">
        <v>19</v>
      </c>
      <c r="D109">
        <v>25000</v>
      </c>
      <c r="E109" t="s">
        <v>20</v>
      </c>
      <c r="F109" s="1">
        <v>42999</v>
      </c>
      <c r="G109">
        <v>40</v>
      </c>
      <c r="H109" s="2">
        <v>2.7</v>
      </c>
      <c r="I109" s="2">
        <f>Table1[[#This Row],[Quantity]]*Table1[[#This Row],[Price]]</f>
        <v>108</v>
      </c>
      <c r="J109" s="2">
        <v>20</v>
      </c>
      <c r="K109" s="2"/>
      <c r="L109" s="2">
        <f>Table1[[#This Row],[Value]]+Table1[[#This Row],[Brokerage]]+Table1[[#This Row],[Taxes]]</f>
        <v>128</v>
      </c>
      <c r="M109" s="6" t="str">
        <f>CONCATENATE(Table1[[#This Row],[Contract]]," ",Table1[[#This Row],[Strike Price]],IF(Table1[[#This Row],[Type]]="Put","PE","CE"))</f>
        <v>BANKNIFTY 25000CE</v>
      </c>
      <c r="N109" s="1">
        <v>42999</v>
      </c>
      <c r="O109">
        <v>40</v>
      </c>
      <c r="P109" s="2">
        <v>2</v>
      </c>
      <c r="Q109" s="2">
        <f>Table1[[#This Row],[Quantity2]]*Table1[[#This Row],[Price3]]</f>
        <v>80</v>
      </c>
      <c r="R109" s="2"/>
      <c r="S109" s="2"/>
      <c r="T109" s="2">
        <f>Table1[[#This Row],[Value4]]-Table1[[#This Row],[Brokerage5]]-Table1[[#This Row],[Taxes6]]</f>
        <v>80</v>
      </c>
      <c r="U109" s="2">
        <f>Table1[Value4]-Table1[Value]</f>
        <v>-28</v>
      </c>
      <c r="V109" s="7">
        <f>(Table1[[#This Row],[Value4]]-Table1[[#This Row],[Value]])/Table1[[#This Row],[Value]]</f>
        <v>-0.25925925925925924</v>
      </c>
      <c r="W109" s="15" t="str">
        <f>TEXT(Table1[[#This Row],[Sell Date]],"mmm-yy")</f>
        <v>Sep-17</v>
      </c>
      <c r="X109" s="2" t="s">
        <v>47</v>
      </c>
      <c r="Y109" s="2" t="str">
        <f>TEXT(Table1[[#This Row],[Sell Date]],"ddd")</f>
        <v>Thu</v>
      </c>
      <c r="Z109" s="2" t="s">
        <v>93</v>
      </c>
    </row>
    <row r="110" spans="1:26" x14ac:dyDescent="0.25">
      <c r="A110" s="6">
        <v>106</v>
      </c>
      <c r="B110" s="1">
        <v>43020</v>
      </c>
      <c r="C110" t="s">
        <v>19</v>
      </c>
      <c r="D110">
        <v>24300</v>
      </c>
      <c r="E110" t="s">
        <v>20</v>
      </c>
      <c r="F110" s="1">
        <v>43020</v>
      </c>
      <c r="G110">
        <v>40</v>
      </c>
      <c r="H110" s="2">
        <v>1.4</v>
      </c>
      <c r="I110" s="2">
        <f>Table1[[#This Row],[Quantity]]*Table1[[#This Row],[Price]]</f>
        <v>56</v>
      </c>
      <c r="J110" s="2">
        <v>20</v>
      </c>
      <c r="K110" s="2"/>
      <c r="L110" s="2">
        <f>Table1[[#This Row],[Value]]+Table1[[#This Row],[Brokerage]]+Table1[[#This Row],[Taxes]]</f>
        <v>76</v>
      </c>
      <c r="M110" s="6" t="str">
        <f>CONCATENATE(Table1[[#This Row],[Contract]]," ",Table1[[#This Row],[Strike Price]],IF(Table1[[#This Row],[Type]]="Put","PE","CE"))</f>
        <v>BANKNIFTY 24300CE</v>
      </c>
      <c r="N110" s="1">
        <v>43020</v>
      </c>
      <c r="O110">
        <v>40</v>
      </c>
      <c r="P110" s="2">
        <v>61.25</v>
      </c>
      <c r="Q110" s="2">
        <f>Table1[[#This Row],[Quantity2]]*Table1[[#This Row],[Price3]]</f>
        <v>2450</v>
      </c>
      <c r="R110" s="2"/>
      <c r="S110" s="2"/>
      <c r="T110" s="2">
        <f>Table1[[#This Row],[Value4]]-Table1[[#This Row],[Brokerage5]]-Table1[[#This Row],[Taxes6]]</f>
        <v>2450</v>
      </c>
      <c r="U110" s="2">
        <f>Table1[Value4]-Table1[Value]</f>
        <v>2394</v>
      </c>
      <c r="V110" s="7">
        <f>(Table1[[#This Row],[Value4]]-Table1[[#This Row],[Value]])/Table1[[#This Row],[Value]]</f>
        <v>42.75</v>
      </c>
      <c r="W110" s="15" t="str">
        <f>TEXT(Table1[[#This Row],[Sell Date]],"mmm-yy")</f>
        <v>Oct-17</v>
      </c>
      <c r="X110" s="2" t="s">
        <v>47</v>
      </c>
      <c r="Y110" s="2" t="str">
        <f>TEXT(Table1[[#This Row],[Sell Date]],"ddd")</f>
        <v>Thu</v>
      </c>
      <c r="Z110" s="2" t="s">
        <v>93</v>
      </c>
    </row>
    <row r="111" spans="1:26" x14ac:dyDescent="0.25">
      <c r="A111" s="6">
        <v>107</v>
      </c>
      <c r="B111" s="1">
        <v>43024</v>
      </c>
      <c r="C111" t="s">
        <v>19</v>
      </c>
      <c r="D111">
        <v>25000</v>
      </c>
      <c r="E111" t="s">
        <v>20</v>
      </c>
      <c r="F111" s="1">
        <v>43026</v>
      </c>
      <c r="G111">
        <v>40</v>
      </c>
      <c r="H111" s="2">
        <v>30</v>
      </c>
      <c r="I111" s="2">
        <f>Table1[[#This Row],[Quantity]]*Table1[[#This Row],[Price]]</f>
        <v>1200</v>
      </c>
      <c r="J111" s="2">
        <v>20</v>
      </c>
      <c r="K111" s="2"/>
      <c r="L111" s="2">
        <f>Table1[[#This Row],[Value]]+Table1[[#This Row],[Brokerage]]+Table1[[#This Row],[Taxes]]</f>
        <v>1220</v>
      </c>
      <c r="M111" s="6" t="str">
        <f>CONCATENATE(Table1[[#This Row],[Contract]]," ",Table1[[#This Row],[Strike Price]],IF(Table1[[#This Row],[Type]]="Put","PE","CE"))</f>
        <v>BANKNIFTY 25000CE</v>
      </c>
      <c r="N111" s="1">
        <v>43024</v>
      </c>
      <c r="O111">
        <v>40</v>
      </c>
      <c r="P111" s="2">
        <v>38</v>
      </c>
      <c r="Q111" s="2">
        <f>Table1[[#This Row],[Quantity2]]*Table1[[#This Row],[Price3]]</f>
        <v>1520</v>
      </c>
      <c r="R111" s="2"/>
      <c r="S111" s="2"/>
      <c r="T111" s="2">
        <f>Table1[[#This Row],[Value4]]-Table1[[#This Row],[Brokerage5]]-Table1[[#This Row],[Taxes6]]</f>
        <v>1520</v>
      </c>
      <c r="U111" s="2">
        <f>Table1[Value4]-Table1[Value]</f>
        <v>320</v>
      </c>
      <c r="V111" s="7">
        <f>(Table1[[#This Row],[Value4]]-Table1[[#This Row],[Value]])/Table1[[#This Row],[Value]]</f>
        <v>0.26666666666666666</v>
      </c>
      <c r="W111" s="15" t="str">
        <f>TEXT(Table1[[#This Row],[Sell Date]],"mmm-yy")</f>
        <v>Oct-17</v>
      </c>
      <c r="X111" s="2" t="s">
        <v>47</v>
      </c>
      <c r="Y111" s="2" t="str">
        <f>TEXT(Table1[[#This Row],[Sell Date]],"ddd")</f>
        <v>Mon</v>
      </c>
      <c r="Z111" s="2" t="s">
        <v>93</v>
      </c>
    </row>
    <row r="112" spans="1:26" x14ac:dyDescent="0.25">
      <c r="A112" s="6">
        <v>108</v>
      </c>
      <c r="B112" s="1">
        <v>43025</v>
      </c>
      <c r="C112" t="s">
        <v>19</v>
      </c>
      <c r="D112">
        <v>25000</v>
      </c>
      <c r="E112" t="s">
        <v>20</v>
      </c>
      <c r="F112" s="1">
        <v>43026</v>
      </c>
      <c r="G112">
        <v>40</v>
      </c>
      <c r="H112" s="2">
        <v>26</v>
      </c>
      <c r="I112" s="2">
        <f>Table1[[#This Row],[Quantity]]*Table1[[#This Row],[Price]]</f>
        <v>1040</v>
      </c>
      <c r="J112" s="2">
        <v>20</v>
      </c>
      <c r="K112" s="2"/>
      <c r="L112" s="2">
        <f>Table1[[#This Row],[Value]]+Table1[[#This Row],[Brokerage]]+Table1[[#This Row],[Taxes]]</f>
        <v>1060</v>
      </c>
      <c r="M112" s="6" t="str">
        <f>CONCATENATE(Table1[[#This Row],[Contract]]," ",Table1[[#This Row],[Strike Price]],IF(Table1[[#This Row],[Type]]="Put","PE","CE"))</f>
        <v>BANKNIFTY 25000CE</v>
      </c>
      <c r="N112" s="1">
        <v>43024</v>
      </c>
      <c r="O112">
        <v>40</v>
      </c>
      <c r="P112" s="2">
        <v>34</v>
      </c>
      <c r="Q112" s="2">
        <f>Table1[[#This Row],[Quantity2]]*Table1[[#This Row],[Price3]]</f>
        <v>1360</v>
      </c>
      <c r="R112" s="2"/>
      <c r="S112" s="2"/>
      <c r="T112" s="2">
        <f>Table1[[#This Row],[Value4]]-Table1[[#This Row],[Brokerage5]]-Table1[[#This Row],[Taxes6]]</f>
        <v>1360</v>
      </c>
      <c r="U112" s="2">
        <f>Table1[Value4]-Table1[Value]</f>
        <v>320</v>
      </c>
      <c r="V112" s="7">
        <f>(Table1[[#This Row],[Value4]]-Table1[[#This Row],[Value]])/Table1[[#This Row],[Value]]</f>
        <v>0.30769230769230771</v>
      </c>
      <c r="W112" s="15" t="str">
        <f>TEXT(Table1[[#This Row],[Sell Date]],"mmm-yy")</f>
        <v>Oct-17</v>
      </c>
      <c r="X112" s="2" t="s">
        <v>47</v>
      </c>
      <c r="Y112" s="2" t="str">
        <f>TEXT(Table1[[#This Row],[Sell Date]],"ddd")</f>
        <v>Mon</v>
      </c>
      <c r="Z112" s="2" t="s">
        <v>93</v>
      </c>
    </row>
    <row r="113" spans="1:26" x14ac:dyDescent="0.25">
      <c r="A113" s="6">
        <v>109</v>
      </c>
      <c r="B113" s="1">
        <v>43025</v>
      </c>
      <c r="C113" t="s">
        <v>19</v>
      </c>
      <c r="D113">
        <v>25000</v>
      </c>
      <c r="E113" t="s">
        <v>20</v>
      </c>
      <c r="F113" s="1">
        <v>43026</v>
      </c>
      <c r="G113">
        <v>80</v>
      </c>
      <c r="H113" s="2">
        <v>11</v>
      </c>
      <c r="I113" s="2">
        <f>Table1[[#This Row],[Quantity]]*Table1[[#This Row],[Price]]</f>
        <v>880</v>
      </c>
      <c r="J113" s="2">
        <v>20</v>
      </c>
      <c r="K113" s="2"/>
      <c r="L113" s="2">
        <f>Table1[[#This Row],[Value]]+Table1[[#This Row],[Brokerage]]+Table1[[#This Row],[Taxes]]</f>
        <v>900</v>
      </c>
      <c r="M113" s="6" t="str">
        <f>CONCATENATE(Table1[[#This Row],[Contract]]," ",Table1[[#This Row],[Strike Price]],IF(Table1[[#This Row],[Type]]="Put","PE","CE"))</f>
        <v>BANKNIFTY 25000CE</v>
      </c>
      <c r="N113" s="1">
        <v>43026</v>
      </c>
      <c r="O113">
        <v>80</v>
      </c>
      <c r="P113" s="2">
        <v>0</v>
      </c>
      <c r="Q113" s="2">
        <f>Table1[[#This Row],[Quantity2]]*Table1[[#This Row],[Price3]]</f>
        <v>0</v>
      </c>
      <c r="R113" s="2"/>
      <c r="S113" s="2"/>
      <c r="T113" s="2">
        <f>Table1[[#This Row],[Value4]]-Table1[[#This Row],[Brokerage5]]-Table1[[#This Row],[Taxes6]]</f>
        <v>0</v>
      </c>
      <c r="U113" s="2">
        <f>Table1[Value4]-Table1[Value]</f>
        <v>-880</v>
      </c>
      <c r="V113" s="7">
        <f>(Table1[[#This Row],[Value4]]-Table1[[#This Row],[Value]])/Table1[[#This Row],[Value]]</f>
        <v>-1</v>
      </c>
      <c r="W113" s="15" t="str">
        <f>TEXT(Table1[[#This Row],[Sell Date]],"mmm-yy")</f>
        <v>Oct-17</v>
      </c>
      <c r="X113" s="2" t="s">
        <v>47</v>
      </c>
      <c r="Y113" s="2" t="str">
        <f>TEXT(Table1[[#This Row],[Sell Date]],"ddd")</f>
        <v>Wed</v>
      </c>
      <c r="Z113" s="2" t="s">
        <v>93</v>
      </c>
    </row>
    <row r="114" spans="1:26" x14ac:dyDescent="0.25">
      <c r="A114" s="6">
        <v>110</v>
      </c>
      <c r="B114" s="1">
        <v>43025</v>
      </c>
      <c r="C114" t="s">
        <v>19</v>
      </c>
      <c r="D114">
        <v>24400</v>
      </c>
      <c r="E114" t="s">
        <v>23</v>
      </c>
      <c r="F114" s="1">
        <v>43026</v>
      </c>
      <c r="G114">
        <v>40</v>
      </c>
      <c r="H114" s="2">
        <v>14.5</v>
      </c>
      <c r="I114" s="2">
        <f>Table1[[#This Row],[Quantity]]*Table1[[#This Row],[Price]]</f>
        <v>580</v>
      </c>
      <c r="J114" s="2">
        <v>20</v>
      </c>
      <c r="K114" s="2"/>
      <c r="L114" s="2">
        <f>Table1[[#This Row],[Value]]+Table1[[#This Row],[Brokerage]]+Table1[[#This Row],[Taxes]]</f>
        <v>600</v>
      </c>
      <c r="M114" s="6" t="str">
        <f>CONCATENATE(Table1[[#This Row],[Contract]]," ",Table1[[#This Row],[Strike Price]],IF(Table1[[#This Row],[Type]]="Put","PE","CE"))</f>
        <v>BANKNIFTY 24400PE</v>
      </c>
      <c r="N114" s="1">
        <v>43026</v>
      </c>
      <c r="O114">
        <v>40</v>
      </c>
      <c r="P114" s="2">
        <v>74.400000000000006</v>
      </c>
      <c r="Q114" s="2">
        <f>Table1[[#This Row],[Quantity2]]*Table1[[#This Row],[Price3]]</f>
        <v>2976</v>
      </c>
      <c r="R114" s="2"/>
      <c r="S114" s="2"/>
      <c r="T114" s="2">
        <f>Table1[[#This Row],[Value4]]-Table1[[#This Row],[Brokerage5]]-Table1[[#This Row],[Taxes6]]</f>
        <v>2976</v>
      </c>
      <c r="U114" s="2">
        <f>Table1[Value4]-Table1[Value]</f>
        <v>2396</v>
      </c>
      <c r="V114" s="7">
        <f>(Table1[[#This Row],[Value4]]-Table1[[#This Row],[Value]])/Table1[[#This Row],[Value]]</f>
        <v>4.1310344827586203</v>
      </c>
      <c r="W114" s="15" t="str">
        <f>TEXT(Table1[[#This Row],[Sell Date]],"mmm-yy")</f>
        <v>Oct-17</v>
      </c>
      <c r="X114" s="2" t="s">
        <v>47</v>
      </c>
      <c r="Y114" s="2" t="str">
        <f>TEXT(Table1[[#This Row],[Sell Date]],"ddd")</f>
        <v>Wed</v>
      </c>
      <c r="Z114" s="2" t="s">
        <v>93</v>
      </c>
    </row>
    <row r="115" spans="1:26" x14ac:dyDescent="0.25">
      <c r="A115" s="6">
        <v>111</v>
      </c>
      <c r="B115" s="1">
        <v>43033</v>
      </c>
      <c r="C115" t="s">
        <v>19</v>
      </c>
      <c r="D115">
        <v>24500</v>
      </c>
      <c r="E115" t="s">
        <v>23</v>
      </c>
      <c r="F115" s="1">
        <v>43034</v>
      </c>
      <c r="G115">
        <v>40</v>
      </c>
      <c r="H115" s="2">
        <v>45</v>
      </c>
      <c r="I115" s="2">
        <f>Table1[[#This Row],[Quantity]]*Table1[[#This Row],[Price]]</f>
        <v>1800</v>
      </c>
      <c r="J115" s="2">
        <v>20</v>
      </c>
      <c r="K115" s="2"/>
      <c r="L115" s="2">
        <f>Table1[[#This Row],[Value]]+Table1[[#This Row],[Brokerage]]+Table1[[#This Row],[Taxes]]</f>
        <v>1820</v>
      </c>
      <c r="M115" s="6" t="str">
        <f>CONCATENATE(Table1[[#This Row],[Contract]]," ",Table1[[#This Row],[Strike Price]],IF(Table1[[#This Row],[Type]]="Put","PE","CE"))</f>
        <v>BANKNIFTY 24500PE</v>
      </c>
      <c r="N115" s="1">
        <v>43033</v>
      </c>
      <c r="O115">
        <v>40</v>
      </c>
      <c r="P115" s="2">
        <v>50</v>
      </c>
      <c r="Q115" s="2">
        <f>Table1[[#This Row],[Quantity2]]*Table1[[#This Row],[Price3]]</f>
        <v>2000</v>
      </c>
      <c r="R115" s="2"/>
      <c r="S115" s="2"/>
      <c r="T115" s="2">
        <f>Table1[[#This Row],[Value4]]-Table1[[#This Row],[Brokerage5]]-Table1[[#This Row],[Taxes6]]</f>
        <v>2000</v>
      </c>
      <c r="U115" s="2">
        <f>Table1[Value4]-Table1[Value]</f>
        <v>200</v>
      </c>
      <c r="V115" s="7">
        <f>(Table1[[#This Row],[Value4]]-Table1[[#This Row],[Value]])/Table1[[#This Row],[Value]]</f>
        <v>0.1111111111111111</v>
      </c>
      <c r="W115" s="15" t="str">
        <f>TEXT(Table1[[#This Row],[Sell Date]],"mmm-yy")</f>
        <v>Oct-17</v>
      </c>
      <c r="X115" s="2" t="s">
        <v>47</v>
      </c>
      <c r="Y115" s="2" t="str">
        <f>TEXT(Table1[[#This Row],[Sell Date]],"ddd")</f>
        <v>Wed</v>
      </c>
      <c r="Z115" s="2" t="s">
        <v>93</v>
      </c>
    </row>
    <row r="116" spans="1:26" x14ac:dyDescent="0.25">
      <c r="A116" s="6">
        <v>112</v>
      </c>
      <c r="B116" s="1">
        <v>43033</v>
      </c>
      <c r="C116" t="s">
        <v>19</v>
      </c>
      <c r="D116">
        <v>25000</v>
      </c>
      <c r="E116" t="s">
        <v>20</v>
      </c>
      <c r="F116" s="1">
        <v>43034</v>
      </c>
      <c r="G116">
        <v>40</v>
      </c>
      <c r="H116" s="2">
        <v>21</v>
      </c>
      <c r="I116" s="2">
        <f>Table1[[#This Row],[Quantity]]*Table1[[#This Row],[Price]]</f>
        <v>840</v>
      </c>
      <c r="J116" s="2">
        <v>20</v>
      </c>
      <c r="K116" s="2"/>
      <c r="L116" s="2">
        <f>Table1[[#This Row],[Value]]+Table1[[#This Row],[Brokerage]]+Table1[[#This Row],[Taxes]]</f>
        <v>860</v>
      </c>
      <c r="M116" s="6" t="str">
        <f>CONCATENATE(Table1[[#This Row],[Contract]]," ",Table1[[#This Row],[Strike Price]],IF(Table1[[#This Row],[Type]]="Put","PE","CE"))</f>
        <v>BANKNIFTY 25000CE</v>
      </c>
      <c r="N116" s="1">
        <v>43033</v>
      </c>
      <c r="O116">
        <v>40</v>
      </c>
      <c r="P116" s="2">
        <v>18</v>
      </c>
      <c r="Q116" s="2">
        <f>Table1[[#This Row],[Quantity2]]*Table1[[#This Row],[Price3]]</f>
        <v>720</v>
      </c>
      <c r="R116" s="2"/>
      <c r="S116" s="2"/>
      <c r="T116" s="2">
        <f>Table1[[#This Row],[Value4]]-Table1[[#This Row],[Brokerage5]]-Table1[[#This Row],[Taxes6]]</f>
        <v>720</v>
      </c>
      <c r="U116" s="2">
        <f>Table1[Value4]-Table1[Value]</f>
        <v>-120</v>
      </c>
      <c r="V116" s="7">
        <f>(Table1[[#This Row],[Value4]]-Table1[[#This Row],[Value]])/Table1[[#This Row],[Value]]</f>
        <v>-0.14285714285714285</v>
      </c>
      <c r="W116" s="15" t="str">
        <f>TEXT(Table1[[#This Row],[Sell Date]],"mmm-yy")</f>
        <v>Oct-17</v>
      </c>
      <c r="X116" s="2" t="s">
        <v>47</v>
      </c>
      <c r="Y116" s="2" t="str">
        <f>TEXT(Table1[[#This Row],[Sell Date]],"ddd")</f>
        <v>Wed</v>
      </c>
      <c r="Z116" s="2" t="s">
        <v>93</v>
      </c>
    </row>
    <row r="117" spans="1:26" x14ac:dyDescent="0.25">
      <c r="A117" s="6">
        <v>113</v>
      </c>
      <c r="B117" s="1">
        <v>43033</v>
      </c>
      <c r="C117" t="s">
        <v>19</v>
      </c>
      <c r="D117">
        <v>25000</v>
      </c>
      <c r="E117" t="s">
        <v>20</v>
      </c>
      <c r="F117" s="1">
        <v>43034</v>
      </c>
      <c r="G117">
        <v>80</v>
      </c>
      <c r="H117" s="2">
        <v>18</v>
      </c>
      <c r="I117" s="2">
        <f>Table1[[#This Row],[Quantity]]*Table1[[#This Row],[Price]]</f>
        <v>1440</v>
      </c>
      <c r="J117" s="2">
        <v>20</v>
      </c>
      <c r="K117" s="2"/>
      <c r="L117" s="2">
        <f>Table1[[#This Row],[Value]]+Table1[[#This Row],[Brokerage]]+Table1[[#This Row],[Taxes]]</f>
        <v>1460</v>
      </c>
      <c r="M117" s="6" t="str">
        <f>CONCATENATE(Table1[[#This Row],[Contract]]," ",Table1[[#This Row],[Strike Price]],IF(Table1[[#This Row],[Type]]="Put","PE","CE"))</f>
        <v>BANKNIFTY 25000CE</v>
      </c>
      <c r="N117" s="1">
        <v>43033</v>
      </c>
      <c r="O117">
        <v>80</v>
      </c>
      <c r="P117" s="2">
        <v>20</v>
      </c>
      <c r="Q117" s="2">
        <f>Table1[[#This Row],[Quantity2]]*Table1[[#This Row],[Price3]]</f>
        <v>1600</v>
      </c>
      <c r="R117" s="2"/>
      <c r="S117" s="2"/>
      <c r="T117" s="2">
        <f>Table1[[#This Row],[Value4]]-Table1[[#This Row],[Brokerage5]]-Table1[[#This Row],[Taxes6]]</f>
        <v>1600</v>
      </c>
      <c r="U117" s="2">
        <f>Table1[Value4]-Table1[Value]</f>
        <v>160</v>
      </c>
      <c r="V117" s="7">
        <f>(Table1[[#This Row],[Value4]]-Table1[[#This Row],[Value]])/Table1[[#This Row],[Value]]</f>
        <v>0.1111111111111111</v>
      </c>
      <c r="W117" s="15" t="str">
        <f>TEXT(Table1[[#This Row],[Sell Date]],"mmm-yy")</f>
        <v>Oct-17</v>
      </c>
      <c r="X117" s="2" t="s">
        <v>47</v>
      </c>
      <c r="Y117" s="2" t="str">
        <f>TEXT(Table1[[#This Row],[Sell Date]],"ddd")</f>
        <v>Wed</v>
      </c>
      <c r="Z117" s="2" t="s">
        <v>93</v>
      </c>
    </row>
    <row r="118" spans="1:26" x14ac:dyDescent="0.25">
      <c r="A118" s="6">
        <v>114</v>
      </c>
      <c r="B118" s="1">
        <v>43033</v>
      </c>
      <c r="C118" t="s">
        <v>189</v>
      </c>
      <c r="D118">
        <v>120</v>
      </c>
      <c r="E118" t="s">
        <v>23</v>
      </c>
      <c r="F118" s="1">
        <v>43034</v>
      </c>
      <c r="G118">
        <v>11000</v>
      </c>
      <c r="H118" s="2">
        <v>0.3</v>
      </c>
      <c r="I118" s="2">
        <f>Table1[[#This Row],[Quantity]]*Table1[[#This Row],[Price]]</f>
        <v>3300</v>
      </c>
      <c r="J118" s="2">
        <v>20</v>
      </c>
      <c r="K118" s="2"/>
      <c r="L118" s="2">
        <f>Table1[[#This Row],[Value]]+Table1[[#This Row],[Brokerage]]+Table1[[#This Row],[Taxes]]</f>
        <v>3320</v>
      </c>
      <c r="M118" s="6" t="str">
        <f>CONCATENATE(Table1[[#This Row],[Contract]]," ",Table1[[#This Row],[Strike Price]],IF(Table1[[#This Row],[Type]]="Put","PE","CE"))</f>
        <v>FEDERALBNK 120PE</v>
      </c>
      <c r="N118" s="1">
        <v>43033</v>
      </c>
      <c r="O118">
        <v>11000</v>
      </c>
      <c r="P118" s="2">
        <v>0.45</v>
      </c>
      <c r="Q118" s="2">
        <f>Table1[[#This Row],[Quantity2]]*Table1[[#This Row],[Price3]]</f>
        <v>4950</v>
      </c>
      <c r="R118" s="2"/>
      <c r="S118" s="2"/>
      <c r="T118" s="2">
        <f>Table1[[#This Row],[Value4]]-Table1[[#This Row],[Brokerage5]]-Table1[[#This Row],[Taxes6]]</f>
        <v>4950</v>
      </c>
      <c r="U118" s="2">
        <f>Table1[Value4]-Table1[Value]</f>
        <v>1650</v>
      </c>
      <c r="V118" s="7">
        <f>(Table1[[#This Row],[Value4]]-Table1[[#This Row],[Value]])/Table1[[#This Row],[Value]]</f>
        <v>0.5</v>
      </c>
      <c r="W118" s="15" t="str">
        <f>TEXT(Table1[[#This Row],[Sell Date]],"mmm-yy")</f>
        <v>Oct-17</v>
      </c>
      <c r="X118" s="2" t="s">
        <v>47</v>
      </c>
      <c r="Y118" s="2" t="str">
        <f>TEXT(Table1[[#This Row],[Sell Date]],"ddd")</f>
        <v>Wed</v>
      </c>
      <c r="Z118" s="2" t="s">
        <v>92</v>
      </c>
    </row>
    <row r="119" spans="1:26" x14ac:dyDescent="0.25">
      <c r="A119" s="6">
        <v>115</v>
      </c>
      <c r="B119" s="1">
        <v>43033</v>
      </c>
      <c r="C119" t="s">
        <v>190</v>
      </c>
      <c r="D119">
        <v>90</v>
      </c>
      <c r="E119" t="s">
        <v>23</v>
      </c>
      <c r="F119" s="1">
        <v>43034</v>
      </c>
      <c r="G119">
        <v>7000</v>
      </c>
      <c r="H119" s="2">
        <v>0.2</v>
      </c>
      <c r="I119" s="2">
        <f>Table1[[#This Row],[Quantity]]*Table1[[#This Row],[Price]]</f>
        <v>1400</v>
      </c>
      <c r="J119" s="2">
        <v>20</v>
      </c>
      <c r="K119" s="2"/>
      <c r="L119" s="2">
        <f>Table1[[#This Row],[Value]]+Table1[[#This Row],[Brokerage]]+Table1[[#This Row],[Taxes]]</f>
        <v>1420</v>
      </c>
      <c r="M119" s="6" t="str">
        <f>CONCATENATE(Table1[[#This Row],[Contract]]," ",Table1[[#This Row],[Strike Price]],IF(Table1[[#This Row],[Type]]="Put","PE","CE"))</f>
        <v>IDEA 90PE</v>
      </c>
      <c r="N119" s="1">
        <v>43034</v>
      </c>
      <c r="O119">
        <v>7000</v>
      </c>
      <c r="P119" s="2">
        <v>0</v>
      </c>
      <c r="Q119" s="2">
        <f>Table1[[#This Row],[Quantity2]]*Table1[[#This Row],[Price3]]</f>
        <v>0</v>
      </c>
      <c r="R119" s="2"/>
      <c r="S119" s="2"/>
      <c r="T119" s="2">
        <f>Table1[[#This Row],[Value4]]-Table1[[#This Row],[Brokerage5]]-Table1[[#This Row],[Taxes6]]</f>
        <v>0</v>
      </c>
      <c r="U119" s="2">
        <f>Table1[Value4]-Table1[Value]</f>
        <v>-1400</v>
      </c>
      <c r="V119" s="7">
        <f>(Table1[[#This Row],[Value4]]-Table1[[#This Row],[Value]])/Table1[[#This Row],[Value]]</f>
        <v>-1</v>
      </c>
      <c r="W119" s="15" t="str">
        <f>TEXT(Table1[[#This Row],[Sell Date]],"mmm-yy")</f>
        <v>Oct-17</v>
      </c>
      <c r="X119" s="2" t="s">
        <v>47</v>
      </c>
      <c r="Y119" s="2" t="str">
        <f>TEXT(Table1[[#This Row],[Sell Date]],"ddd")</f>
        <v>Thu</v>
      </c>
      <c r="Z119" s="2" t="s">
        <v>92</v>
      </c>
    </row>
    <row r="120" spans="1:26" x14ac:dyDescent="0.25">
      <c r="A120" s="6">
        <v>116</v>
      </c>
      <c r="B120" s="1">
        <v>43033</v>
      </c>
      <c r="C120" t="s">
        <v>19</v>
      </c>
      <c r="D120">
        <v>24500</v>
      </c>
      <c r="E120" t="s">
        <v>23</v>
      </c>
      <c r="F120" s="1">
        <v>43034</v>
      </c>
      <c r="G120">
        <v>80</v>
      </c>
      <c r="H120" s="2">
        <v>28</v>
      </c>
      <c r="I120" s="2">
        <f>Table1[[#This Row],[Quantity]]*Table1[[#This Row],[Price]]</f>
        <v>2240</v>
      </c>
      <c r="J120" s="2">
        <v>20</v>
      </c>
      <c r="K120" s="2"/>
      <c r="L120" s="2">
        <f>Table1[[#This Row],[Value]]+Table1[[#This Row],[Brokerage]]+Table1[[#This Row],[Taxes]]</f>
        <v>2260</v>
      </c>
      <c r="M120" s="6" t="str">
        <f>CONCATENATE(Table1[[#This Row],[Contract]]," ",Table1[[#This Row],[Strike Price]],IF(Table1[[#This Row],[Type]]="Put","PE","CE"))</f>
        <v>BANKNIFTY 24500PE</v>
      </c>
      <c r="N120" s="1">
        <v>43033</v>
      </c>
      <c r="O120">
        <v>80</v>
      </c>
      <c r="P120" s="2">
        <v>19.024999999999999</v>
      </c>
      <c r="Q120" s="2">
        <f>Table1[[#This Row],[Quantity2]]*Table1[[#This Row],[Price3]]</f>
        <v>1522</v>
      </c>
      <c r="R120" s="2"/>
      <c r="S120" s="2"/>
      <c r="T120" s="2">
        <f>Table1[[#This Row],[Value4]]-Table1[[#This Row],[Brokerage5]]-Table1[[#This Row],[Taxes6]]</f>
        <v>1522</v>
      </c>
      <c r="U120" s="2">
        <f>Table1[Value4]-Table1[Value]</f>
        <v>-718</v>
      </c>
      <c r="V120" s="7">
        <f>(Table1[[#This Row],[Value4]]-Table1[[#This Row],[Value]])/Table1[[#This Row],[Value]]</f>
        <v>-0.32053571428571431</v>
      </c>
      <c r="W120" s="15" t="str">
        <f>TEXT(Table1[[#This Row],[Sell Date]],"mmm-yy")</f>
        <v>Oct-17</v>
      </c>
      <c r="X120" s="2" t="s">
        <v>47</v>
      </c>
      <c r="Y120" s="2" t="str">
        <f>TEXT(Table1[[#This Row],[Sell Date]],"ddd")</f>
        <v>Wed</v>
      </c>
      <c r="Z120" s="2" t="s">
        <v>93</v>
      </c>
    </row>
    <row r="121" spans="1:26" x14ac:dyDescent="0.25">
      <c r="A121" s="6">
        <v>117</v>
      </c>
      <c r="B121" s="1">
        <v>43034</v>
      </c>
      <c r="C121" t="s">
        <v>189</v>
      </c>
      <c r="D121">
        <v>115</v>
      </c>
      <c r="E121" t="s">
        <v>23</v>
      </c>
      <c r="F121" s="1">
        <v>43034</v>
      </c>
      <c r="G121">
        <v>11000</v>
      </c>
      <c r="H121" s="2">
        <v>0.2</v>
      </c>
      <c r="I121" s="2">
        <f>Table1[[#This Row],[Quantity]]*Table1[[#This Row],[Price]]</f>
        <v>2200</v>
      </c>
      <c r="J121" s="2">
        <v>20</v>
      </c>
      <c r="K121" s="2"/>
      <c r="L121" s="2">
        <f>Table1[[#This Row],[Value]]+Table1[[#This Row],[Brokerage]]+Table1[[#This Row],[Taxes]]</f>
        <v>2220</v>
      </c>
      <c r="M121" s="6" t="str">
        <f>CONCATENATE(Table1[[#This Row],[Contract]]," ",Table1[[#This Row],[Strike Price]],IF(Table1[[#This Row],[Type]]="Put","PE","CE"))</f>
        <v>FEDERALBNK 115PE</v>
      </c>
      <c r="N121" s="1">
        <v>43034</v>
      </c>
      <c r="O121">
        <v>11000</v>
      </c>
      <c r="P121" s="2">
        <v>0</v>
      </c>
      <c r="Q121" s="2">
        <f>Table1[[#This Row],[Quantity2]]*Table1[[#This Row],[Price3]]</f>
        <v>0</v>
      </c>
      <c r="R121" s="2"/>
      <c r="S121" s="2"/>
      <c r="T121" s="2">
        <f>Table1[[#This Row],[Value4]]-Table1[[#This Row],[Brokerage5]]-Table1[[#This Row],[Taxes6]]</f>
        <v>0</v>
      </c>
      <c r="U121" s="2">
        <f>Table1[Value4]-Table1[Value]</f>
        <v>-2200</v>
      </c>
      <c r="V121" s="7">
        <f>(Table1[[#This Row],[Value4]]-Table1[[#This Row],[Value]])/Table1[[#This Row],[Value]]</f>
        <v>-1</v>
      </c>
      <c r="W121" s="15" t="str">
        <f>TEXT(Table1[[#This Row],[Sell Date]],"mmm-yy")</f>
        <v>Oct-17</v>
      </c>
      <c r="X121" s="2" t="s">
        <v>47</v>
      </c>
      <c r="Y121" s="2" t="str">
        <f>TEXT(Table1[[#This Row],[Sell Date]],"ddd")</f>
        <v>Thu</v>
      </c>
      <c r="Z121" s="2" t="s">
        <v>92</v>
      </c>
    </row>
    <row r="122" spans="1:26" x14ac:dyDescent="0.25">
      <c r="A122" s="6">
        <v>118</v>
      </c>
      <c r="B122" s="1">
        <v>43034</v>
      </c>
      <c r="C122" t="s">
        <v>19</v>
      </c>
      <c r="D122">
        <v>24500</v>
      </c>
      <c r="E122" t="s">
        <v>23</v>
      </c>
      <c r="F122" s="1">
        <v>43034</v>
      </c>
      <c r="G122">
        <v>40</v>
      </c>
      <c r="H122" s="2">
        <v>4.4000000000000004</v>
      </c>
      <c r="I122" s="2">
        <f>Table1[[#This Row],[Quantity]]*Table1[[#This Row],[Price]]</f>
        <v>176</v>
      </c>
      <c r="J122" s="2">
        <v>20</v>
      </c>
      <c r="K122" s="2"/>
      <c r="L122" s="2">
        <f>Table1[[#This Row],[Value]]+Table1[[#This Row],[Brokerage]]+Table1[[#This Row],[Taxes]]</f>
        <v>196</v>
      </c>
      <c r="M122" s="6" t="str">
        <f>CONCATENATE(Table1[[#This Row],[Contract]]," ",Table1[[#This Row],[Strike Price]],IF(Table1[[#This Row],[Type]]="Put","PE","CE"))</f>
        <v>BANKNIFTY 24500PE</v>
      </c>
      <c r="N122" s="1">
        <v>43034</v>
      </c>
      <c r="O122">
        <v>40</v>
      </c>
      <c r="P122" s="2">
        <v>0</v>
      </c>
      <c r="Q122" s="2">
        <f>Table1[[#This Row],[Quantity2]]*Table1[[#This Row],[Price3]]</f>
        <v>0</v>
      </c>
      <c r="R122" s="2"/>
      <c r="S122" s="2"/>
      <c r="T122" s="2">
        <f>Table1[[#This Row],[Value4]]-Table1[[#This Row],[Brokerage5]]-Table1[[#This Row],[Taxes6]]</f>
        <v>0</v>
      </c>
      <c r="U122" s="2">
        <f>Table1[Value4]-Table1[Value]</f>
        <v>-176</v>
      </c>
      <c r="V122" s="7">
        <f>(Table1[[#This Row],[Value4]]-Table1[[#This Row],[Value]])/Table1[[#This Row],[Value]]</f>
        <v>-1</v>
      </c>
      <c r="W122" s="15" t="str">
        <f>TEXT(Table1[[#This Row],[Sell Date]],"mmm-yy")</f>
        <v>Oct-17</v>
      </c>
      <c r="X122" s="2" t="s">
        <v>47</v>
      </c>
      <c r="Y122" s="2" t="str">
        <f>TEXT(Table1[[#This Row],[Sell Date]],"ddd")</f>
        <v>Thu</v>
      </c>
      <c r="Z122" s="2" t="s">
        <v>93</v>
      </c>
    </row>
    <row r="123" spans="1:26" x14ac:dyDescent="0.25">
      <c r="A123" s="6">
        <v>119</v>
      </c>
      <c r="B123" s="1">
        <v>43035</v>
      </c>
      <c r="C123" t="s">
        <v>19</v>
      </c>
      <c r="D123">
        <v>23500</v>
      </c>
      <c r="E123" t="s">
        <v>23</v>
      </c>
      <c r="F123" s="1">
        <v>43041</v>
      </c>
      <c r="G123">
        <v>40</v>
      </c>
      <c r="H123" s="2">
        <v>4.9000000000000004</v>
      </c>
      <c r="I123" s="2">
        <f>Table1[[#This Row],[Quantity]]*Table1[[#This Row],[Price]]</f>
        <v>196</v>
      </c>
      <c r="J123" s="2">
        <v>20</v>
      </c>
      <c r="K123" s="2"/>
      <c r="L123" s="2">
        <f>Table1[[#This Row],[Value]]+Table1[[#This Row],[Brokerage]]+Table1[[#This Row],[Taxes]]</f>
        <v>216</v>
      </c>
      <c r="M123" s="6" t="str">
        <f>CONCATENATE(Table1[[#This Row],[Contract]]," ",Table1[[#This Row],[Strike Price]],IF(Table1[[#This Row],[Type]]="Put","PE","CE"))</f>
        <v>BANKNIFTY 23500PE</v>
      </c>
      <c r="N123" s="1">
        <v>43041</v>
      </c>
      <c r="O123">
        <v>40</v>
      </c>
      <c r="P123" s="2">
        <v>0</v>
      </c>
      <c r="Q123" s="2">
        <f>Table1[[#This Row],[Quantity2]]*Table1[[#This Row],[Price3]]</f>
        <v>0</v>
      </c>
      <c r="R123" s="2"/>
      <c r="S123" s="2"/>
      <c r="T123" s="2">
        <f>Table1[[#This Row],[Value4]]-Table1[[#This Row],[Brokerage5]]-Table1[[#This Row],[Taxes6]]</f>
        <v>0</v>
      </c>
      <c r="U123" s="2">
        <f>Table1[Value4]-Table1[Value]</f>
        <v>-196</v>
      </c>
      <c r="V123" s="7">
        <f>(Table1[[#This Row],[Value4]]-Table1[[#This Row],[Value]])/Table1[[#This Row],[Value]]</f>
        <v>-1</v>
      </c>
      <c r="W123" s="15" t="str">
        <f>TEXT(Table1[[#This Row],[Sell Date]],"mmm-yy")</f>
        <v>Nov-17</v>
      </c>
      <c r="X123" s="2" t="s">
        <v>47</v>
      </c>
      <c r="Y123" s="2" t="str">
        <f>TEXT(Table1[[#This Row],[Sell Date]],"ddd")</f>
        <v>Thu</v>
      </c>
      <c r="Z123" s="2" t="s">
        <v>93</v>
      </c>
    </row>
    <row r="124" spans="1:26" x14ac:dyDescent="0.25">
      <c r="A124" s="6">
        <v>120</v>
      </c>
      <c r="B124" s="1">
        <v>43047</v>
      </c>
      <c r="C124" t="s">
        <v>19</v>
      </c>
      <c r="D124">
        <v>25500</v>
      </c>
      <c r="E124" t="s">
        <v>20</v>
      </c>
      <c r="F124" s="1">
        <v>43048</v>
      </c>
      <c r="G124">
        <v>40</v>
      </c>
      <c r="H124" s="2">
        <v>16</v>
      </c>
      <c r="I124" s="2">
        <f>Table1[[#This Row],[Quantity]]*Table1[[#This Row],[Price]]</f>
        <v>640</v>
      </c>
      <c r="J124" s="2">
        <v>20</v>
      </c>
      <c r="K124" s="2"/>
      <c r="L124" s="2">
        <f>Table1[[#This Row],[Value]]+Table1[[#This Row],[Brokerage]]+Table1[[#This Row],[Taxes]]</f>
        <v>660</v>
      </c>
      <c r="M124" s="6" t="str">
        <f>CONCATENATE(Table1[[#This Row],[Contract]]," ",Table1[[#This Row],[Strike Price]],IF(Table1[[#This Row],[Type]]="Put","PE","CE"))</f>
        <v>BANKNIFTY 25500CE</v>
      </c>
      <c r="N124" s="1">
        <v>43048</v>
      </c>
      <c r="O124">
        <v>40</v>
      </c>
      <c r="P124" s="2">
        <v>0</v>
      </c>
      <c r="Q124" s="2">
        <f>Table1[[#This Row],[Quantity2]]*Table1[[#This Row],[Price3]]</f>
        <v>0</v>
      </c>
      <c r="R124" s="2"/>
      <c r="S124" s="2"/>
      <c r="T124" s="2">
        <f>Table1[[#This Row],[Value4]]-Table1[[#This Row],[Brokerage5]]-Table1[[#This Row],[Taxes6]]</f>
        <v>0</v>
      </c>
      <c r="U124" s="2">
        <f>Table1[Value4]-Table1[Value]</f>
        <v>-640</v>
      </c>
      <c r="V124" s="7">
        <f>(Table1[[#This Row],[Value4]]-Table1[[#This Row],[Value]])/Table1[[#This Row],[Value]]</f>
        <v>-1</v>
      </c>
      <c r="W124" s="15" t="str">
        <f>TEXT(Table1[[#This Row],[Sell Date]],"mmm-yy")</f>
        <v>Nov-17</v>
      </c>
      <c r="X124" s="2" t="s">
        <v>47</v>
      </c>
      <c r="Y124" s="2" t="str">
        <f>TEXT(Table1[[#This Row],[Sell Date]],"ddd")</f>
        <v>Thu</v>
      </c>
      <c r="Z124" s="2" t="s">
        <v>93</v>
      </c>
    </row>
    <row r="125" spans="1:26" x14ac:dyDescent="0.25">
      <c r="A125" s="6">
        <v>121</v>
      </c>
      <c r="B125" s="1">
        <v>43048</v>
      </c>
      <c r="C125" t="s">
        <v>19</v>
      </c>
      <c r="D125">
        <v>25000</v>
      </c>
      <c r="E125" t="s">
        <v>23</v>
      </c>
      <c r="F125" s="1">
        <v>43048</v>
      </c>
      <c r="G125">
        <v>80</v>
      </c>
      <c r="H125" s="2">
        <v>4</v>
      </c>
      <c r="I125" s="2">
        <f>Table1[[#This Row],[Quantity]]*Table1[[#This Row],[Price]]</f>
        <v>320</v>
      </c>
      <c r="J125" s="2">
        <v>20</v>
      </c>
      <c r="K125" s="2"/>
      <c r="L125" s="2">
        <f>Table1[[#This Row],[Value]]+Table1[[#This Row],[Brokerage]]+Table1[[#This Row],[Taxes]]</f>
        <v>340</v>
      </c>
      <c r="M125" s="6" t="str">
        <f>CONCATENATE(Table1[[#This Row],[Contract]]," ",Table1[[#This Row],[Strike Price]],IF(Table1[[#This Row],[Type]]="Put","PE","CE"))</f>
        <v>BANKNIFTY 25000PE</v>
      </c>
      <c r="N125" s="1">
        <v>43048</v>
      </c>
      <c r="O125">
        <v>80</v>
      </c>
      <c r="P125" s="2">
        <v>0</v>
      </c>
      <c r="Q125" s="2">
        <f>Table1[[#This Row],[Quantity2]]*Table1[[#This Row],[Price3]]</f>
        <v>0</v>
      </c>
      <c r="R125" s="2"/>
      <c r="S125" s="2"/>
      <c r="T125" s="2">
        <f>Table1[[#This Row],[Value4]]-Table1[[#This Row],[Brokerage5]]-Table1[[#This Row],[Taxes6]]</f>
        <v>0</v>
      </c>
      <c r="U125" s="2">
        <f>Table1[Value4]-Table1[Value]</f>
        <v>-320</v>
      </c>
      <c r="V125" s="7">
        <f>(Table1[[#This Row],[Value4]]-Table1[[#This Row],[Value]])/Table1[[#This Row],[Value]]</f>
        <v>-1</v>
      </c>
      <c r="W125" s="15" t="str">
        <f>TEXT(Table1[[#This Row],[Sell Date]],"mmm-yy")</f>
        <v>Nov-17</v>
      </c>
      <c r="X125" s="2" t="s">
        <v>47</v>
      </c>
      <c r="Y125" s="2" t="str">
        <f>TEXT(Table1[[#This Row],[Sell Date]],"ddd")</f>
        <v>Thu</v>
      </c>
      <c r="Z125" s="2" t="s">
        <v>93</v>
      </c>
    </row>
    <row r="126" spans="1:26" x14ac:dyDescent="0.25">
      <c r="A126" s="6">
        <v>122</v>
      </c>
      <c r="B126" s="1">
        <v>43060</v>
      </c>
      <c r="C126" t="s">
        <v>19</v>
      </c>
      <c r="D126">
        <v>25500</v>
      </c>
      <c r="E126" t="s">
        <v>23</v>
      </c>
      <c r="F126" s="1">
        <v>43062</v>
      </c>
      <c r="G126">
        <v>40</v>
      </c>
      <c r="H126" s="2">
        <v>15</v>
      </c>
      <c r="I126" s="2">
        <f>Table1[[#This Row],[Quantity]]*Table1[[#This Row],[Price]]</f>
        <v>600</v>
      </c>
      <c r="J126" s="2">
        <v>20</v>
      </c>
      <c r="K126" s="2"/>
      <c r="L126" s="2">
        <f>Table1[[#This Row],[Value]]+Table1[[#This Row],[Brokerage]]+Table1[[#This Row],[Taxes]]</f>
        <v>620</v>
      </c>
      <c r="M126" s="6" t="str">
        <f>CONCATENATE(Table1[[#This Row],[Contract]]," ",Table1[[#This Row],[Strike Price]],IF(Table1[[#This Row],[Type]]="Put","PE","CE"))</f>
        <v>BANKNIFTY 25500PE</v>
      </c>
      <c r="N126" s="1">
        <v>43060</v>
      </c>
      <c r="O126">
        <v>40</v>
      </c>
      <c r="P126" s="2">
        <v>20</v>
      </c>
      <c r="Q126" s="2">
        <f>Table1[[#This Row],[Quantity2]]*Table1[[#This Row],[Price3]]</f>
        <v>800</v>
      </c>
      <c r="R126" s="2"/>
      <c r="S126" s="2"/>
      <c r="T126" s="2">
        <f>Table1[[#This Row],[Value4]]-Table1[[#This Row],[Brokerage5]]-Table1[[#This Row],[Taxes6]]</f>
        <v>800</v>
      </c>
      <c r="U126" s="2">
        <f>Table1[Value4]-Table1[Value]</f>
        <v>200</v>
      </c>
      <c r="V126" s="7">
        <f>(Table1[[#This Row],[Value4]]-Table1[[#This Row],[Value]])/Table1[[#This Row],[Value]]</f>
        <v>0.33333333333333331</v>
      </c>
      <c r="W126" s="15" t="str">
        <f>TEXT(Table1[[#This Row],[Sell Date]],"mmm-yy")</f>
        <v>Nov-17</v>
      </c>
      <c r="X126" s="2" t="s">
        <v>47</v>
      </c>
      <c r="Y126" s="2" t="str">
        <f>TEXT(Table1[[#This Row],[Sell Date]],"ddd")</f>
        <v>Tue</v>
      </c>
      <c r="Z126" s="2" t="s">
        <v>93</v>
      </c>
    </row>
    <row r="127" spans="1:26" x14ac:dyDescent="0.25">
      <c r="A127" s="6">
        <v>123</v>
      </c>
      <c r="B127" s="1">
        <v>43060</v>
      </c>
      <c r="C127" t="s">
        <v>191</v>
      </c>
      <c r="D127">
        <v>600</v>
      </c>
      <c r="E127" t="s">
        <v>20</v>
      </c>
      <c r="F127" s="1">
        <v>43069</v>
      </c>
      <c r="G127">
        <v>1000</v>
      </c>
      <c r="H127" s="2">
        <v>7</v>
      </c>
      <c r="I127" s="2">
        <f>Table1[[#This Row],[Quantity]]*Table1[[#This Row],[Price]]</f>
        <v>7000</v>
      </c>
      <c r="J127" s="2">
        <v>20</v>
      </c>
      <c r="K127" s="2"/>
      <c r="L127" s="2">
        <f>Table1[[#This Row],[Value]]+Table1[[#This Row],[Brokerage]]+Table1[[#This Row],[Taxes]]</f>
        <v>7020</v>
      </c>
      <c r="M127" s="6" t="str">
        <f>CONCATENATE(Table1[[#This Row],[Contract]]," ",Table1[[#This Row],[Strike Price]],IF(Table1[[#This Row],[Type]]="Put","PE","CE"))</f>
        <v>MFSL 600CE</v>
      </c>
      <c r="N127" s="1">
        <v>43061</v>
      </c>
      <c r="O127">
        <v>1000</v>
      </c>
      <c r="P127" s="2">
        <v>7</v>
      </c>
      <c r="Q127" s="2">
        <f>Table1[[#This Row],[Quantity2]]*Table1[[#This Row],[Price3]]</f>
        <v>7000</v>
      </c>
      <c r="R127" s="2"/>
      <c r="S127" s="2"/>
      <c r="T127" s="2">
        <f>Table1[[#This Row],[Value4]]-Table1[[#This Row],[Brokerage5]]-Table1[[#This Row],[Taxes6]]</f>
        <v>7000</v>
      </c>
      <c r="U127" s="2">
        <f>Table1[Value4]-Table1[Value]</f>
        <v>0</v>
      </c>
      <c r="V127" s="7">
        <f>(Table1[[#This Row],[Value4]]-Table1[[#This Row],[Value]])/Table1[[#This Row],[Value]]</f>
        <v>0</v>
      </c>
      <c r="W127" s="15" t="str">
        <f>TEXT(Table1[[#This Row],[Sell Date]],"mmm-yy")</f>
        <v>Nov-17</v>
      </c>
      <c r="X127" s="2" t="s">
        <v>47</v>
      </c>
      <c r="Y127" s="2" t="str">
        <f>TEXT(Table1[[#This Row],[Sell Date]],"ddd")</f>
        <v>Wed</v>
      </c>
      <c r="Z127" s="2" t="s">
        <v>92</v>
      </c>
    </row>
    <row r="128" spans="1:26" x14ac:dyDescent="0.25">
      <c r="A128" s="6">
        <v>124</v>
      </c>
      <c r="B128" s="1">
        <v>43062</v>
      </c>
      <c r="C128" t="s">
        <v>19</v>
      </c>
      <c r="D128">
        <v>25900</v>
      </c>
      <c r="E128" t="s">
        <v>20</v>
      </c>
      <c r="F128" s="1">
        <v>43062</v>
      </c>
      <c r="G128">
        <v>40</v>
      </c>
      <c r="H128" s="2">
        <v>10</v>
      </c>
      <c r="I128" s="2">
        <f>Table1[[#This Row],[Quantity]]*Table1[[#This Row],[Price]]</f>
        <v>400</v>
      </c>
      <c r="J128" s="2">
        <v>20</v>
      </c>
      <c r="K128" s="2"/>
      <c r="L128" s="2">
        <f>Table1[[#This Row],[Value]]+Table1[[#This Row],[Brokerage]]+Table1[[#This Row],[Taxes]]</f>
        <v>420</v>
      </c>
      <c r="M128" s="6" t="str">
        <f>CONCATENATE(Table1[[#This Row],[Contract]]," ",Table1[[#This Row],[Strike Price]],IF(Table1[[#This Row],[Type]]="Put","PE","CE"))</f>
        <v>BANKNIFTY 25900CE</v>
      </c>
      <c r="N128" s="1">
        <v>43062</v>
      </c>
      <c r="O128">
        <v>40</v>
      </c>
      <c r="P128" s="2">
        <v>6</v>
      </c>
      <c r="Q128" s="2">
        <f>Table1[[#This Row],[Quantity2]]*Table1[[#This Row],[Price3]]</f>
        <v>240</v>
      </c>
      <c r="R128" s="2"/>
      <c r="S128" s="2"/>
      <c r="T128" s="2">
        <f>Table1[[#This Row],[Value4]]-Table1[[#This Row],[Brokerage5]]-Table1[[#This Row],[Taxes6]]</f>
        <v>240</v>
      </c>
      <c r="U128" s="2">
        <f>Table1[Value4]-Table1[Value]</f>
        <v>-160</v>
      </c>
      <c r="V128" s="7">
        <f>(Table1[[#This Row],[Value4]]-Table1[[#This Row],[Value]])/Table1[[#This Row],[Value]]</f>
        <v>-0.4</v>
      </c>
      <c r="W128" s="15" t="str">
        <f>TEXT(Table1[[#This Row],[Sell Date]],"mmm-yy")</f>
        <v>Nov-17</v>
      </c>
      <c r="X128" s="2" t="s">
        <v>47</v>
      </c>
      <c r="Y128" s="2" t="str">
        <f>TEXT(Table1[[#This Row],[Sell Date]],"ddd")</f>
        <v>Thu</v>
      </c>
      <c r="Z128" s="2" t="s">
        <v>93</v>
      </c>
    </row>
    <row r="129" spans="1:26" x14ac:dyDescent="0.25">
      <c r="A129" s="6">
        <v>125</v>
      </c>
      <c r="B129" s="1">
        <v>43062</v>
      </c>
      <c r="C129" t="s">
        <v>19</v>
      </c>
      <c r="D129">
        <v>25700</v>
      </c>
      <c r="E129" t="s">
        <v>23</v>
      </c>
      <c r="F129" s="1">
        <v>43069</v>
      </c>
      <c r="G129">
        <v>40</v>
      </c>
      <c r="H129" s="2">
        <v>134</v>
      </c>
      <c r="I129" s="2">
        <f>Table1[[#This Row],[Quantity]]*Table1[[#This Row],[Price]]</f>
        <v>5360</v>
      </c>
      <c r="J129" s="2">
        <v>20</v>
      </c>
      <c r="K129" s="2"/>
      <c r="L129" s="2">
        <f>Table1[[#This Row],[Value]]+Table1[[#This Row],[Brokerage]]+Table1[[#This Row],[Taxes]]</f>
        <v>5380</v>
      </c>
      <c r="M129" s="6" t="str">
        <f>CONCATENATE(Table1[[#This Row],[Contract]]," ",Table1[[#This Row],[Strike Price]],IF(Table1[[#This Row],[Type]]="Put","PE","CE"))</f>
        <v>BANKNIFTY 25700PE</v>
      </c>
      <c r="N129" s="1">
        <v>43062</v>
      </c>
      <c r="O129">
        <v>40</v>
      </c>
      <c r="P129" s="2">
        <v>125</v>
      </c>
      <c r="Q129" s="2">
        <f>Table1[[#This Row],[Quantity2]]*Table1[[#This Row],[Price3]]</f>
        <v>5000</v>
      </c>
      <c r="R129" s="2"/>
      <c r="S129" s="2"/>
      <c r="T129" s="2">
        <f>Table1[[#This Row],[Value4]]-Table1[[#This Row],[Brokerage5]]-Table1[[#This Row],[Taxes6]]</f>
        <v>5000</v>
      </c>
      <c r="U129" s="2">
        <f>Table1[Value4]-Table1[Value]</f>
        <v>-360</v>
      </c>
      <c r="V129" s="7">
        <f>(Table1[[#This Row],[Value4]]-Table1[[#This Row],[Value]])/Table1[[#This Row],[Value]]</f>
        <v>-6.7164179104477612E-2</v>
      </c>
      <c r="W129" s="15" t="str">
        <f>TEXT(Table1[[#This Row],[Sell Date]],"mmm-yy")</f>
        <v>Nov-17</v>
      </c>
      <c r="X129" s="2" t="s">
        <v>47</v>
      </c>
      <c r="Y129" s="2" t="str">
        <f>TEXT(Table1[[#This Row],[Sell Date]],"ddd")</f>
        <v>Thu</v>
      </c>
      <c r="Z129" s="2" t="s">
        <v>93</v>
      </c>
    </row>
    <row r="130" spans="1:26" x14ac:dyDescent="0.25">
      <c r="A130" s="6">
        <v>126</v>
      </c>
      <c r="B130" s="1">
        <v>43062</v>
      </c>
      <c r="C130" t="s">
        <v>192</v>
      </c>
      <c r="D130">
        <v>630</v>
      </c>
      <c r="E130" t="s">
        <v>20</v>
      </c>
      <c r="F130" s="1">
        <v>43069</v>
      </c>
      <c r="G130">
        <v>1000</v>
      </c>
      <c r="H130" s="2">
        <v>7.6</v>
      </c>
      <c r="I130" s="2">
        <f>Table1[[#This Row],[Quantity]]*Table1[[#This Row],[Price]]</f>
        <v>7600</v>
      </c>
      <c r="J130" s="2">
        <v>20</v>
      </c>
      <c r="K130" s="2"/>
      <c r="L130" s="2">
        <f>Table1[[#This Row],[Value]]+Table1[[#This Row],[Brokerage]]+Table1[[#This Row],[Taxes]]</f>
        <v>7620</v>
      </c>
      <c r="M130" s="6" t="str">
        <f>CONCATENATE(Table1[[#This Row],[Contract]]," ",Table1[[#This Row],[Strike Price]],IF(Table1[[#This Row],[Type]]="Put","PE","CE"))</f>
        <v>VOLTAS 630CE</v>
      </c>
      <c r="N130" s="1">
        <v>43063</v>
      </c>
      <c r="O130">
        <v>1000</v>
      </c>
      <c r="P130" s="2">
        <v>7.6</v>
      </c>
      <c r="Q130" s="2">
        <f>Table1[[#This Row],[Quantity2]]*Table1[[#This Row],[Price3]]</f>
        <v>7600</v>
      </c>
      <c r="R130" s="2"/>
      <c r="S130" s="2"/>
      <c r="T130" s="2">
        <f>Table1[[#This Row],[Value4]]-Table1[[#This Row],[Brokerage5]]-Table1[[#This Row],[Taxes6]]</f>
        <v>7600</v>
      </c>
      <c r="U130" s="2">
        <f>Table1[Value4]-Table1[Value]</f>
        <v>0</v>
      </c>
      <c r="V130" s="7">
        <f>(Table1[[#This Row],[Value4]]-Table1[[#This Row],[Value]])/Table1[[#This Row],[Value]]</f>
        <v>0</v>
      </c>
      <c r="W130" s="15" t="str">
        <f>TEXT(Table1[[#This Row],[Sell Date]],"mmm-yy")</f>
        <v>Nov-17</v>
      </c>
      <c r="X130" s="2" t="s">
        <v>47</v>
      </c>
      <c r="Y130" s="2" t="str">
        <f>TEXT(Table1[[#This Row],[Sell Date]],"ddd")</f>
        <v>Fri</v>
      </c>
      <c r="Z130" s="2" t="s">
        <v>92</v>
      </c>
    </row>
    <row r="131" spans="1:26" x14ac:dyDescent="0.25">
      <c r="A131" s="6">
        <v>127</v>
      </c>
      <c r="B131" s="1">
        <v>43066</v>
      </c>
      <c r="C131" t="s">
        <v>193</v>
      </c>
      <c r="D131">
        <v>10700</v>
      </c>
      <c r="E131" t="s">
        <v>20</v>
      </c>
      <c r="F131" s="1">
        <v>43097</v>
      </c>
      <c r="G131">
        <v>75</v>
      </c>
      <c r="H131" s="2">
        <v>39</v>
      </c>
      <c r="I131" s="2">
        <f>Table1[[#This Row],[Quantity]]*Table1[[#This Row],[Price]]</f>
        <v>2925</v>
      </c>
      <c r="J131" s="2">
        <v>20</v>
      </c>
      <c r="K131" s="2"/>
      <c r="L131" s="2">
        <f>Table1[[#This Row],[Value]]+Table1[[#This Row],[Brokerage]]+Table1[[#This Row],[Taxes]]</f>
        <v>2945</v>
      </c>
      <c r="M131" s="6" t="str">
        <f>CONCATENATE(Table1[[#This Row],[Contract]]," ",Table1[[#This Row],[Strike Price]],IF(Table1[[#This Row],[Type]]="Put","PE","CE"))</f>
        <v>NIFTY 10700CE</v>
      </c>
      <c r="N131" s="1">
        <v>43066</v>
      </c>
      <c r="O131">
        <v>75</v>
      </c>
      <c r="P131" s="2">
        <v>47</v>
      </c>
      <c r="Q131" s="2">
        <f>Table1[[#This Row],[Quantity2]]*Table1[[#This Row],[Price3]]</f>
        <v>3525</v>
      </c>
      <c r="R131" s="2"/>
      <c r="S131" s="2"/>
      <c r="T131" s="2">
        <f>Table1[[#This Row],[Value4]]-Table1[[#This Row],[Brokerage5]]-Table1[[#This Row],[Taxes6]]</f>
        <v>3525</v>
      </c>
      <c r="U131" s="2">
        <f>Table1[Value4]-Table1[Value]</f>
        <v>600</v>
      </c>
      <c r="V131" s="7">
        <f>(Table1[[#This Row],[Value4]]-Table1[[#This Row],[Value]])/Table1[[#This Row],[Value]]</f>
        <v>0.20512820512820512</v>
      </c>
      <c r="W131" s="15" t="str">
        <f>TEXT(Table1[[#This Row],[Sell Date]],"mmm-yy")</f>
        <v>Nov-17</v>
      </c>
      <c r="X131" s="2" t="s">
        <v>47</v>
      </c>
      <c r="Y131" s="2" t="str">
        <f>TEXT(Table1[[#This Row],[Sell Date]],"ddd")</f>
        <v>Mon</v>
      </c>
      <c r="Z131" s="2" t="s">
        <v>92</v>
      </c>
    </row>
    <row r="132" spans="1:26" x14ac:dyDescent="0.25">
      <c r="A132" s="6">
        <v>128</v>
      </c>
      <c r="B132" s="1">
        <v>43066</v>
      </c>
      <c r="C132" t="s">
        <v>104</v>
      </c>
      <c r="D132">
        <v>840</v>
      </c>
      <c r="E132" t="s">
        <v>23</v>
      </c>
      <c r="F132" s="1">
        <v>43069</v>
      </c>
      <c r="G132">
        <v>1000</v>
      </c>
      <c r="H132" s="2">
        <v>3.3</v>
      </c>
      <c r="I132" s="2">
        <f>Table1[[#This Row],[Quantity]]*Table1[[#This Row],[Price]]</f>
        <v>3300</v>
      </c>
      <c r="J132" s="2">
        <v>20</v>
      </c>
      <c r="K132" s="2"/>
      <c r="L132" s="2">
        <f>Table1[[#This Row],[Value]]+Table1[[#This Row],[Brokerage]]+Table1[[#This Row],[Taxes]]</f>
        <v>3320</v>
      </c>
      <c r="M132" s="6" t="str">
        <f>CONCATENATE(Table1[[#This Row],[Contract]]," ",Table1[[#This Row],[Strike Price]],IF(Table1[[#This Row],[Type]]="Put","PE","CE"))</f>
        <v>SUNTV 840PE</v>
      </c>
      <c r="N132" s="1">
        <v>43069</v>
      </c>
      <c r="O132">
        <v>1000</v>
      </c>
      <c r="P132" s="2">
        <v>0.15</v>
      </c>
      <c r="Q132" s="2">
        <f>Table1[[#This Row],[Quantity2]]*Table1[[#This Row],[Price3]]</f>
        <v>150</v>
      </c>
      <c r="R132" s="2"/>
      <c r="S132" s="2"/>
      <c r="T132" s="2">
        <f>Table1[[#This Row],[Value4]]-Table1[[#This Row],[Brokerage5]]-Table1[[#This Row],[Taxes6]]</f>
        <v>150</v>
      </c>
      <c r="U132" s="2">
        <f>Table1[Value4]-Table1[Value]</f>
        <v>-3150</v>
      </c>
      <c r="V132" s="7">
        <f>(Table1[[#This Row],[Value4]]-Table1[[#This Row],[Value]])/Table1[[#This Row],[Value]]</f>
        <v>-0.95454545454545459</v>
      </c>
      <c r="W132" s="15" t="str">
        <f>TEXT(Table1[[#This Row],[Sell Date]],"mmm-yy")</f>
        <v>Nov-17</v>
      </c>
      <c r="X132" s="2" t="s">
        <v>47</v>
      </c>
      <c r="Y132" s="2" t="str">
        <f>TEXT(Table1[[#This Row],[Sell Date]],"ddd")</f>
        <v>Thu</v>
      </c>
      <c r="Z132" s="2" t="s">
        <v>92</v>
      </c>
    </row>
    <row r="133" spans="1:26" x14ac:dyDescent="0.25">
      <c r="A133" s="6">
        <v>129</v>
      </c>
      <c r="B133" s="1">
        <v>43066</v>
      </c>
      <c r="C133" t="s">
        <v>19</v>
      </c>
      <c r="D133">
        <v>26000</v>
      </c>
      <c r="E133" t="s">
        <v>20</v>
      </c>
      <c r="F133" s="1">
        <v>43069</v>
      </c>
      <c r="G133">
        <v>40</v>
      </c>
      <c r="H133" s="2">
        <v>42</v>
      </c>
      <c r="I133" s="2">
        <f>Table1[[#This Row],[Quantity]]*Table1[[#This Row],[Price]]</f>
        <v>1680</v>
      </c>
      <c r="J133" s="2">
        <v>20</v>
      </c>
      <c r="K133" s="2"/>
      <c r="L133" s="2">
        <f>Table1[[#This Row],[Value]]+Table1[[#This Row],[Brokerage]]+Table1[[#This Row],[Taxes]]</f>
        <v>1700</v>
      </c>
      <c r="M133" s="6" t="str">
        <f>CONCATENATE(Table1[[#This Row],[Contract]]," ",Table1[[#This Row],[Strike Price]],IF(Table1[[#This Row],[Type]]="Put","PE","CE"))</f>
        <v>BANKNIFTY 26000CE</v>
      </c>
      <c r="N133" s="1">
        <v>43066</v>
      </c>
      <c r="O133">
        <v>40</v>
      </c>
      <c r="P133" s="2">
        <v>70</v>
      </c>
      <c r="Q133" s="2">
        <f>Table1[[#This Row],[Quantity2]]*Table1[[#This Row],[Price3]]</f>
        <v>2800</v>
      </c>
      <c r="R133" s="2"/>
      <c r="S133" s="2"/>
      <c r="T133" s="2">
        <f>Table1[[#This Row],[Value4]]-Table1[[#This Row],[Brokerage5]]-Table1[[#This Row],[Taxes6]]</f>
        <v>2800</v>
      </c>
      <c r="U133" s="2">
        <f>Table1[Value4]-Table1[Value]</f>
        <v>1120</v>
      </c>
      <c r="V133" s="7">
        <f>(Table1[[#This Row],[Value4]]-Table1[[#This Row],[Value]])/Table1[[#This Row],[Value]]</f>
        <v>0.66666666666666663</v>
      </c>
      <c r="W133" s="15" t="str">
        <f>TEXT(Table1[[#This Row],[Sell Date]],"mmm-yy")</f>
        <v>Nov-17</v>
      </c>
      <c r="X133" s="2" t="s">
        <v>47</v>
      </c>
      <c r="Y133" s="2" t="str">
        <f>TEXT(Table1[[#This Row],[Sell Date]],"ddd")</f>
        <v>Mon</v>
      </c>
      <c r="Z133" s="2" t="s">
        <v>93</v>
      </c>
    </row>
    <row r="134" spans="1:26" x14ac:dyDescent="0.25">
      <c r="A134" s="6">
        <v>130</v>
      </c>
      <c r="B134" s="1">
        <v>43067</v>
      </c>
      <c r="C134" t="s">
        <v>193</v>
      </c>
      <c r="D134">
        <v>10700</v>
      </c>
      <c r="E134" t="s">
        <v>20</v>
      </c>
      <c r="F134" s="1">
        <v>43097</v>
      </c>
      <c r="G134">
        <v>75</v>
      </c>
      <c r="H134" s="2">
        <v>41</v>
      </c>
      <c r="I134" s="2">
        <f>Table1[[#This Row],[Quantity]]*Table1[[#This Row],[Price]]</f>
        <v>3075</v>
      </c>
      <c r="J134" s="2">
        <v>20</v>
      </c>
      <c r="K134" s="2"/>
      <c r="L134" s="2">
        <f>Table1[[#This Row],[Value]]+Table1[[#This Row],[Brokerage]]+Table1[[#This Row],[Taxes]]</f>
        <v>3095</v>
      </c>
      <c r="M134" s="6" t="str">
        <f>CONCATENATE(Table1[[#This Row],[Contract]]," ",Table1[[#This Row],[Strike Price]],IF(Table1[[#This Row],[Type]]="Put","PE","CE"))</f>
        <v>NIFTY 10700CE</v>
      </c>
      <c r="N134" s="1">
        <v>43097</v>
      </c>
      <c r="O134">
        <v>75</v>
      </c>
      <c r="P134" s="2">
        <v>0</v>
      </c>
      <c r="Q134" s="2">
        <f>Table1[[#This Row],[Quantity2]]*Table1[[#This Row],[Price3]]</f>
        <v>0</v>
      </c>
      <c r="R134" s="2"/>
      <c r="S134" s="2"/>
      <c r="T134" s="2">
        <f>Table1[[#This Row],[Value4]]-Table1[[#This Row],[Brokerage5]]-Table1[[#This Row],[Taxes6]]</f>
        <v>0</v>
      </c>
      <c r="U134" s="2">
        <f>Table1[Value4]-Table1[Value]</f>
        <v>-3075</v>
      </c>
      <c r="V134" s="7">
        <f>(Table1[[#This Row],[Value4]]-Table1[[#This Row],[Value]])/Table1[[#This Row],[Value]]</f>
        <v>-1</v>
      </c>
      <c r="W134" s="15" t="str">
        <f>TEXT(Table1[[#This Row],[Sell Date]],"mmm-yy")</f>
        <v>Dec-17</v>
      </c>
      <c r="X134" s="2" t="s">
        <v>47</v>
      </c>
      <c r="Y134" s="2" t="str">
        <f>TEXT(Table1[[#This Row],[Sell Date]],"ddd")</f>
        <v>Thu</v>
      </c>
      <c r="Z134" s="2" t="s">
        <v>93</v>
      </c>
    </row>
    <row r="135" spans="1:26" x14ac:dyDescent="0.25">
      <c r="A135" s="6">
        <v>131</v>
      </c>
      <c r="B135" s="1">
        <v>43067</v>
      </c>
      <c r="C135" t="s">
        <v>19</v>
      </c>
      <c r="D135">
        <v>25500</v>
      </c>
      <c r="E135" t="s">
        <v>23</v>
      </c>
      <c r="F135" s="1">
        <v>43069</v>
      </c>
      <c r="G135">
        <v>40</v>
      </c>
      <c r="H135" s="2">
        <v>13.5</v>
      </c>
      <c r="I135" s="2">
        <f>Table1[[#This Row],[Quantity]]*Table1[[#This Row],[Price]]</f>
        <v>540</v>
      </c>
      <c r="J135" s="2">
        <v>20</v>
      </c>
      <c r="K135" s="2"/>
      <c r="L135" s="2">
        <f>Table1[[#This Row],[Value]]+Table1[[#This Row],[Brokerage]]+Table1[[#This Row],[Taxes]]</f>
        <v>560</v>
      </c>
      <c r="M135" s="6" t="str">
        <f>CONCATENATE(Table1[[#This Row],[Contract]]," ",Table1[[#This Row],[Strike Price]],IF(Table1[[#This Row],[Type]]="Put","PE","CE"))</f>
        <v>BANKNIFTY 25500PE</v>
      </c>
      <c r="N135" s="1">
        <v>43067</v>
      </c>
      <c r="O135">
        <v>40</v>
      </c>
      <c r="P135" s="2">
        <v>13</v>
      </c>
      <c r="Q135" s="2">
        <f>Table1[[#This Row],[Quantity2]]*Table1[[#This Row],[Price3]]</f>
        <v>520</v>
      </c>
      <c r="R135" s="2"/>
      <c r="S135" s="2"/>
      <c r="T135" s="2">
        <f>Table1[[#This Row],[Value4]]-Table1[[#This Row],[Brokerage5]]-Table1[[#This Row],[Taxes6]]</f>
        <v>520</v>
      </c>
      <c r="U135" s="2">
        <f>Table1[Value4]-Table1[Value]</f>
        <v>-20</v>
      </c>
      <c r="V135" s="7">
        <f>(Table1[[#This Row],[Value4]]-Table1[[#This Row],[Value]])/Table1[[#This Row],[Value]]</f>
        <v>-3.7037037037037035E-2</v>
      </c>
      <c r="W135" s="15" t="str">
        <f>TEXT(Table1[[#This Row],[Sell Date]],"mmm-yy")</f>
        <v>Nov-17</v>
      </c>
      <c r="X135" s="2" t="s">
        <v>47</v>
      </c>
      <c r="Y135" s="2" t="str">
        <f>TEXT(Table1[[#This Row],[Sell Date]],"ddd")</f>
        <v>Tue</v>
      </c>
      <c r="Z135" s="2" t="s">
        <v>93</v>
      </c>
    </row>
    <row r="136" spans="1:26" x14ac:dyDescent="0.25">
      <c r="A136" s="6">
        <v>132</v>
      </c>
      <c r="B136" s="1">
        <v>43069</v>
      </c>
      <c r="C136" t="s">
        <v>19</v>
      </c>
      <c r="D136">
        <v>26000</v>
      </c>
      <c r="E136" t="s">
        <v>20</v>
      </c>
      <c r="F136" s="1">
        <v>43069</v>
      </c>
      <c r="G136">
        <v>80</v>
      </c>
      <c r="H136" s="2">
        <v>1.4</v>
      </c>
      <c r="I136" s="2">
        <f>Table1[[#This Row],[Quantity]]*Table1[[#This Row],[Price]]</f>
        <v>112</v>
      </c>
      <c r="J136" s="2">
        <v>20</v>
      </c>
      <c r="K136" s="2"/>
      <c r="L136" s="2">
        <f>Table1[[#This Row],[Value]]+Table1[[#This Row],[Brokerage]]+Table1[[#This Row],[Taxes]]</f>
        <v>132</v>
      </c>
      <c r="M136" s="6" t="str">
        <f>CONCATENATE(Table1[[#This Row],[Contract]]," ",Table1[[#This Row],[Strike Price]],IF(Table1[[#This Row],[Type]]="Put","PE","CE"))</f>
        <v>BANKNIFTY 26000CE</v>
      </c>
      <c r="N136" s="1">
        <v>43069</v>
      </c>
      <c r="O136">
        <v>80</v>
      </c>
      <c r="P136" s="2">
        <v>0</v>
      </c>
      <c r="Q136" s="2">
        <f>Table1[[#This Row],[Quantity2]]*Table1[[#This Row],[Price3]]</f>
        <v>0</v>
      </c>
      <c r="R136" s="2"/>
      <c r="S136" s="2"/>
      <c r="T136" s="2">
        <f>Table1[[#This Row],[Value4]]-Table1[[#This Row],[Brokerage5]]-Table1[[#This Row],[Taxes6]]</f>
        <v>0</v>
      </c>
      <c r="U136" s="2">
        <f>Table1[Value4]-Table1[Value]</f>
        <v>-112</v>
      </c>
      <c r="V136" s="7">
        <f>(Table1[[#This Row],[Value4]]-Table1[[#This Row],[Value]])/Table1[[#This Row],[Value]]</f>
        <v>-1</v>
      </c>
      <c r="W136" s="15" t="str">
        <f>TEXT(Table1[[#This Row],[Sell Date]],"mmm-yy")</f>
        <v>Nov-17</v>
      </c>
      <c r="X136" s="2" t="s">
        <v>47</v>
      </c>
      <c r="Y136" s="2" t="str">
        <f>TEXT(Table1[[#This Row],[Sell Date]],"ddd")</f>
        <v>Thu</v>
      </c>
      <c r="Z136" s="2" t="s">
        <v>93</v>
      </c>
    </row>
    <row r="137" spans="1:26" x14ac:dyDescent="0.25">
      <c r="A137" s="6">
        <v>133</v>
      </c>
      <c r="B137" s="1">
        <v>43069</v>
      </c>
      <c r="C137" t="s">
        <v>194</v>
      </c>
      <c r="D137">
        <v>940</v>
      </c>
      <c r="E137" t="s">
        <v>20</v>
      </c>
      <c r="F137" s="1">
        <v>43069</v>
      </c>
      <c r="G137">
        <v>1000</v>
      </c>
      <c r="H137" s="2">
        <v>1.1000000000000001</v>
      </c>
      <c r="I137" s="2">
        <f>Table1[[#This Row],[Quantity]]*Table1[[#This Row],[Price]]</f>
        <v>1100</v>
      </c>
      <c r="J137" s="2">
        <v>20</v>
      </c>
      <c r="K137" s="2"/>
      <c r="L137" s="2">
        <f>Table1[[#This Row],[Value]]+Table1[[#This Row],[Brokerage]]+Table1[[#This Row],[Taxes]]</f>
        <v>1120</v>
      </c>
      <c r="M137" s="6" t="str">
        <f>CONCATENATE(Table1[[#This Row],[Contract]]," ",Table1[[#This Row],[Strike Price]],IF(Table1[[#This Row],[Type]]="Put","PE","CE"))</f>
        <v>RELIANCE 940CE</v>
      </c>
      <c r="N137" s="1">
        <v>43069</v>
      </c>
      <c r="O137">
        <v>1000</v>
      </c>
      <c r="P137" s="2">
        <v>0</v>
      </c>
      <c r="Q137" s="2">
        <f>Table1[[#This Row],[Quantity2]]*Table1[[#This Row],[Price3]]</f>
        <v>0</v>
      </c>
      <c r="R137" s="2"/>
      <c r="S137" s="2"/>
      <c r="T137" s="2">
        <f>Table1[[#This Row],[Value4]]-Table1[[#This Row],[Brokerage5]]-Table1[[#This Row],[Taxes6]]</f>
        <v>0</v>
      </c>
      <c r="U137" s="2">
        <f>Table1[Value4]-Table1[Value]</f>
        <v>-1100</v>
      </c>
      <c r="V137" s="7">
        <f>(Table1[[#This Row],[Value4]]-Table1[[#This Row],[Value]])/Table1[[#This Row],[Value]]</f>
        <v>-1</v>
      </c>
      <c r="W137" s="15" t="str">
        <f>TEXT(Table1[[#This Row],[Sell Date]],"mmm-yy")</f>
        <v>Nov-17</v>
      </c>
      <c r="X137" s="2" t="s">
        <v>47</v>
      </c>
      <c r="Y137" s="2" t="str">
        <f>TEXT(Table1[[#This Row],[Sell Date]],"ddd")</f>
        <v>Thu</v>
      </c>
      <c r="Z137" s="2" t="s">
        <v>92</v>
      </c>
    </row>
    <row r="138" spans="1:26" x14ac:dyDescent="0.25">
      <c r="A138" s="6">
        <v>134</v>
      </c>
      <c r="B138" s="1">
        <v>43070</v>
      </c>
      <c r="C138" t="s">
        <v>193</v>
      </c>
      <c r="D138">
        <v>10700</v>
      </c>
      <c r="E138" t="s">
        <v>20</v>
      </c>
      <c r="F138" s="1">
        <v>43097</v>
      </c>
      <c r="G138">
        <v>75</v>
      </c>
      <c r="H138" s="2">
        <v>8</v>
      </c>
      <c r="I138" s="2">
        <f>Table1[[#This Row],[Quantity]]*Table1[[#This Row],[Price]]</f>
        <v>600</v>
      </c>
      <c r="J138" s="2">
        <v>20</v>
      </c>
      <c r="K138" s="2"/>
      <c r="L138" s="2">
        <f>Table1[[#This Row],[Value]]+Table1[[#This Row],[Brokerage]]+Table1[[#This Row],[Taxes]]</f>
        <v>620</v>
      </c>
      <c r="M138" s="6" t="str">
        <f>CONCATENATE(Table1[[#This Row],[Contract]]," ",Table1[[#This Row],[Strike Price]],IF(Table1[[#This Row],[Type]]="Put","PE","CE"))</f>
        <v>NIFTY 10700CE</v>
      </c>
      <c r="N138" s="1">
        <v>43097</v>
      </c>
      <c r="O138">
        <v>75</v>
      </c>
      <c r="P138" s="2">
        <v>0</v>
      </c>
      <c r="Q138" s="2">
        <f>Table1[[#This Row],[Quantity2]]*Table1[[#This Row],[Price3]]</f>
        <v>0</v>
      </c>
      <c r="R138" s="2"/>
      <c r="S138" s="2"/>
      <c r="T138" s="2">
        <f>Table1[[#This Row],[Value4]]-Table1[[#This Row],[Brokerage5]]-Table1[[#This Row],[Taxes6]]</f>
        <v>0</v>
      </c>
      <c r="U138" s="2">
        <f>Table1[Value4]-Table1[Value]</f>
        <v>-600</v>
      </c>
      <c r="V138" s="7">
        <f>(Table1[[#This Row],[Value4]]-Table1[[#This Row],[Value]])/Table1[[#This Row],[Value]]</f>
        <v>-1</v>
      </c>
      <c r="W138" s="15" t="str">
        <f>TEXT(Table1[[#This Row],[Sell Date]],"mmm-yy")</f>
        <v>Dec-17</v>
      </c>
      <c r="X138" s="2" t="s">
        <v>47</v>
      </c>
      <c r="Y138" s="2" t="str">
        <f>TEXT(Table1[[#This Row],[Sell Date]],"ddd")</f>
        <v>Thu</v>
      </c>
      <c r="Z138" s="2" t="s">
        <v>92</v>
      </c>
    </row>
    <row r="139" spans="1:26" x14ac:dyDescent="0.25">
      <c r="A139" s="6">
        <v>135</v>
      </c>
      <c r="B139" s="1">
        <v>43088</v>
      </c>
      <c r="C139" t="s">
        <v>193</v>
      </c>
      <c r="D139">
        <v>10500</v>
      </c>
      <c r="E139" t="s">
        <v>20</v>
      </c>
      <c r="F139" s="1">
        <v>43097</v>
      </c>
      <c r="G139">
        <v>75</v>
      </c>
      <c r="H139" s="2">
        <v>37</v>
      </c>
      <c r="I139" s="2">
        <f>Table1[[#This Row],[Quantity]]*Table1[[#This Row],[Price]]</f>
        <v>2775</v>
      </c>
      <c r="J139" s="2">
        <v>20</v>
      </c>
      <c r="K139" s="2"/>
      <c r="L139" s="2">
        <f>Table1[[#This Row],[Value]]+Table1[[#This Row],[Brokerage]]+Table1[[#This Row],[Taxes]]</f>
        <v>2795</v>
      </c>
      <c r="M139" s="6" t="str">
        <f>CONCATENATE(Table1[[#This Row],[Contract]]," ",Table1[[#This Row],[Strike Price]],IF(Table1[[#This Row],[Type]]="Put","PE","CE"))</f>
        <v>NIFTY 10500CE</v>
      </c>
      <c r="N139" s="1">
        <v>43088</v>
      </c>
      <c r="O139">
        <v>75</v>
      </c>
      <c r="P139" s="2">
        <v>47</v>
      </c>
      <c r="Q139" s="2">
        <f>Table1[[#This Row],[Quantity2]]*Table1[[#This Row],[Price3]]</f>
        <v>3525</v>
      </c>
      <c r="R139" s="2"/>
      <c r="S139" s="2"/>
      <c r="T139" s="2">
        <f>Table1[[#This Row],[Value4]]-Table1[[#This Row],[Brokerage5]]-Table1[[#This Row],[Taxes6]]</f>
        <v>3525</v>
      </c>
      <c r="U139" s="2">
        <f>Table1[Value4]-Table1[Value]</f>
        <v>750</v>
      </c>
      <c r="V139" s="7">
        <f>(Table1[[#This Row],[Value4]]-Table1[[#This Row],[Value]])/Table1[[#This Row],[Value]]</f>
        <v>0.27027027027027029</v>
      </c>
      <c r="W139" s="15" t="str">
        <f>TEXT(Table1[[#This Row],[Sell Date]],"mmm-yy")</f>
        <v>Dec-17</v>
      </c>
      <c r="X139" s="2" t="s">
        <v>47</v>
      </c>
      <c r="Y139" s="2" t="str">
        <f>TEXT(Table1[[#This Row],[Sell Date]],"ddd")</f>
        <v>Tue</v>
      </c>
      <c r="Z139" s="2" t="s">
        <v>93</v>
      </c>
    </row>
    <row r="140" spans="1:26" x14ac:dyDescent="0.25">
      <c r="A140" s="6">
        <v>136</v>
      </c>
      <c r="B140" s="1">
        <v>43089</v>
      </c>
      <c r="C140" t="s">
        <v>193</v>
      </c>
      <c r="D140">
        <v>10500</v>
      </c>
      <c r="E140" t="s">
        <v>20</v>
      </c>
      <c r="F140" s="1">
        <v>43097</v>
      </c>
      <c r="G140">
        <v>75</v>
      </c>
      <c r="H140" s="2">
        <v>48</v>
      </c>
      <c r="I140" s="2">
        <f>Table1[[#This Row],[Quantity]]*Table1[[#This Row],[Price]]</f>
        <v>3600</v>
      </c>
      <c r="J140" s="2">
        <v>20</v>
      </c>
      <c r="K140" s="2"/>
      <c r="L140" s="2">
        <f>Table1[[#This Row],[Value]]+Table1[[#This Row],[Brokerage]]+Table1[[#This Row],[Taxes]]</f>
        <v>3620</v>
      </c>
      <c r="M140" s="6" t="str">
        <f>CONCATENATE(Table1[[#This Row],[Contract]]," ",Table1[[#This Row],[Strike Price]],IF(Table1[[#This Row],[Type]]="Put","PE","CE"))</f>
        <v>NIFTY 10500CE</v>
      </c>
      <c r="N140" s="1">
        <v>43096</v>
      </c>
      <c r="O140">
        <v>75</v>
      </c>
      <c r="P140" s="2">
        <v>20</v>
      </c>
      <c r="Q140" s="2">
        <f>Table1[[#This Row],[Quantity2]]*Table1[[#This Row],[Price3]]</f>
        <v>1500</v>
      </c>
      <c r="R140" s="2"/>
      <c r="S140" s="2"/>
      <c r="T140" s="2">
        <f>Table1[[#This Row],[Value4]]-Table1[[#This Row],[Brokerage5]]-Table1[[#This Row],[Taxes6]]</f>
        <v>1500</v>
      </c>
      <c r="U140" s="2">
        <f>Table1[Value4]-Table1[Value]</f>
        <v>-2100</v>
      </c>
      <c r="V140" s="7">
        <f>(Table1[[#This Row],[Value4]]-Table1[[#This Row],[Value]])/Table1[[#This Row],[Value]]</f>
        <v>-0.58333333333333337</v>
      </c>
      <c r="W140" s="15" t="str">
        <f>TEXT(Table1[[#This Row],[Sell Date]],"mmm-yy")</f>
        <v>Dec-17</v>
      </c>
      <c r="X140" s="2" t="s">
        <v>47</v>
      </c>
      <c r="Y140" s="2" t="str">
        <f>TEXT(Table1[[#This Row],[Sell Date]],"ddd")</f>
        <v>Wed</v>
      </c>
      <c r="Z140" s="10" t="s">
        <v>93</v>
      </c>
    </row>
    <row r="141" spans="1:26" x14ac:dyDescent="0.25">
      <c r="A141" s="6">
        <v>137</v>
      </c>
      <c r="B141" s="1">
        <v>43089</v>
      </c>
      <c r="C141" t="s">
        <v>193</v>
      </c>
      <c r="D141">
        <v>10700</v>
      </c>
      <c r="E141" t="s">
        <v>20</v>
      </c>
      <c r="F141" s="1">
        <v>43097</v>
      </c>
      <c r="G141">
        <v>150</v>
      </c>
      <c r="H141" s="2">
        <v>4.5</v>
      </c>
      <c r="I141" s="2">
        <f>Table1[[#This Row],[Quantity]]*Table1[[#This Row],[Price]]</f>
        <v>675</v>
      </c>
      <c r="J141" s="2">
        <v>20</v>
      </c>
      <c r="K141" s="2"/>
      <c r="L141" s="2">
        <f>Table1[[#This Row],[Value]]+Table1[[#This Row],[Brokerage]]+Table1[[#This Row],[Taxes]]</f>
        <v>695</v>
      </c>
      <c r="M141" s="6" t="str">
        <f>CONCATENATE(Table1[[#This Row],[Contract]]," ",Table1[[#This Row],[Strike Price]],IF(Table1[[#This Row],[Type]]="Put","PE","CE"))</f>
        <v>NIFTY 10700CE</v>
      </c>
      <c r="N141" s="1">
        <v>43097</v>
      </c>
      <c r="O141">
        <v>150</v>
      </c>
      <c r="P141" s="2">
        <v>0</v>
      </c>
      <c r="Q141" s="2">
        <f>Table1[[#This Row],[Quantity2]]*Table1[[#This Row],[Price3]]</f>
        <v>0</v>
      </c>
      <c r="R141" s="2"/>
      <c r="S141" s="2"/>
      <c r="T141" s="2">
        <f>Table1[[#This Row],[Value4]]-Table1[[#This Row],[Brokerage5]]-Table1[[#This Row],[Taxes6]]</f>
        <v>0</v>
      </c>
      <c r="U141" s="2">
        <f>Table1[Value4]-Table1[Value]</f>
        <v>-675</v>
      </c>
      <c r="V141" s="7">
        <f>(Table1[[#This Row],[Value4]]-Table1[[#This Row],[Value]])/Table1[[#This Row],[Value]]</f>
        <v>-1</v>
      </c>
      <c r="W141" s="15" t="str">
        <f>TEXT(Table1[[#This Row],[Sell Date]],"mmm-yy")</f>
        <v>Dec-17</v>
      </c>
      <c r="X141" s="2" t="s">
        <v>47</v>
      </c>
      <c r="Y141" s="2" t="str">
        <f>TEXT(Table1[[#This Row],[Sell Date]],"ddd")</f>
        <v>Thu</v>
      </c>
      <c r="Z141" s="2" t="s">
        <v>92</v>
      </c>
    </row>
    <row r="142" spans="1:26" x14ac:dyDescent="0.25">
      <c r="A142" s="6">
        <v>138</v>
      </c>
      <c r="B142" s="1">
        <v>43091</v>
      </c>
      <c r="C142" t="s">
        <v>24</v>
      </c>
      <c r="D142">
        <v>1720</v>
      </c>
      <c r="E142" t="s">
        <v>20</v>
      </c>
      <c r="F142" s="1">
        <v>43097</v>
      </c>
      <c r="G142">
        <v>500</v>
      </c>
      <c r="H142" s="2">
        <v>9</v>
      </c>
      <c r="I142" s="2">
        <f>Table1[[#This Row],[Quantity]]*Table1[[#This Row],[Price]]</f>
        <v>4500</v>
      </c>
      <c r="J142" s="2">
        <v>20</v>
      </c>
      <c r="K142" s="2"/>
      <c r="L142" s="2">
        <f>Table1[[#This Row],[Value]]+Table1[[#This Row],[Brokerage]]+Table1[[#This Row],[Taxes]]</f>
        <v>4520</v>
      </c>
      <c r="M142" s="6" t="str">
        <f>CONCATENATE(Table1[[#This Row],[Contract]]," ",Table1[[#This Row],[Strike Price]],IF(Table1[[#This Row],[Type]]="Put","PE","CE"))</f>
        <v>HDFC 1720CE</v>
      </c>
      <c r="N142" s="1">
        <v>43091</v>
      </c>
      <c r="O142">
        <v>500</v>
      </c>
      <c r="P142" s="2">
        <v>7.5</v>
      </c>
      <c r="Q142" s="2">
        <f>Table1[[#This Row],[Quantity2]]*Table1[[#This Row],[Price3]]</f>
        <v>3750</v>
      </c>
      <c r="R142" s="2"/>
      <c r="S142" s="2"/>
      <c r="T142" s="2">
        <f>Table1[[#This Row],[Value4]]-Table1[[#This Row],[Brokerage5]]-Table1[[#This Row],[Taxes6]]</f>
        <v>3750</v>
      </c>
      <c r="U142" s="2">
        <f>Table1[Value4]-Table1[Value]</f>
        <v>-750</v>
      </c>
      <c r="V142" s="7">
        <f>(Table1[[#This Row],[Value4]]-Table1[[#This Row],[Value]])/Table1[[#This Row],[Value]]</f>
        <v>-0.16666666666666666</v>
      </c>
      <c r="W142" s="15" t="str">
        <f>TEXT(Table1[[#This Row],[Sell Date]],"mmm-yy")</f>
        <v>Dec-17</v>
      </c>
      <c r="X142" s="2" t="s">
        <v>47</v>
      </c>
      <c r="Y142" s="2" t="str">
        <f>TEXT(Table1[[#This Row],[Sell Date]],"ddd")</f>
        <v>Fri</v>
      </c>
      <c r="Z142" s="2" t="s">
        <v>92</v>
      </c>
    </row>
    <row r="143" spans="1:26" x14ac:dyDescent="0.25">
      <c r="A143" s="6">
        <v>139</v>
      </c>
      <c r="B143" s="1">
        <v>43095</v>
      </c>
      <c r="C143" t="s">
        <v>19</v>
      </c>
      <c r="D143">
        <v>26000</v>
      </c>
      <c r="E143" t="s">
        <v>20</v>
      </c>
      <c r="F143" s="1">
        <v>43097</v>
      </c>
      <c r="G143">
        <v>40</v>
      </c>
      <c r="H143" s="2">
        <v>11</v>
      </c>
      <c r="I143" s="2">
        <f>Table1[[#This Row],[Quantity]]*Table1[[#This Row],[Price]]</f>
        <v>440</v>
      </c>
      <c r="J143" s="2">
        <v>20</v>
      </c>
      <c r="K143" s="2"/>
      <c r="L143" s="2">
        <f>Table1[[#This Row],[Value]]+Table1[[#This Row],[Brokerage]]+Table1[[#This Row],[Taxes]]</f>
        <v>460</v>
      </c>
      <c r="M143" s="6" t="str">
        <f>CONCATENATE(Table1[[#This Row],[Contract]]," ",Table1[[#This Row],[Strike Price]],IF(Table1[[#This Row],[Type]]="Put","PE","CE"))</f>
        <v>BANKNIFTY 26000CE</v>
      </c>
      <c r="N143" s="1">
        <v>43095</v>
      </c>
      <c r="O143">
        <v>40</v>
      </c>
      <c r="P143" s="2">
        <v>13.5</v>
      </c>
      <c r="Q143" s="2">
        <f>Table1[[#This Row],[Quantity2]]*Table1[[#This Row],[Price3]]</f>
        <v>540</v>
      </c>
      <c r="R143" s="2"/>
      <c r="S143" s="2"/>
      <c r="T143" s="2">
        <f>Table1[[#This Row],[Value4]]-Table1[[#This Row],[Brokerage5]]-Table1[[#This Row],[Taxes6]]</f>
        <v>540</v>
      </c>
      <c r="U143" s="2">
        <f>Table1[Value4]-Table1[Value]</f>
        <v>100</v>
      </c>
      <c r="V143" s="7">
        <f>(Table1[[#This Row],[Value4]]-Table1[[#This Row],[Value]])/Table1[[#This Row],[Value]]</f>
        <v>0.22727272727272727</v>
      </c>
      <c r="W143" s="15" t="str">
        <f>TEXT(Table1[[#This Row],[Sell Date]],"mmm-yy")</f>
        <v>Dec-17</v>
      </c>
      <c r="X143" s="2" t="s">
        <v>47</v>
      </c>
      <c r="Y143" s="2" t="str">
        <f>TEXT(Table1[[#This Row],[Sell Date]],"ddd")</f>
        <v>Tue</v>
      </c>
      <c r="Z143" s="2" t="s">
        <v>93</v>
      </c>
    </row>
    <row r="144" spans="1:26" x14ac:dyDescent="0.25">
      <c r="A144" s="6">
        <v>140</v>
      </c>
      <c r="B144" s="1">
        <v>43096</v>
      </c>
      <c r="C144" t="s">
        <v>19</v>
      </c>
      <c r="D144">
        <v>26000</v>
      </c>
      <c r="E144" t="s">
        <v>20</v>
      </c>
      <c r="F144" s="1">
        <v>43097</v>
      </c>
      <c r="G144">
        <v>40</v>
      </c>
      <c r="H144" s="2">
        <v>6</v>
      </c>
      <c r="I144" s="2">
        <f>Table1[[#This Row],[Quantity]]*Table1[[#This Row],[Price]]</f>
        <v>240</v>
      </c>
      <c r="J144" s="2">
        <v>20</v>
      </c>
      <c r="K144" s="2"/>
      <c r="L144" s="2">
        <f>Table1[[#This Row],[Value]]+Table1[[#This Row],[Brokerage]]+Table1[[#This Row],[Taxes]]</f>
        <v>260</v>
      </c>
      <c r="M144" s="6" t="str">
        <f>CONCATENATE(Table1[[#This Row],[Contract]]," ",Table1[[#This Row],[Strike Price]],IF(Table1[[#This Row],[Type]]="Put","PE","CE"))</f>
        <v>BANKNIFTY 26000CE</v>
      </c>
      <c r="N144" s="1">
        <v>43097</v>
      </c>
      <c r="O144">
        <v>40</v>
      </c>
      <c r="P144" s="2">
        <v>0</v>
      </c>
      <c r="Q144" s="2">
        <f>Table1[[#This Row],[Quantity2]]*Table1[[#This Row],[Price3]]</f>
        <v>0</v>
      </c>
      <c r="R144" s="2"/>
      <c r="S144" s="2"/>
      <c r="T144" s="2">
        <f>Table1[[#This Row],[Value4]]-Table1[[#This Row],[Brokerage5]]-Table1[[#This Row],[Taxes6]]</f>
        <v>0</v>
      </c>
      <c r="U144" s="2">
        <f>Table1[Value4]-Table1[Value]</f>
        <v>-240</v>
      </c>
      <c r="V144" s="7">
        <f>(Table1[[#This Row],[Value4]]-Table1[[#This Row],[Value]])/Table1[[#This Row],[Value]]</f>
        <v>-1</v>
      </c>
      <c r="W144" s="15" t="str">
        <f>TEXT(Table1[[#This Row],[Sell Date]],"mmm-yy")</f>
        <v>Dec-17</v>
      </c>
      <c r="X144" s="2" t="s">
        <v>47</v>
      </c>
      <c r="Y144" s="2" t="str">
        <f>TEXT(Table1[[#This Row],[Sell Date]],"ddd")</f>
        <v>Thu</v>
      </c>
      <c r="Z144" s="2" t="s">
        <v>93</v>
      </c>
    </row>
    <row r="145" spans="1:26" x14ac:dyDescent="0.25">
      <c r="A145" s="6">
        <v>141</v>
      </c>
      <c r="B145" s="1">
        <v>43462</v>
      </c>
      <c r="C145" t="s">
        <v>19</v>
      </c>
      <c r="D145">
        <v>25600</v>
      </c>
      <c r="E145" t="s">
        <v>20</v>
      </c>
      <c r="F145" s="1">
        <v>43462</v>
      </c>
      <c r="G145">
        <v>40</v>
      </c>
      <c r="H145" s="2">
        <v>21.5</v>
      </c>
      <c r="I145" s="2">
        <f>Table1[[#This Row],[Quantity]]*Table1[[#This Row],[Price]]</f>
        <v>860</v>
      </c>
      <c r="J145" s="2">
        <v>20</v>
      </c>
      <c r="K145" s="2"/>
      <c r="L145" s="2">
        <f>Table1[[#This Row],[Value]]+Table1[[#This Row],[Brokerage]]+Table1[[#This Row],[Taxes]]</f>
        <v>880</v>
      </c>
      <c r="M145" s="6" t="str">
        <f>CONCATENATE(Table1[[#This Row],[Contract]]," ",Table1[[#This Row],[Strike Price]],IF(Table1[[#This Row],[Type]]="Put","PE","CE"))</f>
        <v>BANKNIFTY 25600CE</v>
      </c>
      <c r="N145" s="1">
        <v>43097</v>
      </c>
      <c r="O145">
        <v>40</v>
      </c>
      <c r="P145" s="2">
        <v>18</v>
      </c>
      <c r="Q145" s="2">
        <f>Table1[[#This Row],[Quantity2]]*Table1[[#This Row],[Price3]]</f>
        <v>720</v>
      </c>
      <c r="R145" s="2"/>
      <c r="S145" s="2"/>
      <c r="T145" s="2">
        <f>Table1[[#This Row],[Value4]]-Table1[[#This Row],[Brokerage5]]-Table1[[#This Row],[Taxes6]]</f>
        <v>720</v>
      </c>
      <c r="U145" s="2">
        <f>Table1[Value4]-Table1[Value]</f>
        <v>-140</v>
      </c>
      <c r="V145" s="7">
        <f>(Table1[[#This Row],[Value4]]-Table1[[#This Row],[Value]])/Table1[[#This Row],[Value]]</f>
        <v>-0.16279069767441862</v>
      </c>
      <c r="W145" s="15" t="str">
        <f>TEXT(Table1[[#This Row],[Sell Date]],"mmm-yy")</f>
        <v>Dec-17</v>
      </c>
      <c r="X145" s="2" t="s">
        <v>47</v>
      </c>
      <c r="Y145" s="2" t="str">
        <f>TEXT(Table1[[#This Row],[Sell Date]],"ddd")</f>
        <v>Thu</v>
      </c>
      <c r="Z145" s="2" t="s">
        <v>93</v>
      </c>
    </row>
    <row r="146" spans="1:26" x14ac:dyDescent="0.25">
      <c r="A146" s="6">
        <v>142</v>
      </c>
      <c r="B146" s="1">
        <v>43462</v>
      </c>
      <c r="C146" t="s">
        <v>205</v>
      </c>
      <c r="D146">
        <v>100</v>
      </c>
      <c r="E146" t="s">
        <v>23</v>
      </c>
      <c r="F146" s="1">
        <v>43125</v>
      </c>
      <c r="G146">
        <v>7000</v>
      </c>
      <c r="H146" s="2">
        <v>0.2</v>
      </c>
      <c r="I146" s="2">
        <f>Table1[[#This Row],[Quantity]]*Table1[[#This Row],[Price]]</f>
        <v>1400</v>
      </c>
      <c r="J146" s="2">
        <v>20</v>
      </c>
      <c r="K146" s="2"/>
      <c r="L146" s="2">
        <f>Table1[[#This Row],[Value]]+Table1[[#This Row],[Brokerage]]+Table1[[#This Row],[Taxes]]</f>
        <v>1420</v>
      </c>
      <c r="M146" s="6" t="str">
        <f>CONCATENATE(Table1[[#This Row],[Contract]]," ",Table1[[#This Row],[Strike Price]],IF(Table1[[#This Row],[Type]]="Put","PE","CE"))</f>
        <v>ASHOKLEY 100PE</v>
      </c>
      <c r="N146" s="1">
        <v>43125</v>
      </c>
      <c r="O146">
        <v>7000</v>
      </c>
      <c r="P146" s="2">
        <v>0</v>
      </c>
      <c r="Q146" s="2">
        <f>Table1[[#This Row],[Quantity2]]*Table1[[#This Row],[Price3]]</f>
        <v>0</v>
      </c>
      <c r="R146" s="2"/>
      <c r="S146" s="2"/>
      <c r="T146" s="2">
        <f>Table1[[#This Row],[Value4]]-Table1[[#This Row],[Brokerage5]]-Table1[[#This Row],[Taxes6]]</f>
        <v>0</v>
      </c>
      <c r="U146" s="2">
        <f>Table1[Value4]-Table1[Value]</f>
        <v>-1400</v>
      </c>
      <c r="V146" s="7">
        <f>(Table1[[#This Row],[Value4]]-Table1[[#This Row],[Value]])/Table1[[#This Row],[Value]]</f>
        <v>-1</v>
      </c>
      <c r="W146" s="15" t="str">
        <f>TEXT(Table1[[#This Row],[Sell Date]],"mmm-yy")</f>
        <v>Jan-18</v>
      </c>
      <c r="X146" s="2" t="s">
        <v>47</v>
      </c>
      <c r="Y146" s="2" t="str">
        <f>TEXT(Table1[[#This Row],[Sell Date]],"ddd")</f>
        <v>Thu</v>
      </c>
      <c r="Z146" s="2" t="s">
        <v>92</v>
      </c>
    </row>
    <row r="147" spans="1:26" x14ac:dyDescent="0.25">
      <c r="A147" s="6">
        <v>143</v>
      </c>
      <c r="B147" s="1">
        <v>43110</v>
      </c>
      <c r="C147" t="s">
        <v>19</v>
      </c>
      <c r="D147">
        <v>26000</v>
      </c>
      <c r="E147" t="s">
        <v>20</v>
      </c>
      <c r="F147" s="1">
        <v>43111</v>
      </c>
      <c r="G147">
        <v>40</v>
      </c>
      <c r="H147" s="2">
        <v>3.05</v>
      </c>
      <c r="I147" s="2">
        <f>Table1[[#This Row],[Quantity]]*Table1[[#This Row],[Price]]</f>
        <v>122</v>
      </c>
      <c r="J147" s="2">
        <v>20</v>
      </c>
      <c r="K147" s="2"/>
      <c r="L147" s="2">
        <f>Table1[[#This Row],[Value]]+Table1[[#This Row],[Brokerage]]+Table1[[#This Row],[Taxes]]</f>
        <v>142</v>
      </c>
      <c r="M147" s="6" t="str">
        <f>CONCATENATE(Table1[[#This Row],[Contract]]," ",Table1[[#This Row],[Strike Price]],IF(Table1[[#This Row],[Type]]="Put","PE","CE"))</f>
        <v>BANKNIFTY 26000CE</v>
      </c>
      <c r="N147" s="1">
        <v>43111</v>
      </c>
      <c r="O147">
        <v>40</v>
      </c>
      <c r="P147" s="2">
        <v>0</v>
      </c>
      <c r="Q147" s="2">
        <f>Table1[[#This Row],[Quantity2]]*Table1[[#This Row],[Price3]]</f>
        <v>0</v>
      </c>
      <c r="R147" s="2"/>
      <c r="S147" s="2"/>
      <c r="T147" s="2">
        <f>Table1[[#This Row],[Value4]]-Table1[[#This Row],[Brokerage5]]-Table1[[#This Row],[Taxes6]]</f>
        <v>0</v>
      </c>
      <c r="U147" s="2">
        <f>Table1[Value4]-Table1[Value]</f>
        <v>-122</v>
      </c>
      <c r="V147" s="7">
        <f>(Table1[[#This Row],[Value4]]-Table1[[#This Row],[Value]])/Table1[[#This Row],[Value]]</f>
        <v>-1</v>
      </c>
      <c r="W147" s="15" t="str">
        <f>TEXT(Table1[[#This Row],[Sell Date]],"mmm-yy")</f>
        <v>Jan-18</v>
      </c>
      <c r="X147" s="2" t="s">
        <v>47</v>
      </c>
      <c r="Y147" s="2" t="str">
        <f>TEXT(Table1[[#This Row],[Sell Date]],"ddd")</f>
        <v>Thu</v>
      </c>
      <c r="Z147" s="2" t="s">
        <v>93</v>
      </c>
    </row>
    <row r="148" spans="1:26" x14ac:dyDescent="0.25">
      <c r="A148" s="6">
        <v>144</v>
      </c>
      <c r="B148" s="1">
        <v>43125</v>
      </c>
      <c r="C148" t="s">
        <v>206</v>
      </c>
      <c r="D148">
        <v>1340</v>
      </c>
      <c r="E148" t="s">
        <v>23</v>
      </c>
      <c r="F148" s="1">
        <v>43125</v>
      </c>
      <c r="G148">
        <v>600</v>
      </c>
      <c r="H148" s="2">
        <v>1</v>
      </c>
      <c r="I148" s="2">
        <f>Table1[[#This Row],[Quantity]]*Table1[[#This Row],[Price]]</f>
        <v>600</v>
      </c>
      <c r="J148" s="2">
        <v>20</v>
      </c>
      <c r="K148" s="2"/>
      <c r="L148" s="2">
        <f>Table1[[#This Row],[Value]]+Table1[[#This Row],[Brokerage]]+Table1[[#This Row],[Taxes]]</f>
        <v>620</v>
      </c>
      <c r="M148" s="6" t="str">
        <f>CONCATENATE(Table1[[#This Row],[Contract]]," ",Table1[[#This Row],[Strike Price]],IF(Table1[[#This Row],[Type]]="Put","PE","CE"))</f>
        <v>HINDUNILVR 1340PE</v>
      </c>
      <c r="N148" s="1">
        <v>43125</v>
      </c>
      <c r="O148">
        <v>600</v>
      </c>
      <c r="P148" s="2">
        <v>1.5</v>
      </c>
      <c r="Q148" s="2">
        <f>Table1[[#This Row],[Quantity2]]*Table1[[#This Row],[Price3]]</f>
        <v>900</v>
      </c>
      <c r="R148" s="2"/>
      <c r="S148" s="2"/>
      <c r="T148" s="2">
        <f>Table1[[#This Row],[Value4]]-Table1[[#This Row],[Brokerage5]]-Table1[[#This Row],[Taxes6]]</f>
        <v>900</v>
      </c>
      <c r="U148" s="2">
        <f>Table1[Value4]-Table1[Value]</f>
        <v>300</v>
      </c>
      <c r="V148" s="7">
        <f>(Table1[[#This Row],[Value4]]-Table1[[#This Row],[Value]])/Table1[[#This Row],[Value]]</f>
        <v>0.5</v>
      </c>
      <c r="W148" s="15" t="str">
        <f>TEXT(Table1[[#This Row],[Sell Date]],"mmm-yy")</f>
        <v>Jan-18</v>
      </c>
      <c r="X148" s="2" t="s">
        <v>47</v>
      </c>
      <c r="Y148" s="2" t="str">
        <f>TEXT(Table1[[#This Row],[Sell Date]],"ddd")</f>
        <v>Thu</v>
      </c>
      <c r="Z148" s="2" t="s">
        <v>92</v>
      </c>
    </row>
    <row r="149" spans="1:26" x14ac:dyDescent="0.25">
      <c r="A149" s="6">
        <v>145</v>
      </c>
      <c r="B149" s="1">
        <v>43125</v>
      </c>
      <c r="C149" t="s">
        <v>19</v>
      </c>
      <c r="D149">
        <v>28000</v>
      </c>
      <c r="E149" t="s">
        <v>20</v>
      </c>
      <c r="F149" s="1">
        <v>43125</v>
      </c>
      <c r="G149">
        <v>120</v>
      </c>
      <c r="H149" s="2">
        <v>1.25</v>
      </c>
      <c r="I149" s="2">
        <f>Table1[[#This Row],[Quantity]]*Table1[[#This Row],[Price]]</f>
        <v>150</v>
      </c>
      <c r="J149" s="2">
        <v>20</v>
      </c>
      <c r="K149" s="2"/>
      <c r="L149" s="2">
        <f>Table1[[#This Row],[Value]]+Table1[[#This Row],[Brokerage]]+Table1[[#This Row],[Taxes]]</f>
        <v>170</v>
      </c>
      <c r="M149" s="6" t="str">
        <f>CONCATENATE(Table1[[#This Row],[Contract]]," ",Table1[[#This Row],[Strike Price]],IF(Table1[[#This Row],[Type]]="Put","PE","CE"))</f>
        <v>BANKNIFTY 28000CE</v>
      </c>
      <c r="N149" s="1">
        <v>43125</v>
      </c>
      <c r="O149">
        <v>120</v>
      </c>
      <c r="P149" s="2">
        <v>0</v>
      </c>
      <c r="Q149" s="2">
        <f>Table1[[#This Row],[Quantity2]]*Table1[[#This Row],[Price3]]</f>
        <v>0</v>
      </c>
      <c r="R149" s="2"/>
      <c r="S149" s="2"/>
      <c r="T149" s="2">
        <f>Table1[[#This Row],[Value4]]-Table1[[#This Row],[Brokerage5]]-Table1[[#This Row],[Taxes6]]</f>
        <v>0</v>
      </c>
      <c r="U149" s="2">
        <f>Table1[Value4]-Table1[Value]</f>
        <v>-150</v>
      </c>
      <c r="V149" s="7">
        <f>(Table1[[#This Row],[Value4]]-Table1[[#This Row],[Value]])/Table1[[#This Row],[Value]]</f>
        <v>-1</v>
      </c>
      <c r="W149" s="15" t="str">
        <f>TEXT(Table1[[#This Row],[Sell Date]],"mmm-yy")</f>
        <v>Jan-18</v>
      </c>
      <c r="X149" s="2" t="s">
        <v>47</v>
      </c>
      <c r="Y149" s="2" t="str">
        <f>TEXT(Table1[[#This Row],[Sell Date]],"ddd")</f>
        <v>Thu</v>
      </c>
      <c r="Z149" s="2" t="s">
        <v>92</v>
      </c>
    </row>
    <row r="150" spans="1:26" x14ac:dyDescent="0.25">
      <c r="A150" s="6">
        <v>146</v>
      </c>
      <c r="B150" s="1">
        <v>43125</v>
      </c>
      <c r="C150" t="s">
        <v>19</v>
      </c>
      <c r="D150">
        <v>27500</v>
      </c>
      <c r="E150" t="s">
        <v>20</v>
      </c>
      <c r="F150" s="1">
        <v>43125</v>
      </c>
      <c r="G150">
        <v>40</v>
      </c>
      <c r="H150" s="2">
        <v>31</v>
      </c>
      <c r="I150" s="2">
        <f>Table1[[#This Row],[Quantity]]*Table1[[#This Row],[Price]]</f>
        <v>1240</v>
      </c>
      <c r="J150" s="2">
        <v>20</v>
      </c>
      <c r="K150" s="2"/>
      <c r="L150" s="2">
        <f>Table1[[#This Row],[Value]]+Table1[[#This Row],[Brokerage]]+Table1[[#This Row],[Taxes]]</f>
        <v>1260</v>
      </c>
      <c r="M150" s="6" t="str">
        <f>CONCATENATE(Table1[[#This Row],[Contract]]," ",Table1[[#This Row],[Strike Price]],IF(Table1[[#This Row],[Type]]="Put","PE","CE"))</f>
        <v>BANKNIFTY 27500CE</v>
      </c>
      <c r="N150" s="1">
        <v>43125</v>
      </c>
      <c r="O150">
        <v>40</v>
      </c>
      <c r="P150" s="2">
        <v>25</v>
      </c>
      <c r="Q150" s="2">
        <f>Table1[[#This Row],[Quantity2]]*Table1[[#This Row],[Price3]]</f>
        <v>1000</v>
      </c>
      <c r="R150" s="2"/>
      <c r="S150" s="2"/>
      <c r="T150" s="2">
        <f>Table1[[#This Row],[Value4]]-Table1[[#This Row],[Brokerage5]]-Table1[[#This Row],[Taxes6]]</f>
        <v>1000</v>
      </c>
      <c r="U150" s="2">
        <f>Table1[Value4]-Table1[Value]</f>
        <v>-240</v>
      </c>
      <c r="V150" s="7">
        <f>(Table1[[#This Row],[Value4]]-Table1[[#This Row],[Value]])/Table1[[#This Row],[Value]]</f>
        <v>-0.19354838709677419</v>
      </c>
      <c r="W150" s="15" t="str">
        <f>TEXT(Table1[[#This Row],[Sell Date]],"mmm-yy")</f>
        <v>Jan-18</v>
      </c>
      <c r="X150" s="2" t="s">
        <v>47</v>
      </c>
      <c r="Y150" s="2" t="str">
        <f>TEXT(Table1[[#This Row],[Sell Date]],"ddd")</f>
        <v>Thu</v>
      </c>
      <c r="Z150" s="2" t="s">
        <v>93</v>
      </c>
    </row>
    <row r="151" spans="1:26" x14ac:dyDescent="0.25">
      <c r="A151" s="6">
        <v>147</v>
      </c>
      <c r="B151" s="1">
        <v>43125</v>
      </c>
      <c r="C151" t="s">
        <v>19</v>
      </c>
      <c r="D151">
        <v>27500</v>
      </c>
      <c r="E151" t="s">
        <v>20</v>
      </c>
      <c r="F151" s="1">
        <v>43125</v>
      </c>
      <c r="G151">
        <v>40</v>
      </c>
      <c r="H151" s="2">
        <v>28</v>
      </c>
      <c r="I151" s="2">
        <f>Table1[[#This Row],[Quantity]]*Table1[[#This Row],[Price]]</f>
        <v>1120</v>
      </c>
      <c r="J151" s="2">
        <v>20</v>
      </c>
      <c r="K151" s="2"/>
      <c r="L151" s="2">
        <f>Table1[[#This Row],[Value]]+Table1[[#This Row],[Brokerage]]+Table1[[#This Row],[Taxes]]</f>
        <v>1140</v>
      </c>
      <c r="M151" s="6" t="str">
        <f>CONCATENATE(Table1[[#This Row],[Contract]]," ",Table1[[#This Row],[Strike Price]],IF(Table1[[#This Row],[Type]]="Put","PE","CE"))</f>
        <v>BANKNIFTY 27500CE</v>
      </c>
      <c r="N151" s="1">
        <v>43125</v>
      </c>
      <c r="O151">
        <v>40</v>
      </c>
      <c r="P151" s="2">
        <v>26</v>
      </c>
      <c r="Q151" s="2">
        <f>Table1[[#This Row],[Quantity2]]*Table1[[#This Row],[Price3]]</f>
        <v>1040</v>
      </c>
      <c r="R151" s="2"/>
      <c r="S151" s="2"/>
      <c r="T151" s="2">
        <f>Table1[[#This Row],[Value4]]-Table1[[#This Row],[Brokerage5]]-Table1[[#This Row],[Taxes6]]</f>
        <v>1040</v>
      </c>
      <c r="U151" s="2">
        <f>Table1[Value4]-Table1[Value]</f>
        <v>-80</v>
      </c>
      <c r="V151" s="7">
        <f>(Table1[[#This Row],[Value4]]-Table1[[#This Row],[Value]])/Table1[[#This Row],[Value]]</f>
        <v>-7.1428571428571425E-2</v>
      </c>
      <c r="W151" s="15" t="str">
        <f>TEXT(Table1[[#This Row],[Sell Date]],"mmm-yy")</f>
        <v>Jan-18</v>
      </c>
      <c r="X151" s="2" t="s">
        <v>47</v>
      </c>
      <c r="Y151" s="2" t="str">
        <f>TEXT(Table1[[#This Row],[Sell Date]],"ddd")</f>
        <v>Thu</v>
      </c>
      <c r="Z151" s="2" t="s">
        <v>93</v>
      </c>
    </row>
    <row r="152" spans="1:26" x14ac:dyDescent="0.25">
      <c r="A152" s="6">
        <v>148</v>
      </c>
      <c r="B152" s="1">
        <v>43125</v>
      </c>
      <c r="C152" t="s">
        <v>19</v>
      </c>
      <c r="D152">
        <v>27100</v>
      </c>
      <c r="E152" t="s">
        <v>23</v>
      </c>
      <c r="F152" s="1">
        <v>43125</v>
      </c>
      <c r="G152">
        <v>40</v>
      </c>
      <c r="H152" s="2">
        <v>19.600000000000001</v>
      </c>
      <c r="I152" s="2">
        <f>Table1[[#This Row],[Quantity]]*Table1[[#This Row],[Price]]</f>
        <v>784</v>
      </c>
      <c r="J152" s="2">
        <v>20</v>
      </c>
      <c r="K152" s="2"/>
      <c r="L152" s="2">
        <f>Table1[[#This Row],[Value]]+Table1[[#This Row],[Brokerage]]+Table1[[#This Row],[Taxes]]</f>
        <v>804</v>
      </c>
      <c r="M152" s="6" t="str">
        <f>CONCATENATE(Table1[[#This Row],[Contract]]," ",Table1[[#This Row],[Strike Price]],IF(Table1[[#This Row],[Type]]="Put","PE","CE"))</f>
        <v>BANKNIFTY 27100PE</v>
      </c>
      <c r="N152" s="1">
        <v>43125</v>
      </c>
      <c r="O152">
        <v>40</v>
      </c>
      <c r="P152" s="2">
        <v>9.5500000000000007</v>
      </c>
      <c r="Q152" s="2">
        <f>Table1[[#This Row],[Quantity2]]*Table1[[#This Row],[Price3]]</f>
        <v>382</v>
      </c>
      <c r="R152" s="2"/>
      <c r="S152" s="2"/>
      <c r="T152" s="2">
        <f>Table1[[#This Row],[Value4]]-Table1[[#This Row],[Brokerage5]]-Table1[[#This Row],[Taxes6]]</f>
        <v>382</v>
      </c>
      <c r="U152" s="2">
        <f>Table1[Value4]-Table1[Value]</f>
        <v>-402</v>
      </c>
      <c r="V152" s="7">
        <f>(Table1[[#This Row],[Value4]]-Table1[[#This Row],[Value]])/Table1[[#This Row],[Value]]</f>
        <v>-0.51275510204081631</v>
      </c>
      <c r="W152" s="15" t="str">
        <f>TEXT(Table1[[#This Row],[Sell Date]],"mmm-yy")</f>
        <v>Jan-18</v>
      </c>
      <c r="X152" s="2" t="s">
        <v>47</v>
      </c>
      <c r="Y152" s="2" t="str">
        <f>TEXT(Table1[[#This Row],[Sell Date]],"ddd")</f>
        <v>Thu</v>
      </c>
      <c r="Z152" s="2" t="s">
        <v>93</v>
      </c>
    </row>
    <row r="153" spans="1:26" x14ac:dyDescent="0.25">
      <c r="A153" s="6">
        <v>149</v>
      </c>
      <c r="B153" s="1">
        <v>43129</v>
      </c>
      <c r="C153" t="s">
        <v>189</v>
      </c>
      <c r="D153">
        <v>120</v>
      </c>
      <c r="E153" t="s">
        <v>20</v>
      </c>
      <c r="F153" s="1">
        <v>43153</v>
      </c>
      <c r="G153">
        <v>5500</v>
      </c>
      <c r="H153" s="2">
        <v>0.55000000000000004</v>
      </c>
      <c r="I153" s="2">
        <f>Table1[[#This Row],[Quantity]]*Table1[[#This Row],[Price]]</f>
        <v>3025.0000000000005</v>
      </c>
      <c r="J153" s="2">
        <v>20</v>
      </c>
      <c r="K153" s="2"/>
      <c r="L153" s="2">
        <f>Table1[[#This Row],[Value]]+Table1[[#This Row],[Brokerage]]+Table1[[#This Row],[Taxes]]</f>
        <v>3045.0000000000005</v>
      </c>
      <c r="M153" s="6" t="str">
        <f>CONCATENATE(Table1[[#This Row],[Contract]]," ",Table1[[#This Row],[Strike Price]],IF(Table1[[#This Row],[Type]]="Put","PE","CE"))</f>
        <v>FEDERALBNK 120CE</v>
      </c>
      <c r="N153" s="1">
        <v>43129</v>
      </c>
      <c r="O153">
        <v>5500</v>
      </c>
      <c r="P153" s="2">
        <v>0.55000000000000004</v>
      </c>
      <c r="Q153" s="2">
        <f>Table1[[#This Row],[Quantity2]]*Table1[[#This Row],[Price3]]</f>
        <v>3025.0000000000005</v>
      </c>
      <c r="R153" s="2"/>
      <c r="S153" s="2"/>
      <c r="T153" s="2">
        <f>Table1[[#This Row],[Value4]]-Table1[[#This Row],[Brokerage5]]-Table1[[#This Row],[Taxes6]]</f>
        <v>3025.0000000000005</v>
      </c>
      <c r="U153" s="2">
        <f>Table1[Value4]-Table1[Value]</f>
        <v>0</v>
      </c>
      <c r="V153" s="7">
        <f>(Table1[[#This Row],[Value4]]-Table1[[#This Row],[Value]])/Table1[[#This Row],[Value]]</f>
        <v>0</v>
      </c>
      <c r="W153" s="15" t="str">
        <f>TEXT(Table1[[#This Row],[Sell Date]],"mmm-yy")</f>
        <v>Jan-18</v>
      </c>
      <c r="X153" s="2" t="s">
        <v>47</v>
      </c>
      <c r="Y153" s="2" t="str">
        <f>TEXT(Table1[[#This Row],[Sell Date]],"ddd")</f>
        <v>Mon</v>
      </c>
      <c r="Z153" s="2" t="s">
        <v>92</v>
      </c>
    </row>
    <row r="154" spans="1:26" x14ac:dyDescent="0.25">
      <c r="A154" s="6">
        <v>150</v>
      </c>
      <c r="B154" s="1">
        <v>43131</v>
      </c>
      <c r="C154" t="s">
        <v>207</v>
      </c>
      <c r="D154">
        <v>410</v>
      </c>
      <c r="E154" t="s">
        <v>20</v>
      </c>
      <c r="F154" s="1">
        <v>43153</v>
      </c>
      <c r="G154">
        <v>1750</v>
      </c>
      <c r="H154" s="2">
        <v>1.4</v>
      </c>
      <c r="I154" s="2">
        <f>Table1[[#This Row],[Quantity]]*Table1[[#This Row],[Price]]</f>
        <v>2450</v>
      </c>
      <c r="J154" s="2">
        <v>20</v>
      </c>
      <c r="K154" s="2"/>
      <c r="L154" s="2">
        <f>Table1[[#This Row],[Value]]+Table1[[#This Row],[Brokerage]]+Table1[[#This Row],[Taxes]]</f>
        <v>2470</v>
      </c>
      <c r="M154" s="6" t="str">
        <f>CONCATENATE(Table1[[#This Row],[Contract]]," ",Table1[[#This Row],[Strike Price]],IF(Table1[[#This Row],[Type]]="Put","PE","CE"))</f>
        <v>VEDL 410CE</v>
      </c>
      <c r="N154" s="1">
        <v>43131</v>
      </c>
      <c r="O154">
        <v>1750</v>
      </c>
      <c r="P154" s="2">
        <v>1.4</v>
      </c>
      <c r="Q154" s="2">
        <f>Table1[[#This Row],[Quantity2]]*Table1[[#This Row],[Price3]]</f>
        <v>2450</v>
      </c>
      <c r="R154" s="2"/>
      <c r="S154" s="2"/>
      <c r="T154" s="2">
        <f>Table1[[#This Row],[Value4]]-Table1[[#This Row],[Brokerage5]]-Table1[[#This Row],[Taxes6]]</f>
        <v>2450</v>
      </c>
      <c r="U154" s="2">
        <f>Table1[Value4]-Table1[Value]</f>
        <v>0</v>
      </c>
      <c r="V154" s="7">
        <f>(Table1[[#This Row],[Value4]]-Table1[[#This Row],[Value]])/Table1[[#This Row],[Value]]</f>
        <v>0</v>
      </c>
      <c r="W154" s="15" t="str">
        <f>TEXT(Table1[[#This Row],[Sell Date]],"mmm-yy")</f>
        <v>Jan-18</v>
      </c>
      <c r="X154" s="2" t="s">
        <v>47</v>
      </c>
      <c r="Y154" s="2" t="str">
        <f>TEXT(Table1[[#This Row],[Sell Date]],"ddd")</f>
        <v>Wed</v>
      </c>
      <c r="Z154" s="2" t="s">
        <v>92</v>
      </c>
    </row>
    <row r="155" spans="1:26" x14ac:dyDescent="0.25">
      <c r="A155" s="6">
        <v>151</v>
      </c>
      <c r="B155" s="1">
        <v>43132</v>
      </c>
      <c r="C155" t="s">
        <v>19</v>
      </c>
      <c r="D155">
        <v>28000</v>
      </c>
      <c r="E155" t="s">
        <v>20</v>
      </c>
      <c r="F155" s="1">
        <v>43132</v>
      </c>
      <c r="G155">
        <v>40</v>
      </c>
      <c r="H155" s="2">
        <v>42.25</v>
      </c>
      <c r="I155" s="2">
        <f>Table1[[#This Row],[Quantity]]*Table1[[#This Row],[Price]]</f>
        <v>1690</v>
      </c>
      <c r="J155" s="2">
        <v>20</v>
      </c>
      <c r="K155" s="2"/>
      <c r="L155" s="2">
        <f>Table1[[#This Row],[Value]]+Table1[[#This Row],[Brokerage]]+Table1[[#This Row],[Taxes]]</f>
        <v>1710</v>
      </c>
      <c r="M155" s="6" t="str">
        <f>CONCATENATE(Table1[[#This Row],[Contract]]," ",Table1[[#This Row],[Strike Price]],IF(Table1[[#This Row],[Type]]="Put","PE","CE"))</f>
        <v>BANKNIFTY 28000CE</v>
      </c>
      <c r="N155" s="1">
        <v>43132</v>
      </c>
      <c r="O155">
        <v>40</v>
      </c>
      <c r="P155" s="2">
        <v>40</v>
      </c>
      <c r="Q155" s="2">
        <f>Table1[[#This Row],[Quantity2]]*Table1[[#This Row],[Price3]]</f>
        <v>1600</v>
      </c>
      <c r="R155" s="2"/>
      <c r="S155" s="2"/>
      <c r="T155" s="2">
        <f>Table1[[#This Row],[Value4]]-Table1[[#This Row],[Brokerage5]]-Table1[[#This Row],[Taxes6]]</f>
        <v>1600</v>
      </c>
      <c r="U155" s="2">
        <f>Table1[Value4]-Table1[Value]</f>
        <v>-90</v>
      </c>
      <c r="V155" s="7">
        <f>(Table1[[#This Row],[Value4]]-Table1[[#This Row],[Value]])/Table1[[#This Row],[Value]]</f>
        <v>-5.3254437869822487E-2</v>
      </c>
      <c r="W155" s="15" t="str">
        <f>TEXT(Table1[[#This Row],[Sell Date]],"mmm-yy")</f>
        <v>Feb-18</v>
      </c>
      <c r="X155" s="2" t="s">
        <v>47</v>
      </c>
      <c r="Y155" s="2" t="str">
        <f>TEXT(Table1[[#This Row],[Sell Date]],"ddd")</f>
        <v>Thu</v>
      </c>
      <c r="Z155" s="2" t="s">
        <v>93</v>
      </c>
    </row>
    <row r="156" spans="1:26" x14ac:dyDescent="0.25">
      <c r="A156" s="6">
        <v>152</v>
      </c>
      <c r="B156" s="1">
        <v>43132</v>
      </c>
      <c r="C156" t="s">
        <v>193</v>
      </c>
      <c r="D156">
        <v>10500</v>
      </c>
      <c r="E156" t="s">
        <v>23</v>
      </c>
      <c r="F156" s="1">
        <v>43153</v>
      </c>
      <c r="G156">
        <v>75</v>
      </c>
      <c r="H156" s="2">
        <v>26.5</v>
      </c>
      <c r="I156" s="2">
        <f>Table1[[#This Row],[Quantity]]*Table1[[#This Row],[Price]]</f>
        <v>1987.5</v>
      </c>
      <c r="J156" s="2">
        <v>20</v>
      </c>
      <c r="K156" s="2"/>
      <c r="L156" s="2">
        <f>Table1[[#This Row],[Value]]+Table1[[#This Row],[Brokerage]]+Table1[[#This Row],[Taxes]]</f>
        <v>2007.5</v>
      </c>
      <c r="M156" s="6" t="str">
        <f>CONCATENATE(Table1[[#This Row],[Contract]]," ",Table1[[#This Row],[Strike Price]],IF(Table1[[#This Row],[Type]]="Put","PE","CE"))</f>
        <v>NIFTY 10500PE</v>
      </c>
      <c r="N156" s="1">
        <v>43132</v>
      </c>
      <c r="O156">
        <v>75</v>
      </c>
      <c r="P156" s="2">
        <v>40</v>
      </c>
      <c r="Q156" s="2">
        <f>Table1[[#This Row],[Quantity2]]*Table1[[#This Row],[Price3]]</f>
        <v>3000</v>
      </c>
      <c r="R156" s="2"/>
      <c r="S156" s="2"/>
      <c r="T156" s="2">
        <f>Table1[[#This Row],[Value4]]-Table1[[#This Row],[Brokerage5]]-Table1[[#This Row],[Taxes6]]</f>
        <v>3000</v>
      </c>
      <c r="U156" s="2">
        <f>Table1[Value4]-Table1[Value]</f>
        <v>1012.5</v>
      </c>
      <c r="V156" s="7">
        <f>(Table1[[#This Row],[Value4]]-Table1[[#This Row],[Value]])/Table1[[#This Row],[Value]]</f>
        <v>0.50943396226415094</v>
      </c>
      <c r="W156" s="15" t="str">
        <f>TEXT(Table1[[#This Row],[Sell Date]],"mmm-yy")</f>
        <v>Feb-18</v>
      </c>
      <c r="X156" s="2" t="s">
        <v>47</v>
      </c>
      <c r="Y156" s="2" t="str">
        <f>TEXT(Table1[[#This Row],[Sell Date]],"ddd")</f>
        <v>Thu</v>
      </c>
      <c r="Z156" s="2" t="s">
        <v>92</v>
      </c>
    </row>
    <row r="157" spans="1:26" x14ac:dyDescent="0.25">
      <c r="A157" s="6">
        <v>153</v>
      </c>
      <c r="B157" s="1">
        <v>43132</v>
      </c>
      <c r="C157" t="s">
        <v>193</v>
      </c>
      <c r="D157">
        <v>10500</v>
      </c>
      <c r="E157" t="s">
        <v>23</v>
      </c>
      <c r="F157" s="1">
        <v>43153</v>
      </c>
      <c r="G157">
        <v>75</v>
      </c>
      <c r="H157" s="2">
        <v>40</v>
      </c>
      <c r="I157" s="2">
        <f>Table1[[#This Row],[Quantity]]*Table1[[#This Row],[Price]]</f>
        <v>3000</v>
      </c>
      <c r="J157" s="2">
        <v>20</v>
      </c>
      <c r="K157" s="2"/>
      <c r="L157" s="2">
        <f>Table1[[#This Row],[Value]]+Table1[[#This Row],[Brokerage]]+Table1[[#This Row],[Taxes]]</f>
        <v>3020</v>
      </c>
      <c r="M157" s="6" t="str">
        <f>CONCATENATE(Table1[[#This Row],[Contract]]," ",Table1[[#This Row],[Strike Price]],IF(Table1[[#This Row],[Type]]="Put","PE","CE"))</f>
        <v>NIFTY 10500PE</v>
      </c>
      <c r="N157" s="1">
        <v>43133</v>
      </c>
      <c r="O157">
        <v>75</v>
      </c>
      <c r="P157" s="2">
        <v>40.6</v>
      </c>
      <c r="Q157" s="2">
        <f>Table1[[#This Row],[Quantity2]]*Table1[[#This Row],[Price3]]</f>
        <v>3045</v>
      </c>
      <c r="R157" s="2"/>
      <c r="S157" s="2"/>
      <c r="T157" s="2">
        <f>Table1[[#This Row],[Value4]]-Table1[[#This Row],[Brokerage5]]-Table1[[#This Row],[Taxes6]]</f>
        <v>3045</v>
      </c>
      <c r="U157" s="2">
        <f>Table1[Value4]-Table1[Value]</f>
        <v>45</v>
      </c>
      <c r="V157" s="7">
        <f>(Table1[[#This Row],[Value4]]-Table1[[#This Row],[Value]])/Table1[[#This Row],[Value]]</f>
        <v>1.4999999999999999E-2</v>
      </c>
      <c r="W157" s="15" t="str">
        <f>TEXT(Table1[[#This Row],[Sell Date]],"mmm-yy")</f>
        <v>Feb-18</v>
      </c>
      <c r="X157" s="2" t="s">
        <v>47</v>
      </c>
      <c r="Y157" s="2" t="str">
        <f>TEXT(Table1[[#This Row],[Sell Date]],"ddd")</f>
        <v>Fri</v>
      </c>
      <c r="Z157" s="2" t="s">
        <v>92</v>
      </c>
    </row>
    <row r="158" spans="1:26" x14ac:dyDescent="0.25">
      <c r="A158" s="6">
        <v>154</v>
      </c>
      <c r="B158" s="1">
        <v>43133</v>
      </c>
      <c r="C158" t="s">
        <v>193</v>
      </c>
      <c r="D158">
        <v>10600</v>
      </c>
      <c r="E158" t="s">
        <v>23</v>
      </c>
      <c r="F158" s="1">
        <v>43153</v>
      </c>
      <c r="G158">
        <v>75</v>
      </c>
      <c r="H158" s="2">
        <v>51</v>
      </c>
      <c r="I158" s="2">
        <f>Table1[[#This Row],[Quantity]]*Table1[[#This Row],[Price]]</f>
        <v>3825</v>
      </c>
      <c r="J158" s="2">
        <v>20</v>
      </c>
      <c r="K158" s="2"/>
      <c r="L158" s="2">
        <f>Table1[[#This Row],[Value]]+Table1[[#This Row],[Brokerage]]+Table1[[#This Row],[Taxes]]</f>
        <v>3845</v>
      </c>
      <c r="M158" s="6" t="str">
        <f>CONCATENATE(Table1[[#This Row],[Contract]]," ",Table1[[#This Row],[Strike Price]],IF(Table1[[#This Row],[Type]]="Put","PE","CE"))</f>
        <v>NIFTY 10600PE</v>
      </c>
      <c r="N158" s="1">
        <v>43133</v>
      </c>
      <c r="O158">
        <v>75</v>
      </c>
      <c r="P158" s="2">
        <v>77</v>
      </c>
      <c r="Q158" s="2">
        <f>Table1[[#This Row],[Quantity2]]*Table1[[#This Row],[Price3]]</f>
        <v>5775</v>
      </c>
      <c r="R158" s="2"/>
      <c r="S158" s="2"/>
      <c r="T158" s="2">
        <f>Table1[[#This Row],[Value4]]-Table1[[#This Row],[Brokerage5]]-Table1[[#This Row],[Taxes6]]</f>
        <v>5775</v>
      </c>
      <c r="U158" s="2">
        <f>Table1[Value4]-Table1[Value]</f>
        <v>1950</v>
      </c>
      <c r="V158" s="7">
        <f>(Table1[[#This Row],[Value4]]-Table1[[#This Row],[Value]])/Table1[[#This Row],[Value]]</f>
        <v>0.50980392156862742</v>
      </c>
      <c r="W158" s="15" t="str">
        <f>TEXT(Table1[[#This Row],[Sell Date]],"mmm-yy")</f>
        <v>Feb-18</v>
      </c>
      <c r="X158" s="2" t="s">
        <v>47</v>
      </c>
      <c r="Y158" s="2" t="str">
        <f>TEXT(Table1[[#This Row],[Sell Date]],"ddd")</f>
        <v>Fri</v>
      </c>
      <c r="Z158" s="2" t="s">
        <v>93</v>
      </c>
    </row>
    <row r="159" spans="1:26" x14ac:dyDescent="0.25">
      <c r="A159" s="6">
        <v>155</v>
      </c>
      <c r="B159" s="1">
        <v>43136</v>
      </c>
      <c r="C159" t="s">
        <v>208</v>
      </c>
      <c r="D159">
        <v>940</v>
      </c>
      <c r="E159" t="s">
        <v>23</v>
      </c>
      <c r="F159" s="1">
        <v>43153</v>
      </c>
      <c r="G159">
        <v>700</v>
      </c>
      <c r="H159" s="2">
        <v>8</v>
      </c>
      <c r="I159" s="2">
        <f>Table1[[#This Row],[Quantity]]*Table1[[#This Row],[Price]]</f>
        <v>5600</v>
      </c>
      <c r="J159" s="2">
        <v>20</v>
      </c>
      <c r="K159" s="2"/>
      <c r="L159" s="2">
        <f>Table1[[#This Row],[Value]]+Table1[[#This Row],[Brokerage]]+Table1[[#This Row],[Taxes]]</f>
        <v>5620</v>
      </c>
      <c r="M159" s="6" t="str">
        <f>CONCATENATE(Table1[[#This Row],[Contract]]," ",Table1[[#This Row],[Strike Price]],IF(Table1[[#This Row],[Type]]="Put","PE","CE"))</f>
        <v>HCLTECH 940PE</v>
      </c>
      <c r="N159" s="1">
        <v>43137</v>
      </c>
      <c r="O159">
        <v>700</v>
      </c>
      <c r="P159" s="2">
        <v>18</v>
      </c>
      <c r="Q159" s="2">
        <f>Table1[[#This Row],[Quantity2]]*Table1[[#This Row],[Price3]]</f>
        <v>12600</v>
      </c>
      <c r="R159" s="2"/>
      <c r="S159" s="2"/>
      <c r="T159" s="2">
        <f>Table1[[#This Row],[Value4]]-Table1[[#This Row],[Brokerage5]]-Table1[[#This Row],[Taxes6]]</f>
        <v>12600</v>
      </c>
      <c r="U159" s="2">
        <f>Table1[Value4]-Table1[Value]</f>
        <v>7000</v>
      </c>
      <c r="V159" s="7">
        <f>(Table1[[#This Row],[Value4]]-Table1[[#This Row],[Value]])/Table1[[#This Row],[Value]]</f>
        <v>1.25</v>
      </c>
      <c r="W159" s="15" t="str">
        <f>TEXT(Table1[[#This Row],[Sell Date]],"mmm-yy")</f>
        <v>Feb-18</v>
      </c>
      <c r="X159" s="2" t="s">
        <v>47</v>
      </c>
      <c r="Y159" s="2" t="str">
        <f>TEXT(Table1[[#This Row],[Sell Date]],"ddd")</f>
        <v>Tue</v>
      </c>
      <c r="Z159" s="2" t="s">
        <v>92</v>
      </c>
    </row>
    <row r="160" spans="1:26" x14ac:dyDescent="0.25">
      <c r="A160" s="6">
        <v>156</v>
      </c>
      <c r="B160" s="1">
        <v>43137</v>
      </c>
      <c r="C160" t="s">
        <v>28</v>
      </c>
      <c r="D160">
        <v>2850</v>
      </c>
      <c r="E160" t="s">
        <v>23</v>
      </c>
      <c r="F160" s="1">
        <v>43153</v>
      </c>
      <c r="G160">
        <v>250</v>
      </c>
      <c r="H160" s="2">
        <v>30</v>
      </c>
      <c r="I160" s="2">
        <f>Table1[[#This Row],[Quantity]]*Table1[[#This Row],[Price]]</f>
        <v>7500</v>
      </c>
      <c r="J160" s="2">
        <v>20</v>
      </c>
      <c r="K160" s="2"/>
      <c r="L160" s="2">
        <f>Table1[[#This Row],[Value]]+Table1[[#This Row],[Brokerage]]+Table1[[#This Row],[Taxes]]</f>
        <v>7520</v>
      </c>
      <c r="M160" s="6" t="str">
        <f>CONCATENATE(Table1[[#This Row],[Contract]]," ",Table1[[#This Row],[Strike Price]],IF(Table1[[#This Row],[Type]]="Put","PE","CE"))</f>
        <v>TCS 2850PE</v>
      </c>
      <c r="N160" s="1">
        <v>43137</v>
      </c>
      <c r="O160">
        <v>250</v>
      </c>
      <c r="P160" s="2">
        <v>29.85</v>
      </c>
      <c r="Q160" s="2">
        <f>Table1[[#This Row],[Quantity2]]*Table1[[#This Row],[Price3]]</f>
        <v>7462.5</v>
      </c>
      <c r="R160" s="2"/>
      <c r="S160" s="2"/>
      <c r="T160" s="2">
        <f>Table1[[#This Row],[Value4]]-Table1[[#This Row],[Brokerage5]]-Table1[[#This Row],[Taxes6]]</f>
        <v>7462.5</v>
      </c>
      <c r="U160" s="2">
        <f>Table1[Value4]-Table1[Value]</f>
        <v>-37.5</v>
      </c>
      <c r="V160" s="7">
        <f>(Table1[[#This Row],[Value4]]-Table1[[#This Row],[Value]])/Table1[[#This Row],[Value]]</f>
        <v>-5.0000000000000001E-3</v>
      </c>
      <c r="W160" s="15" t="str">
        <f>TEXT(Table1[[#This Row],[Sell Date]],"mmm-yy")</f>
        <v>Feb-18</v>
      </c>
      <c r="X160" s="2" t="s">
        <v>47</v>
      </c>
      <c r="Y160" s="2" t="str">
        <f>TEXT(Table1[[#This Row],[Sell Date]],"ddd")</f>
        <v>Tue</v>
      </c>
      <c r="Z160" s="2" t="s">
        <v>93</v>
      </c>
    </row>
    <row r="161" spans="1:26" x14ac:dyDescent="0.25">
      <c r="A161" s="6">
        <v>157</v>
      </c>
      <c r="B161" s="1">
        <v>43137</v>
      </c>
      <c r="C161" t="s">
        <v>193</v>
      </c>
      <c r="D161">
        <v>10300</v>
      </c>
      <c r="E161" t="s">
        <v>23</v>
      </c>
      <c r="F161" s="1">
        <v>43153</v>
      </c>
      <c r="G161">
        <v>75</v>
      </c>
      <c r="H161" s="2">
        <v>101</v>
      </c>
      <c r="I161" s="2">
        <f>Table1[[#This Row],[Quantity]]*Table1[[#This Row],[Price]]</f>
        <v>7575</v>
      </c>
      <c r="J161" s="2">
        <v>20</v>
      </c>
      <c r="K161" s="2"/>
      <c r="L161" s="2">
        <f>Table1[[#This Row],[Value]]+Table1[[#This Row],[Brokerage]]+Table1[[#This Row],[Taxes]]</f>
        <v>7595</v>
      </c>
      <c r="M161" s="6" t="str">
        <f>CONCATENATE(Table1[[#This Row],[Contract]]," ",Table1[[#This Row],[Strike Price]],IF(Table1[[#This Row],[Type]]="Put","PE","CE"))</f>
        <v>NIFTY 10300PE</v>
      </c>
      <c r="N161" s="1">
        <v>43137</v>
      </c>
      <c r="O161">
        <v>75</v>
      </c>
      <c r="P161" s="2">
        <v>102</v>
      </c>
      <c r="Q161" s="2">
        <f>Table1[[#This Row],[Quantity2]]*Table1[[#This Row],[Price3]]</f>
        <v>7650</v>
      </c>
      <c r="R161" s="2"/>
      <c r="S161" s="2"/>
      <c r="T161" s="2">
        <f>Table1[[#This Row],[Value4]]-Table1[[#This Row],[Brokerage5]]-Table1[[#This Row],[Taxes6]]</f>
        <v>7650</v>
      </c>
      <c r="U161" s="2">
        <f>Table1[Value4]-Table1[Value]</f>
        <v>75</v>
      </c>
      <c r="V161" s="7">
        <f>(Table1[[#This Row],[Value4]]-Table1[[#This Row],[Value]])/Table1[[#This Row],[Value]]</f>
        <v>9.9009900990099011E-3</v>
      </c>
      <c r="W161" s="15" t="str">
        <f>TEXT(Table1[[#This Row],[Sell Date]],"mmm-yy")</f>
        <v>Feb-18</v>
      </c>
      <c r="X161" s="2" t="s">
        <v>47</v>
      </c>
      <c r="Y161" s="2" t="str">
        <f>TEXT(Table1[[#This Row],[Sell Date]],"ddd")</f>
        <v>Tue</v>
      </c>
      <c r="Z161" s="2" t="s">
        <v>93</v>
      </c>
    </row>
    <row r="162" spans="1:26" x14ac:dyDescent="0.25">
      <c r="A162" s="6">
        <v>158</v>
      </c>
      <c r="B162" s="1">
        <v>43138</v>
      </c>
      <c r="C162" t="s">
        <v>24</v>
      </c>
      <c r="D162">
        <v>1820</v>
      </c>
      <c r="E162" t="s">
        <v>20</v>
      </c>
      <c r="F162" s="1">
        <v>43153</v>
      </c>
      <c r="G162">
        <v>500</v>
      </c>
      <c r="H162" s="2">
        <v>22.6</v>
      </c>
      <c r="I162" s="2">
        <f>Table1[[#This Row],[Quantity]]*Table1[[#This Row],[Price]]</f>
        <v>11300</v>
      </c>
      <c r="J162" s="2">
        <v>20</v>
      </c>
      <c r="K162" s="2"/>
      <c r="L162" s="2">
        <f>Table1[[#This Row],[Value]]+Table1[[#This Row],[Brokerage]]+Table1[[#This Row],[Taxes]]</f>
        <v>11320</v>
      </c>
      <c r="M162" s="6" t="str">
        <f>CONCATENATE(Table1[[#This Row],[Contract]]," ",Table1[[#This Row],[Strike Price]],IF(Table1[[#This Row],[Type]]="Put","PE","CE"))</f>
        <v>HDFC 1820CE</v>
      </c>
      <c r="N162" s="1">
        <v>43139</v>
      </c>
      <c r="O162">
        <v>500</v>
      </c>
      <c r="P162" s="2">
        <v>32.6</v>
      </c>
      <c r="Q162" s="2">
        <f>Table1[[#This Row],[Quantity2]]*Table1[[#This Row],[Price3]]</f>
        <v>16300</v>
      </c>
      <c r="R162" s="2"/>
      <c r="S162" s="2"/>
      <c r="T162" s="2">
        <f>Table1[[#This Row],[Value4]]-Table1[[#This Row],[Brokerage5]]-Table1[[#This Row],[Taxes6]]</f>
        <v>16300</v>
      </c>
      <c r="U162" s="2">
        <f>Table1[Value4]-Table1[Value]</f>
        <v>5000</v>
      </c>
      <c r="V162" s="7">
        <f>(Table1[[#This Row],[Value4]]-Table1[[#This Row],[Value]])/Table1[[#This Row],[Value]]</f>
        <v>0.44247787610619471</v>
      </c>
      <c r="W162" s="15" t="str">
        <f>TEXT(Table1[[#This Row],[Sell Date]],"mmm-yy")</f>
        <v>Feb-18</v>
      </c>
      <c r="X162" s="2" t="s">
        <v>47</v>
      </c>
      <c r="Y162" s="2" t="str">
        <f>TEXT(Table1[[#This Row],[Sell Date]],"ddd")</f>
        <v>Thu</v>
      </c>
      <c r="Z162" s="2" t="s">
        <v>92</v>
      </c>
    </row>
    <row r="163" spans="1:26" x14ac:dyDescent="0.25">
      <c r="A163" s="6">
        <v>159</v>
      </c>
      <c r="B163" s="1">
        <v>43140</v>
      </c>
      <c r="C163" t="s">
        <v>24</v>
      </c>
      <c r="D163">
        <v>1820</v>
      </c>
      <c r="E163" t="s">
        <v>20</v>
      </c>
      <c r="F163" s="1">
        <v>43153</v>
      </c>
      <c r="G163">
        <v>500</v>
      </c>
      <c r="H163" s="2">
        <v>18</v>
      </c>
      <c r="I163" s="2">
        <f>Table1[[#This Row],[Quantity]]*Table1[[#This Row],[Price]]</f>
        <v>9000</v>
      </c>
      <c r="J163" s="2">
        <v>20</v>
      </c>
      <c r="K163" s="2"/>
      <c r="L163" s="2">
        <f>Table1[[#This Row],[Value]]+Table1[[#This Row],[Brokerage]]+Table1[[#This Row],[Taxes]]</f>
        <v>9020</v>
      </c>
      <c r="M163" s="6" t="str">
        <f>CONCATENATE(Table1[[#This Row],[Contract]]," ",Table1[[#This Row],[Strike Price]],IF(Table1[[#This Row],[Type]]="Put","PE","CE"))</f>
        <v>HDFC 1820CE</v>
      </c>
      <c r="N163" s="1">
        <v>43140</v>
      </c>
      <c r="O163">
        <v>500</v>
      </c>
      <c r="P163" s="2">
        <v>18.5</v>
      </c>
      <c r="Q163" s="2">
        <f>Table1[[#This Row],[Quantity2]]*Table1[[#This Row],[Price3]]</f>
        <v>9250</v>
      </c>
      <c r="R163" s="2"/>
      <c r="S163" s="2"/>
      <c r="T163" s="2">
        <f>Table1[[#This Row],[Value4]]-Table1[[#This Row],[Brokerage5]]-Table1[[#This Row],[Taxes6]]</f>
        <v>9250</v>
      </c>
      <c r="U163" s="2">
        <f>Table1[Value4]-Table1[Value]</f>
        <v>250</v>
      </c>
      <c r="V163" s="7">
        <f>(Table1[[#This Row],[Value4]]-Table1[[#This Row],[Value]])/Table1[[#This Row],[Value]]</f>
        <v>2.7777777777777776E-2</v>
      </c>
      <c r="W163" s="15" t="str">
        <f>TEXT(Table1[[#This Row],[Sell Date]],"mmm-yy")</f>
        <v>Feb-18</v>
      </c>
      <c r="X163" s="2" t="s">
        <v>47</v>
      </c>
      <c r="Y163" s="2" t="str">
        <f>TEXT(Table1[[#This Row],[Sell Date]],"ddd")</f>
        <v>Fri</v>
      </c>
      <c r="Z163" s="2" t="s">
        <v>93</v>
      </c>
    </row>
    <row r="164" spans="1:26" x14ac:dyDescent="0.25">
      <c r="A164" s="6">
        <v>160</v>
      </c>
      <c r="B164" s="1">
        <v>43143</v>
      </c>
      <c r="C164" t="s">
        <v>211</v>
      </c>
      <c r="D164">
        <v>740</v>
      </c>
      <c r="E164" t="s">
        <v>20</v>
      </c>
      <c r="F164" s="1">
        <v>43153</v>
      </c>
      <c r="G164">
        <v>1200</v>
      </c>
      <c r="H164" s="2">
        <v>9.5</v>
      </c>
      <c r="I164" s="2">
        <f>Table1[[#This Row],[Quantity]]*Table1[[#This Row],[Price]]</f>
        <v>11400</v>
      </c>
      <c r="J164" s="2"/>
      <c r="K164" s="2"/>
      <c r="L164" s="2">
        <f>Table1[[#This Row],[Value]]+Table1[[#This Row],[Brokerage]]+Table1[[#This Row],[Taxes]]</f>
        <v>11400</v>
      </c>
      <c r="M164" s="6" t="str">
        <f>CONCATENATE(Table1[[#This Row],[Contract]]," ",Table1[[#This Row],[Strike Price]],IF(Table1[[#This Row],[Type]]="Put","PE","CE"))</f>
        <v>UPL 740CE</v>
      </c>
      <c r="N164" s="1">
        <v>43143</v>
      </c>
      <c r="O164">
        <v>1200</v>
      </c>
      <c r="P164" s="2">
        <v>11.5</v>
      </c>
      <c r="Q164" s="2">
        <f>Table1[[#This Row],[Quantity2]]*Table1[[#This Row],[Price3]]</f>
        <v>13800</v>
      </c>
      <c r="R164" s="2"/>
      <c r="S164" s="2"/>
      <c r="T164" s="2">
        <f>Table1[[#This Row],[Value4]]-Table1[[#This Row],[Brokerage5]]-Table1[[#This Row],[Taxes6]]</f>
        <v>13800</v>
      </c>
      <c r="U164" s="2">
        <f>Table1[Value4]-Table1[Value]</f>
        <v>2400</v>
      </c>
      <c r="V164" s="7">
        <f>(Table1[[#This Row],[Value4]]-Table1[[#This Row],[Value]])/Table1[[#This Row],[Value]]</f>
        <v>0.21052631578947367</v>
      </c>
      <c r="W164" s="15" t="str">
        <f>TEXT(Table1[[#This Row],[Sell Date]],"mmm-yy")</f>
        <v>Feb-18</v>
      </c>
      <c r="X164" s="2" t="s">
        <v>47</v>
      </c>
      <c r="Y164" s="2" t="str">
        <f>TEXT(Table1[[#This Row],[Sell Date]],"ddd")</f>
        <v>Mon</v>
      </c>
      <c r="Z164" s="2" t="s">
        <v>92</v>
      </c>
    </row>
    <row r="165" spans="1:26" x14ac:dyDescent="0.25">
      <c r="A165" s="6">
        <v>161</v>
      </c>
      <c r="B165" s="1">
        <v>43145</v>
      </c>
      <c r="C165" t="s">
        <v>212</v>
      </c>
      <c r="D165">
        <v>250</v>
      </c>
      <c r="E165" t="s">
        <v>20</v>
      </c>
      <c r="F165" s="1">
        <v>43153</v>
      </c>
      <c r="G165">
        <v>3500</v>
      </c>
      <c r="H165" s="2">
        <v>4.0999999999999996</v>
      </c>
      <c r="I165" s="2">
        <f>Table1[[#This Row],[Quantity]]*Table1[[#This Row],[Price]]</f>
        <v>14349.999999999998</v>
      </c>
      <c r="J165" s="2"/>
      <c r="K165" s="2"/>
      <c r="L165" s="2">
        <f>Table1[[#This Row],[Value]]+Table1[[#This Row],[Brokerage]]+Table1[[#This Row],[Taxes]]</f>
        <v>14349.999999999998</v>
      </c>
      <c r="M165" s="6" t="str">
        <f>CONCATENATE(Table1[[#This Row],[Contract]]," ",Table1[[#This Row],[Strike Price]],IF(Table1[[#This Row],[Type]]="Put","PE","CE"))</f>
        <v>HINDALCO 250CE</v>
      </c>
      <c r="N165" s="1">
        <v>43145</v>
      </c>
      <c r="O165">
        <v>3500</v>
      </c>
      <c r="P165" s="2">
        <v>4.1500000000000004</v>
      </c>
      <c r="Q165" s="2">
        <f>Table1[[#This Row],[Quantity2]]*Table1[[#This Row],[Price3]]</f>
        <v>14525.000000000002</v>
      </c>
      <c r="R165" s="2"/>
      <c r="S165" s="2"/>
      <c r="T165" s="2">
        <f>Table1[[#This Row],[Value4]]-Table1[[#This Row],[Brokerage5]]-Table1[[#This Row],[Taxes6]]</f>
        <v>14525.000000000002</v>
      </c>
      <c r="U165" s="2">
        <f>Table1[Value4]-Table1[Value]</f>
        <v>175.00000000000364</v>
      </c>
      <c r="V165" s="7">
        <f>(Table1[[#This Row],[Value4]]-Table1[[#This Row],[Value]])/Table1[[#This Row],[Value]]</f>
        <v>1.2195121951219768E-2</v>
      </c>
      <c r="W165" s="15" t="str">
        <f>TEXT(Table1[[#This Row],[Sell Date]],"mmm-yy")</f>
        <v>Feb-18</v>
      </c>
      <c r="X165" s="2" t="s">
        <v>47</v>
      </c>
      <c r="Y165" s="2" t="str">
        <f>TEXT(Table1[[#This Row],[Sell Date]],"ddd")</f>
        <v>Wed</v>
      </c>
      <c r="Z165" s="2" t="s">
        <v>92</v>
      </c>
    </row>
    <row r="166" spans="1:26" x14ac:dyDescent="0.25">
      <c r="A166" s="6">
        <v>162</v>
      </c>
      <c r="B166" s="1">
        <v>43145</v>
      </c>
      <c r="C166" t="s">
        <v>24</v>
      </c>
      <c r="D166">
        <v>1860</v>
      </c>
      <c r="E166" t="s">
        <v>20</v>
      </c>
      <c r="F166" s="1">
        <v>43153</v>
      </c>
      <c r="G166">
        <v>500</v>
      </c>
      <c r="H166" s="2">
        <v>11</v>
      </c>
      <c r="I166" s="2">
        <f>Table1[[#This Row],[Quantity]]*Table1[[#This Row],[Price]]</f>
        <v>5500</v>
      </c>
      <c r="J166" s="2"/>
      <c r="K166" s="2"/>
      <c r="L166" s="2">
        <f>Table1[[#This Row],[Value]]+Table1[[#This Row],[Brokerage]]+Table1[[#This Row],[Taxes]]</f>
        <v>5500</v>
      </c>
      <c r="M166" s="6" t="str">
        <f>CONCATENATE(Table1[[#This Row],[Contract]]," ",Table1[[#This Row],[Strike Price]],IF(Table1[[#This Row],[Type]]="Put","PE","CE"))</f>
        <v>HDFC 1860CE</v>
      </c>
      <c r="N166" s="1">
        <v>43146</v>
      </c>
      <c r="O166">
        <v>500</v>
      </c>
      <c r="P166" s="2">
        <v>13</v>
      </c>
      <c r="Q166" s="2">
        <f>Table1[[#This Row],[Quantity2]]*Table1[[#This Row],[Price3]]</f>
        <v>6500</v>
      </c>
      <c r="R166" s="2"/>
      <c r="S166" s="2"/>
      <c r="T166" s="2">
        <f>Table1[[#This Row],[Value4]]-Table1[[#This Row],[Brokerage5]]-Table1[[#This Row],[Taxes6]]</f>
        <v>6500</v>
      </c>
      <c r="U166" s="2">
        <f>Table1[Value4]-Table1[Value]</f>
        <v>1000</v>
      </c>
      <c r="V166" s="7">
        <f>(Table1[[#This Row],[Value4]]-Table1[[#This Row],[Value]])/Table1[[#This Row],[Value]]</f>
        <v>0.18181818181818182</v>
      </c>
      <c r="W166" s="15" t="str">
        <f>TEXT(Table1[[#This Row],[Sell Date]],"mmm-yy")</f>
        <v>Feb-18</v>
      </c>
      <c r="X166" s="2" t="s">
        <v>47</v>
      </c>
      <c r="Y166" s="2" t="str">
        <f>TEXT(Table1[[#This Row],[Sell Date]],"ddd")</f>
        <v>Thu</v>
      </c>
      <c r="Z166" s="2" t="s">
        <v>92</v>
      </c>
    </row>
    <row r="167" spans="1:26" x14ac:dyDescent="0.25">
      <c r="A167" s="6">
        <v>163</v>
      </c>
      <c r="B167" s="1">
        <v>43145</v>
      </c>
      <c r="C167" t="s">
        <v>189</v>
      </c>
      <c r="D167">
        <v>100</v>
      </c>
      <c r="E167" t="s">
        <v>20</v>
      </c>
      <c r="F167" s="1">
        <v>43153</v>
      </c>
      <c r="G167">
        <v>5500</v>
      </c>
      <c r="H167" s="2">
        <v>0.9</v>
      </c>
      <c r="I167" s="2">
        <f>Table1[[#This Row],[Quantity]]*Table1[[#This Row],[Price]]</f>
        <v>4950</v>
      </c>
      <c r="J167" s="2"/>
      <c r="K167" s="2"/>
      <c r="L167" s="2">
        <f>Table1[[#This Row],[Value]]+Table1[[#This Row],[Brokerage]]+Table1[[#This Row],[Taxes]]</f>
        <v>4950</v>
      </c>
      <c r="M167" s="6" t="str">
        <f>CONCATENATE(Table1[[#This Row],[Contract]]," ",Table1[[#This Row],[Strike Price]],IF(Table1[[#This Row],[Type]]="Put","PE","CE"))</f>
        <v>FEDERALBNK 100CE</v>
      </c>
      <c r="N167" s="1"/>
      <c r="P167" s="2"/>
      <c r="Q167" s="2">
        <f>Table1[[#This Row],[Quantity2]]*Table1[[#This Row],[Price3]]</f>
        <v>0</v>
      </c>
      <c r="R167" s="2"/>
      <c r="S167" s="2"/>
      <c r="T167" s="2">
        <f>Table1[[#This Row],[Value4]]-Table1[[#This Row],[Brokerage5]]-Table1[[#This Row],[Taxes6]]</f>
        <v>0</v>
      </c>
      <c r="U167" s="2">
        <f>Table1[Value4]-Table1[Value]</f>
        <v>-4950</v>
      </c>
      <c r="V167" s="7">
        <f>(Table1[[#This Row],[Value4]]-Table1[[#This Row],[Value]])/Table1[[#This Row],[Value]]</f>
        <v>-1</v>
      </c>
      <c r="W167" s="15" t="str">
        <f>TEXT(Table1[[#This Row],[Sell Date]],"mmm-yy")</f>
        <v>Jan-00</v>
      </c>
      <c r="X167" s="2" t="s">
        <v>47</v>
      </c>
      <c r="Y167" s="2" t="str">
        <f>TEXT(Table1[[#This Row],[Sell Date]],"ddd")</f>
        <v>Sat</v>
      </c>
      <c r="Z167" s="2" t="s">
        <v>92</v>
      </c>
    </row>
    <row r="168" spans="1:26" x14ac:dyDescent="0.25">
      <c r="A168" s="6">
        <v>164</v>
      </c>
      <c r="B168" s="1">
        <v>43146</v>
      </c>
      <c r="C168" t="s">
        <v>24</v>
      </c>
      <c r="D168">
        <v>1860</v>
      </c>
      <c r="E168" t="s">
        <v>20</v>
      </c>
      <c r="F168" s="1">
        <v>43153</v>
      </c>
      <c r="G168">
        <v>500</v>
      </c>
      <c r="H168" s="2">
        <v>15.5</v>
      </c>
      <c r="I168" s="2">
        <f>Table1[[#This Row],[Quantity]]*Table1[[#This Row],[Price]]</f>
        <v>7750</v>
      </c>
      <c r="J168" s="2"/>
      <c r="K168" s="2"/>
      <c r="L168" s="2">
        <f>Table1[[#This Row],[Value]]+Table1[[#This Row],[Brokerage]]+Table1[[#This Row],[Taxes]]</f>
        <v>7750</v>
      </c>
      <c r="M168" s="6" t="str">
        <f>CONCATENATE(Table1[[#This Row],[Contract]]," ",Table1[[#This Row],[Strike Price]],IF(Table1[[#This Row],[Type]]="Put","PE","CE"))</f>
        <v>HDFC 1860CE</v>
      </c>
      <c r="N168" s="1"/>
      <c r="P168" s="2"/>
      <c r="Q168" s="2">
        <f>Table1[[#This Row],[Quantity2]]*Table1[[#This Row],[Price3]]</f>
        <v>0</v>
      </c>
      <c r="R168" s="2"/>
      <c r="S168" s="2"/>
      <c r="T168" s="2">
        <f>Table1[[#This Row],[Value4]]-Table1[[#This Row],[Brokerage5]]-Table1[[#This Row],[Taxes6]]</f>
        <v>0</v>
      </c>
      <c r="U168" s="2">
        <f>Table1[Value4]-Table1[Value]</f>
        <v>-7750</v>
      </c>
      <c r="V168" s="7">
        <f>(Table1[[#This Row],[Value4]]-Table1[[#This Row],[Value]])/Table1[[#This Row],[Value]]</f>
        <v>-1</v>
      </c>
      <c r="W168" s="15" t="str">
        <f>TEXT(Table1[[#This Row],[Sell Date]],"mmm-yy")</f>
        <v>Jan-00</v>
      </c>
      <c r="X168" s="2" t="s">
        <v>47</v>
      </c>
      <c r="Y168" s="2" t="str">
        <f>TEXT(Table1[[#This Row],[Sell Date]],"ddd")</f>
        <v>Sat</v>
      </c>
      <c r="Z168" s="2" t="s">
        <v>92</v>
      </c>
    </row>
    <row r="169" spans="1:26" x14ac:dyDescent="0.25">
      <c r="A169" s="6">
        <v>165</v>
      </c>
      <c r="B169" s="1">
        <v>43147</v>
      </c>
      <c r="C169" t="s">
        <v>28</v>
      </c>
      <c r="D169">
        <v>2900</v>
      </c>
      <c r="E169" t="s">
        <v>23</v>
      </c>
      <c r="F169" s="1">
        <v>43153</v>
      </c>
      <c r="G169">
        <v>250</v>
      </c>
      <c r="H169" s="2">
        <v>12</v>
      </c>
      <c r="I169" s="2">
        <f>Table1[[#This Row],[Quantity]]*Table1[[#This Row],[Price]]</f>
        <v>3000</v>
      </c>
      <c r="J169" s="2"/>
      <c r="K169" s="2"/>
      <c r="L169" s="2">
        <f>Table1[[#This Row],[Value]]+Table1[[#This Row],[Brokerage]]+Table1[[#This Row],[Taxes]]</f>
        <v>3000</v>
      </c>
      <c r="M169" s="6" t="str">
        <f>CONCATENATE(Table1[[#This Row],[Contract]]," ",Table1[[#This Row],[Strike Price]],IF(Table1[[#This Row],[Type]]="Put","PE","CE"))</f>
        <v>TCS 2900PE</v>
      </c>
      <c r="N169" s="1">
        <v>43147</v>
      </c>
      <c r="O169">
        <v>250</v>
      </c>
      <c r="P169" s="2">
        <v>20</v>
      </c>
      <c r="Q169" s="2">
        <f>Table1[[#This Row],[Quantity2]]*Table1[[#This Row],[Price3]]</f>
        <v>5000</v>
      </c>
      <c r="R169" s="2"/>
      <c r="S169" s="2"/>
      <c r="T169" s="2">
        <f>Table1[[#This Row],[Value4]]-Table1[[#This Row],[Brokerage5]]-Table1[[#This Row],[Taxes6]]</f>
        <v>5000</v>
      </c>
      <c r="U169" s="2">
        <f>Table1[Value4]-Table1[Value]</f>
        <v>2000</v>
      </c>
      <c r="V169" s="7">
        <f>(Table1[[#This Row],[Value4]]-Table1[[#This Row],[Value]])/Table1[[#This Row],[Value]]</f>
        <v>0.66666666666666663</v>
      </c>
      <c r="W169" s="15" t="str">
        <f>TEXT(Table1[[#This Row],[Sell Date]],"mmm-yy")</f>
        <v>Feb-18</v>
      </c>
      <c r="X169" s="2" t="s">
        <v>47</v>
      </c>
      <c r="Y169" s="2" t="str">
        <f>TEXT(Table1[[#This Row],[Sell Date]],"ddd")</f>
        <v>Fri</v>
      </c>
      <c r="Z169" s="2" t="s">
        <v>93</v>
      </c>
    </row>
    <row r="170" spans="1:26" x14ac:dyDescent="0.25">
      <c r="A170" s="6">
        <v>166</v>
      </c>
      <c r="B170" s="1">
        <v>43150</v>
      </c>
      <c r="C170" t="s">
        <v>24</v>
      </c>
      <c r="D170">
        <v>1820</v>
      </c>
      <c r="E170" t="s">
        <v>20</v>
      </c>
      <c r="F170" s="1">
        <v>43153</v>
      </c>
      <c r="G170">
        <v>500</v>
      </c>
      <c r="H170" s="2">
        <v>10.199999999999999</v>
      </c>
      <c r="I170" s="2">
        <f>Table1[[#This Row],[Quantity]]*Table1[[#This Row],[Price]]</f>
        <v>5100</v>
      </c>
      <c r="J170" s="2"/>
      <c r="K170" s="2"/>
      <c r="L170" s="2">
        <f>Table1[[#This Row],[Value]]+Table1[[#This Row],[Brokerage]]+Table1[[#This Row],[Taxes]]</f>
        <v>5100</v>
      </c>
      <c r="M170" s="6" t="str">
        <f>CONCATENATE(Table1[[#This Row],[Contract]]," ",Table1[[#This Row],[Strike Price]],IF(Table1[[#This Row],[Type]]="Put","PE","CE"))</f>
        <v>HDFC 1820CE</v>
      </c>
      <c r="N170" s="1">
        <v>43150</v>
      </c>
      <c r="O170">
        <v>500</v>
      </c>
      <c r="P170" s="2">
        <v>12.2</v>
      </c>
      <c r="Q170" s="2">
        <f>Table1[[#This Row],[Quantity2]]*Table1[[#This Row],[Price3]]</f>
        <v>6100</v>
      </c>
      <c r="R170" s="2"/>
      <c r="S170" s="2"/>
      <c r="T170" s="2">
        <f>Table1[[#This Row],[Value4]]-Table1[[#This Row],[Brokerage5]]-Table1[[#This Row],[Taxes6]]</f>
        <v>6100</v>
      </c>
      <c r="U170" s="2">
        <f>Table1[Value4]-Table1[Value]</f>
        <v>1000</v>
      </c>
      <c r="V170" s="7">
        <f>(Table1[[#This Row],[Value4]]-Table1[[#This Row],[Value]])/Table1[[#This Row],[Value]]</f>
        <v>0.19607843137254902</v>
      </c>
      <c r="W170" s="15" t="str">
        <f>TEXT(Table1[[#This Row],[Sell Date]],"mmm-yy")</f>
        <v>Feb-18</v>
      </c>
      <c r="X170" s="2" t="s">
        <v>47</v>
      </c>
      <c r="Y170" s="2" t="str">
        <f>TEXT(Table1[[#This Row],[Sell Date]],"ddd")</f>
        <v>Mon</v>
      </c>
      <c r="Z170" s="2" t="s">
        <v>93</v>
      </c>
    </row>
    <row r="171" spans="1:26" x14ac:dyDescent="0.25">
      <c r="B171" t="s">
        <v>6</v>
      </c>
      <c r="J171" s="2">
        <f>SUBTOTAL(109,Table1[Brokerage])</f>
        <v>5785</v>
      </c>
      <c r="K171" s="2">
        <f>SUBTOTAL(109,Table1[Taxes])</f>
        <v>475.16999999999996</v>
      </c>
      <c r="L171" s="2">
        <f>SUBTOTAL(109,Table1[Total])</f>
        <v>358230.67</v>
      </c>
      <c r="R171" s="2">
        <f>SUBTOTAL(109,Table1[Brokerage5])</f>
        <v>3060</v>
      </c>
      <c r="S171" s="2">
        <f>SUBTOTAL(109,Table1[Taxes6])</f>
        <v>402.06</v>
      </c>
      <c r="T171" s="2">
        <f>SUBTOTAL(109,Table1[Total7])</f>
        <v>314595.94</v>
      </c>
      <c r="U171" s="2">
        <f>SUBTOTAL(109,Table1[Profit])</f>
        <v>-33912.5</v>
      </c>
      <c r="V171" s="22"/>
    </row>
    <row r="175" spans="1:26" x14ac:dyDescent="0.25">
      <c r="U175" s="2"/>
    </row>
    <row r="176" spans="1:26" x14ac:dyDescent="0.25">
      <c r="U176" s="2"/>
    </row>
  </sheetData>
  <dataValidations count="1">
    <dataValidation type="list" allowBlank="1" showInputMessage="1" showErrorMessage="1" sqref="E5:E170">
      <formula1>$D$1:$D$2</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Lookup!$B$3:$B$4</xm:f>
          </x14:formula1>
          <xm:sqref>X5:X170</xm:sqref>
        </x14:dataValidation>
        <x14:dataValidation type="list" allowBlank="1" showInputMessage="1" showErrorMessage="1">
          <x14:formula1>
            <xm:f>Lookup!$G$3:$G$5</xm:f>
          </x14:formula1>
          <xm:sqref>Z5:Z170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3:G22"/>
  <sheetViews>
    <sheetView workbookViewId="0">
      <selection activeCell="P14" sqref="P14"/>
    </sheetView>
  </sheetViews>
  <sheetFormatPr defaultRowHeight="15" x14ac:dyDescent="0.25"/>
  <cols>
    <col min="1" max="1" width="13.140625" customWidth="1"/>
    <col min="2" max="2" width="12.5703125" bestFit="1" customWidth="1"/>
  </cols>
  <sheetData>
    <row r="3" spans="1:2" x14ac:dyDescent="0.25">
      <c r="A3" s="8" t="s">
        <v>84</v>
      </c>
      <c r="B3" t="s">
        <v>35</v>
      </c>
    </row>
    <row r="4" spans="1:2" x14ac:dyDescent="0.25">
      <c r="A4" s="12" t="s">
        <v>85</v>
      </c>
      <c r="B4" s="6">
        <v>5372</v>
      </c>
    </row>
    <row r="5" spans="1:2" x14ac:dyDescent="0.25">
      <c r="A5" s="12" t="s">
        <v>86</v>
      </c>
      <c r="B5" s="6">
        <v>9995.5</v>
      </c>
    </row>
    <row r="6" spans="1:2" x14ac:dyDescent="0.25">
      <c r="A6" s="12" t="s">
        <v>87</v>
      </c>
      <c r="B6" s="6">
        <v>4615.5000000000036</v>
      </c>
    </row>
    <row r="7" spans="1:2" x14ac:dyDescent="0.25">
      <c r="A7" s="12" t="s">
        <v>88</v>
      </c>
      <c r="B7" s="6">
        <v>-49247</v>
      </c>
    </row>
    <row r="8" spans="1:2" x14ac:dyDescent="0.25">
      <c r="A8" s="12" t="s">
        <v>89</v>
      </c>
      <c r="B8" s="6">
        <v>8051.5</v>
      </c>
    </row>
    <row r="9" spans="1:2" x14ac:dyDescent="0.25">
      <c r="A9" s="12" t="s">
        <v>195</v>
      </c>
      <c r="B9" s="6">
        <v>-12700</v>
      </c>
    </row>
    <row r="10" spans="1:2" x14ac:dyDescent="0.25">
      <c r="A10" s="12" t="s">
        <v>34</v>
      </c>
      <c r="B10" s="6">
        <v>-33912.5</v>
      </c>
    </row>
    <row r="14" spans="1:2" x14ac:dyDescent="0.25">
      <c r="A14" s="8" t="s">
        <v>33</v>
      </c>
      <c r="B14" t="s">
        <v>35</v>
      </c>
    </row>
    <row r="15" spans="1:2" x14ac:dyDescent="0.25">
      <c r="A15" s="12" t="s">
        <v>92</v>
      </c>
      <c r="B15" s="6">
        <v>-34546</v>
      </c>
    </row>
    <row r="16" spans="1:2" x14ac:dyDescent="0.25">
      <c r="A16" s="12" t="s">
        <v>93</v>
      </c>
      <c r="B16" s="6">
        <v>633.5</v>
      </c>
    </row>
    <row r="17" spans="1:7" x14ac:dyDescent="0.25">
      <c r="A17" s="12" t="s">
        <v>34</v>
      </c>
      <c r="B17" s="6">
        <v>-33912.5</v>
      </c>
    </row>
    <row r="20" spans="1:7" x14ac:dyDescent="0.25">
      <c r="F20" t="s">
        <v>92</v>
      </c>
      <c r="G20">
        <f>IFERROR(GETPIVOTDATA("Profit",$A$14,"Call By","Sandeep")-GETPIVOTDATA("Profit",Summary!$A$4,"Month","Jan-00"),GETPIVOTDATA("Profit",$A$14,"Call By","Sandeep"))</f>
        <v>-34546</v>
      </c>
    </row>
    <row r="22" spans="1:7" x14ac:dyDescent="0.25">
      <c r="F22" t="s">
        <v>80</v>
      </c>
      <c r="G22">
        <f>GETPIVOTDATA("Profit",$A$3)-GETPIVOTDATA("Profit",$A$3,"Day","Sat")</f>
        <v>-21212.5</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W19"/>
  <sheetViews>
    <sheetView workbookViewId="0">
      <selection activeCell="B27" sqref="B27"/>
    </sheetView>
  </sheetViews>
  <sheetFormatPr defaultRowHeight="15" x14ac:dyDescent="0.25"/>
  <cols>
    <col min="1" max="1" width="14.140625" customWidth="1"/>
    <col min="2" max="2" width="19.5703125" bestFit="1" customWidth="1"/>
    <col min="3" max="3" width="6.42578125" customWidth="1"/>
    <col min="4" max="5" width="12.5703125" bestFit="1" customWidth="1"/>
    <col min="8" max="8" width="13.140625" bestFit="1" customWidth="1"/>
    <col min="9" max="9" width="12.5703125" bestFit="1" customWidth="1"/>
    <col min="10" max="10" width="13.140625" bestFit="1" customWidth="1"/>
    <col min="11" max="11" width="12.5703125" bestFit="1" customWidth="1"/>
    <col min="12" max="12" width="16.7109375" bestFit="1" customWidth="1"/>
    <col min="13" max="13" width="17.85546875" customWidth="1"/>
  </cols>
  <sheetData>
    <row r="1" spans="1:23" x14ac:dyDescent="0.25">
      <c r="A1" s="8" t="s">
        <v>41</v>
      </c>
      <c r="B1" t="s">
        <v>53</v>
      </c>
    </row>
    <row r="2" spans="1:23" x14ac:dyDescent="0.25">
      <c r="A2" s="8" t="s">
        <v>91</v>
      </c>
      <c r="B2" t="s">
        <v>53</v>
      </c>
    </row>
    <row r="3" spans="1:23" x14ac:dyDescent="0.25">
      <c r="J3" s="8" t="s">
        <v>33</v>
      </c>
      <c r="K3" t="s">
        <v>35</v>
      </c>
      <c r="L3" t="s">
        <v>54</v>
      </c>
      <c r="M3" t="s">
        <v>55</v>
      </c>
    </row>
    <row r="4" spans="1:23" x14ac:dyDescent="0.25">
      <c r="A4" s="8" t="s">
        <v>213</v>
      </c>
      <c r="B4" s="8" t="s">
        <v>9</v>
      </c>
      <c r="C4" s="8" t="s">
        <v>27</v>
      </c>
      <c r="D4" t="s">
        <v>35</v>
      </c>
      <c r="J4" s="12" t="s">
        <v>45</v>
      </c>
      <c r="K4" s="6">
        <v>-13469.5</v>
      </c>
      <c r="L4" s="6">
        <v>3205</v>
      </c>
      <c r="M4" s="6">
        <v>2700</v>
      </c>
    </row>
    <row r="5" spans="1:23" x14ac:dyDescent="0.25">
      <c r="A5" t="s">
        <v>214</v>
      </c>
      <c r="D5" s="6">
        <v>-12700</v>
      </c>
      <c r="J5" s="12" t="s">
        <v>47</v>
      </c>
      <c r="K5" s="6">
        <v>-20442.999999999996</v>
      </c>
      <c r="L5" s="6">
        <v>2580</v>
      </c>
      <c r="M5" s="6">
        <v>360</v>
      </c>
    </row>
    <row r="6" spans="1:23" x14ac:dyDescent="0.25">
      <c r="A6" t="s">
        <v>215</v>
      </c>
      <c r="D6" s="6"/>
      <c r="J6" s="12" t="s">
        <v>34</v>
      </c>
      <c r="K6" s="6">
        <v>-33912.5</v>
      </c>
      <c r="L6" s="6">
        <v>5785</v>
      </c>
      <c r="M6" s="6">
        <v>3060</v>
      </c>
    </row>
    <row r="7" spans="1:23" x14ac:dyDescent="0.25">
      <c r="B7" t="s">
        <v>196</v>
      </c>
      <c r="D7" s="6">
        <v>-3440</v>
      </c>
    </row>
    <row r="8" spans="1:23" x14ac:dyDescent="0.25">
      <c r="B8" t="s">
        <v>197</v>
      </c>
      <c r="D8" s="6">
        <v>-10291.5</v>
      </c>
    </row>
    <row r="9" spans="1:23" x14ac:dyDescent="0.25">
      <c r="B9" t="s">
        <v>198</v>
      </c>
      <c r="D9" s="6">
        <v>-5315</v>
      </c>
    </row>
    <row r="10" spans="1:23" x14ac:dyDescent="0.25">
      <c r="B10" t="s">
        <v>199</v>
      </c>
      <c r="D10" s="6">
        <v>-4532</v>
      </c>
    </row>
    <row r="11" spans="1:23" x14ac:dyDescent="0.25">
      <c r="B11" t="s">
        <v>200</v>
      </c>
      <c r="D11" s="6">
        <v>-7246</v>
      </c>
    </row>
    <row r="12" spans="1:23" x14ac:dyDescent="0.25">
      <c r="B12" t="s">
        <v>201</v>
      </c>
      <c r="D12" s="6">
        <v>-1152</v>
      </c>
    </row>
    <row r="13" spans="1:23" x14ac:dyDescent="0.25">
      <c r="B13" t="s">
        <v>202</v>
      </c>
      <c r="D13" s="6">
        <v>1946</v>
      </c>
      <c r="W13">
        <v>20000</v>
      </c>
    </row>
    <row r="14" spans="1:23" x14ac:dyDescent="0.25">
      <c r="B14" t="s">
        <v>203</v>
      </c>
      <c r="D14" s="6">
        <v>-4138</v>
      </c>
      <c r="W14">
        <v>18780</v>
      </c>
    </row>
    <row r="15" spans="1:23" x14ac:dyDescent="0.25">
      <c r="B15" t="s">
        <v>204</v>
      </c>
      <c r="D15" s="6">
        <v>-6730</v>
      </c>
      <c r="W15">
        <f>W13-W14</f>
        <v>1220</v>
      </c>
    </row>
    <row r="16" spans="1:23" x14ac:dyDescent="0.25">
      <c r="A16" t="s">
        <v>216</v>
      </c>
      <c r="D16" s="6"/>
    </row>
    <row r="17" spans="1:4" x14ac:dyDescent="0.25">
      <c r="B17" t="s">
        <v>209</v>
      </c>
      <c r="D17" s="6">
        <v>-2094</v>
      </c>
    </row>
    <row r="18" spans="1:4" x14ac:dyDescent="0.25">
      <c r="B18" t="s">
        <v>210</v>
      </c>
      <c r="D18" s="6">
        <v>21780.000000000004</v>
      </c>
    </row>
    <row r="19" spans="1:4" x14ac:dyDescent="0.25">
      <c r="A19" t="s">
        <v>34</v>
      </c>
      <c r="D19" s="6">
        <v>-33912.5</v>
      </c>
    </row>
  </sheetData>
  <conditionalFormatting sqref="A3">
    <cfRule type="colorScale" priority="3">
      <colorScale>
        <cfvo type="min"/>
        <cfvo type="percentile" val="50"/>
        <cfvo type="max"/>
        <color rgb="FF63BE7B"/>
        <color rgb="FFFFEB84"/>
        <color rgb="FFF8696B"/>
      </colorScale>
    </cfRule>
  </conditionalFormatting>
  <pageMargins left="0.7" right="0.7" top="0.75" bottom="0.75" header="0.3" footer="0.3"/>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3:AB24"/>
  <sheetViews>
    <sheetView workbookViewId="0">
      <selection activeCell="M30" sqref="M30"/>
    </sheetView>
  </sheetViews>
  <sheetFormatPr defaultRowHeight="15" x14ac:dyDescent="0.25"/>
  <cols>
    <col min="3" max="3" width="11" customWidth="1"/>
    <col min="4" max="4" width="11.5703125" bestFit="1" customWidth="1"/>
    <col min="5" max="5" width="10.85546875" customWidth="1"/>
    <col min="6" max="6" width="10.5703125" bestFit="1" customWidth="1"/>
    <col min="7" max="7" width="11.5703125" bestFit="1" customWidth="1"/>
    <col min="8" max="8" width="13.7109375" customWidth="1"/>
    <col min="10" max="10" width="13.140625" customWidth="1"/>
    <col min="11" max="11" width="10.85546875" bestFit="1" customWidth="1"/>
    <col min="12" max="12" width="13" customWidth="1"/>
    <col min="13" max="13" width="11.28515625" customWidth="1"/>
    <col min="14" max="14" width="11" customWidth="1"/>
    <col min="15" max="15" width="11.85546875" customWidth="1"/>
    <col min="17" max="17" width="10.5703125" bestFit="1" customWidth="1"/>
    <col min="18" max="18" width="13.5703125" customWidth="1"/>
    <col min="20" max="20" width="13" customWidth="1"/>
    <col min="21" max="21" width="9.5703125" customWidth="1"/>
    <col min="22" max="22" width="12.85546875" customWidth="1"/>
    <col min="23" max="23" width="11.28515625" customWidth="1"/>
    <col min="24" max="24" width="11.28515625" bestFit="1" customWidth="1"/>
    <col min="25" max="25" width="13.140625" customWidth="1"/>
  </cols>
  <sheetData>
    <row r="3" spans="1:28" x14ac:dyDescent="0.25">
      <c r="A3" t="s">
        <v>26</v>
      </c>
      <c r="B3" t="s">
        <v>41</v>
      </c>
      <c r="C3" t="s">
        <v>0</v>
      </c>
      <c r="D3" t="s">
        <v>39</v>
      </c>
      <c r="E3" t="s">
        <v>1</v>
      </c>
      <c r="F3" t="s">
        <v>2</v>
      </c>
      <c r="G3" t="s">
        <v>57</v>
      </c>
      <c r="H3" t="s">
        <v>59</v>
      </c>
      <c r="I3" t="s">
        <v>60</v>
      </c>
      <c r="J3" t="s">
        <v>61</v>
      </c>
      <c r="K3" t="s">
        <v>62</v>
      </c>
      <c r="L3" t="s">
        <v>63</v>
      </c>
      <c r="M3" t="s">
        <v>64</v>
      </c>
      <c r="N3" t="s">
        <v>9</v>
      </c>
      <c r="O3" t="s">
        <v>13</v>
      </c>
      <c r="P3" t="s">
        <v>14</v>
      </c>
      <c r="Q3" t="s">
        <v>56</v>
      </c>
      <c r="R3" t="s">
        <v>58</v>
      </c>
      <c r="S3" t="s">
        <v>65</v>
      </c>
      <c r="T3" t="s">
        <v>66</v>
      </c>
      <c r="U3" t="s">
        <v>67</v>
      </c>
      <c r="V3" t="s">
        <v>68</v>
      </c>
      <c r="W3" t="s">
        <v>69</v>
      </c>
      <c r="X3" t="s">
        <v>10</v>
      </c>
      <c r="Y3" t="s">
        <v>97</v>
      </c>
      <c r="Z3" t="s">
        <v>98</v>
      </c>
      <c r="AA3" t="s">
        <v>30</v>
      </c>
      <c r="AB3" t="s">
        <v>40</v>
      </c>
    </row>
    <row r="4" spans="1:28" x14ac:dyDescent="0.25">
      <c r="A4">
        <v>1</v>
      </c>
      <c r="B4" t="s">
        <v>47</v>
      </c>
      <c r="C4" s="1">
        <v>42909</v>
      </c>
      <c r="D4" t="s">
        <v>12</v>
      </c>
      <c r="E4">
        <v>2</v>
      </c>
      <c r="F4" s="2">
        <v>244.6</v>
      </c>
      <c r="G4" s="2">
        <f>Table4[Quantity]*Table4[Price]</f>
        <v>489.2</v>
      </c>
      <c r="H4">
        <v>0.01</v>
      </c>
      <c r="I4" s="2">
        <v>0</v>
      </c>
      <c r="J4" s="2">
        <f>Table4[B Value]*0.00325/100</f>
        <v>1.5899E-2</v>
      </c>
      <c r="K4" s="2">
        <f>(Table4[B Brokerage]+Table4[B Trans Chg])*0.15</f>
        <v>3.8848499999999996E-3</v>
      </c>
      <c r="L4">
        <v>0.05</v>
      </c>
      <c r="M4" s="2">
        <f>Table4[B Value]+Table4[B Brokerage]+Table4[B STT]+Table4[B Trans Chg]+Table4[B S. Tax]+Table4[B SEBI Chgs]</f>
        <v>489.27978385</v>
      </c>
      <c r="N4" s="1">
        <v>42977</v>
      </c>
      <c r="O4">
        <v>2</v>
      </c>
      <c r="P4" s="2">
        <v>240</v>
      </c>
      <c r="Q4" s="2">
        <f>Table4[Quantity2]*Table4[Price3]</f>
        <v>480</v>
      </c>
      <c r="R4" s="2">
        <v>0</v>
      </c>
      <c r="S4" s="2">
        <f>Table4[S Value]*0.1/100</f>
        <v>0.48</v>
      </c>
      <c r="T4" s="2">
        <f>Table4[S Value]*0.00325/100</f>
        <v>1.5599999999999998E-2</v>
      </c>
      <c r="U4" s="2">
        <f>(Table4[S Brokerage]+Table4[S Trans Chg])*0.15</f>
        <v>2.3399999999999996E-3</v>
      </c>
      <c r="V4" s="2">
        <v>0</v>
      </c>
      <c r="W4" s="2">
        <f>Table4[S Value]+Table4[S Brokerage]+Table4[S STT]+Table4[S Trans Chg]+Table4[S S. Tax]+Table4[S SEBI Chgs]</f>
        <v>480.49794000000003</v>
      </c>
      <c r="X4" s="2">
        <f>IF(Table4[[#This Row],[S Value]]=0,0,Table4[[#This Row],[S Value]]-Table4[[#This Row],[B Value]])</f>
        <v>-9.1999999999999886</v>
      </c>
      <c r="Y4" s="2">
        <f>IF(Table4[[#This Row],[S Value]]=0,Table4[[#This Row],[B Value]],0)</f>
        <v>0</v>
      </c>
      <c r="Z4" s="2">
        <f>Table4[[#This Row],[B Brokerage]]+Table4[[#This Row],[B STT]]+Table4[[#This Row],[B Trans Chg]]+Table4[[#This Row],[B S. Tax]]+Table4[[#This Row],[B SEBI Chgs]]+Table4[[#This Row],[S Brokerage]]+Table4[[#This Row],[S STT]]+Table4[[#This Row],[S Trans Chg]]+Table4[[#This Row],[S S. Tax]]+Table4[[#This Row],[S SEBI Chgs]]</f>
        <v>0.57772384999999993</v>
      </c>
      <c r="AA4" s="7">
        <f t="shared" ref="AA4:AA9" si="0">X4/M4</f>
        <v>-1.8803147613432686E-2</v>
      </c>
      <c r="AB4" t="str">
        <f>TEXT(Table4[Sell Date],"mmm-yy")</f>
        <v>Aug-17</v>
      </c>
    </row>
    <row r="5" spans="1:28" x14ac:dyDescent="0.25">
      <c r="A5">
        <v>2</v>
      </c>
      <c r="B5" t="s">
        <v>47</v>
      </c>
      <c r="C5" s="1">
        <v>42915</v>
      </c>
      <c r="D5" t="s">
        <v>70</v>
      </c>
      <c r="E5">
        <v>25</v>
      </c>
      <c r="F5" s="2">
        <v>21</v>
      </c>
      <c r="G5" s="2">
        <f>Table4[Quantity]*Table4[Price]</f>
        <v>525</v>
      </c>
      <c r="H5">
        <v>0.01</v>
      </c>
      <c r="I5" s="2">
        <v>1</v>
      </c>
      <c r="J5" s="2">
        <f>Table4[B Value]*0.00325/100</f>
        <v>1.7062499999999998E-2</v>
      </c>
      <c r="K5" s="2">
        <f>(Table4[B Brokerage]+Table4[B Trans Chg])*0.15</f>
        <v>4.0593749999999996E-3</v>
      </c>
      <c r="L5">
        <v>7.0000000000000007E-2</v>
      </c>
      <c r="M5" s="2">
        <f>Table4[B Value]+Table4[B Brokerage]+Table4[B STT]+Table4[B Trans Chg]+Table4[B S. Tax]+Table4[B SEBI Chgs]</f>
        <v>526.10112187499999</v>
      </c>
      <c r="N5" s="1">
        <v>42929</v>
      </c>
      <c r="O5">
        <v>25</v>
      </c>
      <c r="P5" s="2">
        <v>21.5</v>
      </c>
      <c r="Q5" s="2">
        <f>Table4[Quantity2]*Table4[Price3]</f>
        <v>537.5</v>
      </c>
      <c r="R5" s="2"/>
      <c r="S5" s="2">
        <f>Table4[S Value]*0.1/100</f>
        <v>0.53749999999999998</v>
      </c>
      <c r="T5" s="2">
        <f>Table4[S Value]*0.00325/100</f>
        <v>1.7468749999999998E-2</v>
      </c>
      <c r="U5" s="2">
        <f>(Table4[S Brokerage]+Table4[S Trans Chg])*0.15</f>
        <v>2.6203124999999998E-3</v>
      </c>
      <c r="V5" s="2"/>
      <c r="W5" s="2">
        <f>Table4[S Value]+Table4[S Brokerage]+Table4[S STT]+Table4[S Trans Chg]+Table4[S S. Tax]+Table4[S SEBI Chgs]</f>
        <v>538.05758906250003</v>
      </c>
      <c r="X5" s="2">
        <f>IF(Table4[[#This Row],[S Value]]=0,0,Table4[[#This Row],[S Value]]-Table4[[#This Row],[B Value]])</f>
        <v>12.5</v>
      </c>
      <c r="Y5" s="2">
        <f>IF(Table4[[#This Row],[S Value]]=0,Table4[[#This Row],[B Value]],0)</f>
        <v>0</v>
      </c>
      <c r="Z5" s="2">
        <f>Table4[[#This Row],[B Brokerage]]+Table4[[#This Row],[B STT]]+Table4[[#This Row],[B Trans Chg]]+Table4[[#This Row],[B S. Tax]]+Table4[[#This Row],[B SEBI Chgs]]+Table4[[#This Row],[S Brokerage]]+Table4[[#This Row],[S STT]]+Table4[[#This Row],[S Trans Chg]]+Table4[[#This Row],[S S. Tax]]+Table4[[#This Row],[S SEBI Chgs]]</f>
        <v>1.6587109375</v>
      </c>
      <c r="AA5" s="13">
        <f t="shared" si="0"/>
        <v>2.3759690827973488E-2</v>
      </c>
      <c r="AB5" t="str">
        <f>TEXT(Table4[Sell Date],"mmm-yy")</f>
        <v>Jul-17</v>
      </c>
    </row>
    <row r="6" spans="1:28" x14ac:dyDescent="0.25">
      <c r="A6">
        <v>3</v>
      </c>
      <c r="B6" t="s">
        <v>47</v>
      </c>
      <c r="C6" s="1">
        <v>42915</v>
      </c>
      <c r="D6" t="s">
        <v>71</v>
      </c>
      <c r="E6">
        <v>5</v>
      </c>
      <c r="F6" s="2">
        <v>39.6</v>
      </c>
      <c r="G6" s="2">
        <f>Table4[Quantity]*Table4[Price]</f>
        <v>198</v>
      </c>
      <c r="I6" s="2">
        <v>0</v>
      </c>
      <c r="J6" s="2">
        <v>0</v>
      </c>
      <c r="K6" s="2">
        <f>(Table4[B Brokerage]+Table4[B Trans Chg])*0.15</f>
        <v>0</v>
      </c>
      <c r="M6" s="2">
        <f>Table4[B Value]+Table4[B Brokerage]+Table4[B STT]+Table4[B Trans Chg]+Table4[B S. Tax]+Table4[B SEBI Chgs]</f>
        <v>198</v>
      </c>
      <c r="N6" s="1"/>
      <c r="P6" s="2"/>
      <c r="Q6" s="2">
        <f>Table4[Quantity2]*Table4[Price3]</f>
        <v>0</v>
      </c>
      <c r="R6" s="2"/>
      <c r="S6" s="2">
        <f>Table4[S Value]*0.1/100</f>
        <v>0</v>
      </c>
      <c r="T6" s="2">
        <f>Table4[S Value]*0.00325/100</f>
        <v>0</v>
      </c>
      <c r="U6" s="2">
        <f>(Table4[S Brokerage]+Table4[S Trans Chg])*0.15</f>
        <v>0</v>
      </c>
      <c r="V6" s="2"/>
      <c r="W6" s="2">
        <f>Table4[S Value]+Table4[S Brokerage]+Table4[S STT]+Table4[S Trans Chg]+Table4[S S. Tax]+Table4[S SEBI Chgs]</f>
        <v>0</v>
      </c>
      <c r="X6" s="2">
        <f>IF(Table4[[#This Row],[S Value]]=0,0,Table4[[#This Row],[S Value]]-Table4[[#This Row],[B Value]])</f>
        <v>0</v>
      </c>
      <c r="Y6" s="2">
        <f>IF(Table4[[#This Row],[S Value]]=0,Table4[[#This Row],[B Value]],0)</f>
        <v>198</v>
      </c>
      <c r="Z6" s="2">
        <f>Table4[[#This Row],[B Brokerage]]+Table4[[#This Row],[B STT]]+Table4[[#This Row],[B Trans Chg]]+Table4[[#This Row],[B S. Tax]]+Table4[[#This Row],[B SEBI Chgs]]+Table4[[#This Row],[S Brokerage]]+Table4[[#This Row],[S STT]]+Table4[[#This Row],[S Trans Chg]]+Table4[[#This Row],[S S. Tax]]+Table4[[#This Row],[S SEBI Chgs]]</f>
        <v>0</v>
      </c>
      <c r="AA6" s="13">
        <f t="shared" si="0"/>
        <v>0</v>
      </c>
      <c r="AB6" t="str">
        <f>TEXT(Table4[Sell Date],"mmm-yy")</f>
        <v>Jan-00</v>
      </c>
    </row>
    <row r="7" spans="1:28" x14ac:dyDescent="0.25">
      <c r="A7">
        <v>4</v>
      </c>
      <c r="B7" t="s">
        <v>47</v>
      </c>
      <c r="C7" s="1">
        <v>42916</v>
      </c>
      <c r="D7" t="s">
        <v>72</v>
      </c>
      <c r="E7">
        <v>2</v>
      </c>
      <c r="F7" s="2">
        <v>54.3</v>
      </c>
      <c r="G7" s="2">
        <f>Table4[Quantity]*Table4[Price]</f>
        <v>108.6</v>
      </c>
      <c r="I7" s="2">
        <v>0</v>
      </c>
      <c r="J7" s="2">
        <f>Table4[B Value]*0.00325/100</f>
        <v>3.5294999999999997E-3</v>
      </c>
      <c r="K7" s="2">
        <f>(Table4[B Brokerage]+Table4[B Trans Chg])*0.15</f>
        <v>5.2942499999999993E-4</v>
      </c>
      <c r="M7" s="2">
        <f>Table4[B Value]+Table4[B Brokerage]+Table4[B STT]+Table4[B Trans Chg]+Table4[B S. Tax]+Table4[B SEBI Chgs]</f>
        <v>108.60405892499999</v>
      </c>
      <c r="N7" s="1">
        <v>42996</v>
      </c>
      <c r="O7">
        <v>2</v>
      </c>
      <c r="P7" s="2">
        <v>57.3</v>
      </c>
      <c r="Q7" s="2">
        <f>Table4[Quantity2]*Table4[Price3]</f>
        <v>114.6</v>
      </c>
      <c r="R7" s="2"/>
      <c r="S7" s="2">
        <f>Table4[S Value]*0.1/100</f>
        <v>0.11460000000000001</v>
      </c>
      <c r="T7" s="2">
        <f>Table4[S Value]*0.00325/100</f>
        <v>3.7244999999999995E-3</v>
      </c>
      <c r="U7" s="2">
        <f>(Table4[S Brokerage]+Table4[S Trans Chg])*0.15</f>
        <v>5.5867499999999991E-4</v>
      </c>
      <c r="V7" s="2"/>
      <c r="W7" s="2">
        <f>Table4[S Value]+Table4[S Brokerage]+Table4[S STT]+Table4[S Trans Chg]+Table4[S S. Tax]+Table4[S SEBI Chgs]</f>
        <v>114.71888317499999</v>
      </c>
      <c r="X7" s="2">
        <f>IF(Table4[[#This Row],[S Value]]=0,0,Table4[[#This Row],[S Value]]-Table4[[#This Row],[B Value]])</f>
        <v>6</v>
      </c>
      <c r="Y7" s="2">
        <f>IF(Table4[[#This Row],[S Value]]=0,Table4[[#This Row],[B Value]],0)</f>
        <v>0</v>
      </c>
      <c r="Z7" s="2">
        <f>Table4[[#This Row],[B Brokerage]]+Table4[[#This Row],[B STT]]+Table4[[#This Row],[B Trans Chg]]+Table4[[#This Row],[B S. Tax]]+Table4[[#This Row],[B SEBI Chgs]]+Table4[[#This Row],[S Brokerage]]+Table4[[#This Row],[S STT]]+Table4[[#This Row],[S Trans Chg]]+Table4[[#This Row],[S S. Tax]]+Table4[[#This Row],[S SEBI Chgs]]</f>
        <v>0.12294210000000001</v>
      </c>
      <c r="AA7" s="13">
        <f t="shared" si="0"/>
        <v>5.5246553944576712E-2</v>
      </c>
      <c r="AB7" t="str">
        <f>TEXT(Table4[Sell Date],"mmm-yy")</f>
        <v>Sep-17</v>
      </c>
    </row>
    <row r="8" spans="1:28" x14ac:dyDescent="0.25">
      <c r="A8">
        <v>5</v>
      </c>
      <c r="B8" t="s">
        <v>47</v>
      </c>
      <c r="C8" s="1">
        <v>42919</v>
      </c>
      <c r="D8" t="s">
        <v>74</v>
      </c>
      <c r="E8">
        <v>25</v>
      </c>
      <c r="F8" s="2">
        <v>19</v>
      </c>
      <c r="G8" s="2">
        <f>Table4[Quantity]*Table4[Price]</f>
        <v>475</v>
      </c>
      <c r="I8" s="2">
        <f>Table4[B Value]*0.1/100</f>
        <v>0.47499999999999998</v>
      </c>
      <c r="J8" s="2">
        <f>Table4[B Value]*0.00325/100</f>
        <v>1.54375E-2</v>
      </c>
      <c r="K8" s="2">
        <f>(Table4[B Brokerage]+Table4[B Trans Chg])*0.15</f>
        <v>2.315625E-3</v>
      </c>
      <c r="M8" s="2">
        <f>Table4[B Value]+Table4[B Brokerage]+Table4[B STT]+Table4[B Trans Chg]+Table4[B S. Tax]+Table4[B SEBI Chgs]</f>
        <v>475.49275312500004</v>
      </c>
      <c r="N8" s="1">
        <v>42929</v>
      </c>
      <c r="O8">
        <v>25</v>
      </c>
      <c r="P8" s="2">
        <v>19.100000000000001</v>
      </c>
      <c r="Q8" s="2">
        <f>Table4[Quantity2]*Table4[Price3]</f>
        <v>477.50000000000006</v>
      </c>
      <c r="R8" s="2"/>
      <c r="S8" s="2">
        <f>Table4[S Value]*0.1/100</f>
        <v>0.47750000000000009</v>
      </c>
      <c r="T8" s="2">
        <f>Table4[S Value]*0.00325/100</f>
        <v>1.5518750000000001E-2</v>
      </c>
      <c r="U8" s="2">
        <f>(Table4[S Brokerage]+Table4[S Trans Chg])*0.15</f>
        <v>2.3278125E-3</v>
      </c>
      <c r="V8" s="2"/>
      <c r="W8" s="2">
        <f>Table4[S Value]+Table4[S Brokerage]+Table4[S STT]+Table4[S Trans Chg]+Table4[S S. Tax]+Table4[S SEBI Chgs]</f>
        <v>477.99534656250012</v>
      </c>
      <c r="X8" s="2">
        <f>IF(Table4[[#This Row],[S Value]]=0,0,Table4[[#This Row],[S Value]]-Table4[[#This Row],[B Value]])</f>
        <v>2.5000000000000568</v>
      </c>
      <c r="Y8" s="2">
        <f>IF(Table4[[#This Row],[S Value]]=0,Table4[[#This Row],[B Value]],0)</f>
        <v>0</v>
      </c>
      <c r="Z8" s="2">
        <f>Table4[[#This Row],[B Brokerage]]+Table4[[#This Row],[B STT]]+Table4[[#This Row],[B Trans Chg]]+Table4[[#This Row],[B S. Tax]]+Table4[[#This Row],[B SEBI Chgs]]+Table4[[#This Row],[S Brokerage]]+Table4[[#This Row],[S STT]]+Table4[[#This Row],[S Trans Chg]]+Table4[[#This Row],[S S. Tax]]+Table4[[#This Row],[S SEBI Chgs]]</f>
        <v>0.9880996875000001</v>
      </c>
      <c r="AA8" s="13">
        <f t="shared" si="0"/>
        <v>5.2577036843773801E-3</v>
      </c>
      <c r="AB8" t="str">
        <f>TEXT(Table4[Sell Date],"mmm-yy")</f>
        <v>Jul-17</v>
      </c>
    </row>
    <row r="9" spans="1:28" x14ac:dyDescent="0.25">
      <c r="A9">
        <v>6</v>
      </c>
      <c r="B9" t="s">
        <v>47</v>
      </c>
      <c r="C9" s="1">
        <v>42923</v>
      </c>
      <c r="D9" t="s">
        <v>90</v>
      </c>
      <c r="E9">
        <v>3</v>
      </c>
      <c r="F9" s="2">
        <v>95.4</v>
      </c>
      <c r="G9" s="2">
        <f>Table4[Quantity]*Table4[Price]</f>
        <v>286.20000000000005</v>
      </c>
      <c r="I9" s="2">
        <f>Table4[B Value]*0.1/100</f>
        <v>0.28620000000000007</v>
      </c>
      <c r="J9" s="2">
        <f>Table4[B Value]*0.00325/100</f>
        <v>9.3015000000000007E-3</v>
      </c>
      <c r="K9" s="2">
        <f>(Table4[B Brokerage]+Table4[B Trans Chg])*0.15</f>
        <v>1.3952250000000002E-3</v>
      </c>
      <c r="M9" s="2">
        <f>Table4[B Value]+Table4[B Brokerage]+Table4[B STT]+Table4[B Trans Chg]+Table4[B S. Tax]+Table4[B SEBI Chgs]</f>
        <v>286.49689672500006</v>
      </c>
      <c r="N9" s="1">
        <v>42929</v>
      </c>
      <c r="O9">
        <v>3</v>
      </c>
      <c r="P9" s="2">
        <v>100</v>
      </c>
      <c r="Q9" s="2">
        <f>Table4[Quantity2]*Table4[Price3]</f>
        <v>300</v>
      </c>
      <c r="R9" s="2"/>
      <c r="S9" s="2">
        <f>Table4[S Value]*0.1/100</f>
        <v>0.3</v>
      </c>
      <c r="T9" s="2">
        <f>Table4[S Value]*0.00325/100</f>
        <v>9.75E-3</v>
      </c>
      <c r="U9" s="2">
        <f>(Table4[S Brokerage]+Table4[S Trans Chg])*0.15</f>
        <v>1.4625E-3</v>
      </c>
      <c r="V9" s="2"/>
      <c r="W9" s="2">
        <f>Table4[S Value]+Table4[S Brokerage]+Table4[S STT]+Table4[S Trans Chg]+Table4[S S. Tax]+Table4[S SEBI Chgs]</f>
        <v>300.31121250000001</v>
      </c>
      <c r="X9" s="2">
        <f>IF(Table4[[#This Row],[S Value]]=0,0,Table4[[#This Row],[S Value]]-Table4[[#This Row],[B Value]])</f>
        <v>13.799999999999955</v>
      </c>
      <c r="Y9" s="2">
        <f>IF(Table4[[#This Row],[S Value]]=0,Table4[[#This Row],[B Value]],0)</f>
        <v>0</v>
      </c>
      <c r="Z9" s="2">
        <f>Table4[[#This Row],[B Brokerage]]+Table4[[#This Row],[B STT]]+Table4[[#This Row],[B Trans Chg]]+Table4[[#This Row],[B S. Tax]]+Table4[[#This Row],[B SEBI Chgs]]+Table4[[#This Row],[S Brokerage]]+Table4[[#This Row],[S STT]]+Table4[[#This Row],[S Trans Chg]]+Table4[[#This Row],[S S. Tax]]+Table4[[#This Row],[S SEBI Chgs]]</f>
        <v>0.6081092250000002</v>
      </c>
      <c r="AA9" s="13">
        <f t="shared" si="0"/>
        <v>4.8168061007816669E-2</v>
      </c>
      <c r="AB9" t="str">
        <f>TEXT(Table4[Sell Date],"mmm-yy")</f>
        <v>Jul-17</v>
      </c>
    </row>
    <row r="10" spans="1:28" x14ac:dyDescent="0.25">
      <c r="A10">
        <v>7</v>
      </c>
      <c r="B10" t="s">
        <v>47</v>
      </c>
      <c r="C10" s="1">
        <v>42956</v>
      </c>
      <c r="D10" t="s">
        <v>100</v>
      </c>
      <c r="E10">
        <v>5</v>
      </c>
      <c r="F10" s="2">
        <v>86.8</v>
      </c>
      <c r="G10" s="2">
        <f>Table4[Quantity]*Table4[Price]</f>
        <v>434</v>
      </c>
      <c r="I10" s="2">
        <f>Table4[B Value]*0.1/100</f>
        <v>0.43400000000000005</v>
      </c>
      <c r="J10" s="2">
        <f>Table4[B Value]*0.00325/100</f>
        <v>1.4104999999999999E-2</v>
      </c>
      <c r="K10" s="2">
        <f>(Table4[B Brokerage]+Table4[B Trans Chg])*0.15</f>
        <v>2.11575E-3</v>
      </c>
      <c r="M10" s="2">
        <f>Table4[B Value]+Table4[B Brokerage]+Table4[B STT]+Table4[B Trans Chg]+Table4[B S. Tax]+Table4[B SEBI Chgs]</f>
        <v>434.45022074999997</v>
      </c>
      <c r="N10" s="1">
        <v>42956</v>
      </c>
      <c r="O10">
        <v>5</v>
      </c>
      <c r="P10" s="2">
        <v>90.5</v>
      </c>
      <c r="Q10" s="2">
        <f>Table4[Quantity2]*Table4[Price3]</f>
        <v>452.5</v>
      </c>
      <c r="R10" s="2"/>
      <c r="S10" s="2">
        <f>Table4[S Value]*0.1/100</f>
        <v>0.45250000000000001</v>
      </c>
      <c r="T10" s="2">
        <f>Table4[S Value]*0.00325/100</f>
        <v>1.4706249999999999E-2</v>
      </c>
      <c r="U10" s="2">
        <f>(Table4[S Brokerage]+Table4[S Trans Chg])*0.15</f>
        <v>2.2059374999999996E-3</v>
      </c>
      <c r="V10" s="2"/>
      <c r="W10" s="2">
        <f>Table4[S Value]+Table4[S Brokerage]+Table4[S STT]+Table4[S Trans Chg]+Table4[S S. Tax]+Table4[S SEBI Chgs]</f>
        <v>452.96941218749998</v>
      </c>
      <c r="X10" s="2">
        <f>IF(Table4[[#This Row],[S Value]]=0,0,Table4[[#This Row],[S Value]]-Table4[[#This Row],[B Value]])</f>
        <v>18.5</v>
      </c>
      <c r="Y10" s="2">
        <f>IF(Table4[[#This Row],[S Value]]=0,Table4[[#This Row],[B Value]],0)</f>
        <v>0</v>
      </c>
      <c r="Z10" s="2">
        <f>Table4[[#This Row],[B Brokerage]]+Table4[[#This Row],[B STT]]+Table4[[#This Row],[B Trans Chg]]+Table4[[#This Row],[B S. Tax]]+Table4[[#This Row],[B SEBI Chgs]]+Table4[[#This Row],[S Brokerage]]+Table4[[#This Row],[S STT]]+Table4[[#This Row],[S Trans Chg]]+Table4[[#This Row],[S S. Tax]]+Table4[[#This Row],[S SEBI Chgs]]</f>
        <v>0.91963293750000008</v>
      </c>
      <c r="AA10" s="13">
        <f t="shared" ref="AA10:AA22" si="1">X10/M10</f>
        <v>4.2582554033608465E-2</v>
      </c>
      <c r="AB10" t="str">
        <f>TEXT(Table4[Sell Date],"mmm-yy")</f>
        <v>Aug-17</v>
      </c>
    </row>
    <row r="11" spans="1:28" x14ac:dyDescent="0.25">
      <c r="A11">
        <v>8</v>
      </c>
      <c r="B11" t="s">
        <v>47</v>
      </c>
      <c r="C11" s="1">
        <v>42958</v>
      </c>
      <c r="D11" t="s">
        <v>101</v>
      </c>
      <c r="F11" s="2"/>
      <c r="G11" s="2">
        <f>Table4[Quantity]*Table4[Price]</f>
        <v>0</v>
      </c>
      <c r="I11" s="2">
        <f>Table4[B Value]*0.1/100</f>
        <v>0</v>
      </c>
      <c r="J11" s="2">
        <f>Table4[B Value]*0.00325/100</f>
        <v>0</v>
      </c>
      <c r="K11" s="2">
        <f>(Table4[B Brokerage]+Table4[B Trans Chg])*0.15</f>
        <v>0</v>
      </c>
      <c r="M11" s="2">
        <f>Table4[B Value]+Table4[B Brokerage]+Table4[B STT]+Table4[B Trans Chg]+Table4[B S. Tax]+Table4[B SEBI Chgs]</f>
        <v>0</v>
      </c>
      <c r="N11" s="1"/>
      <c r="P11" s="2"/>
      <c r="Q11" s="2">
        <f>Table4[Quantity2]*Table4[Price3]</f>
        <v>0</v>
      </c>
      <c r="R11" s="2"/>
      <c r="S11" s="2">
        <f>Table4[S Value]*0.1/100</f>
        <v>0</v>
      </c>
      <c r="T11" s="2">
        <f>Table4[S Value]*0.00325/100</f>
        <v>0</v>
      </c>
      <c r="U11" s="2">
        <f>(Table4[S Brokerage]+Table4[S Trans Chg])*0.15</f>
        <v>0</v>
      </c>
      <c r="V11" s="2"/>
      <c r="W11" s="2">
        <f>Table4[S Value]+Table4[S Brokerage]+Table4[S STT]+Table4[S Trans Chg]+Table4[S S. Tax]+Table4[S SEBI Chgs]</f>
        <v>0</v>
      </c>
      <c r="X11" s="2">
        <f>IF(Table4[[#This Row],[S Value]]=0,0,Table4[[#This Row],[S Value]]-Table4[[#This Row],[B Value]])</f>
        <v>0</v>
      </c>
      <c r="Y11" s="2">
        <f>IF(Table4[[#This Row],[S Value]]=0,Table4[[#This Row],[B Value]],0)</f>
        <v>0</v>
      </c>
      <c r="Z11" s="2">
        <f>Table4[[#This Row],[B Brokerage]]+Table4[[#This Row],[B STT]]+Table4[[#This Row],[B Trans Chg]]+Table4[[#This Row],[B S. Tax]]+Table4[[#This Row],[B SEBI Chgs]]+Table4[[#This Row],[S Brokerage]]+Table4[[#This Row],[S STT]]+Table4[[#This Row],[S Trans Chg]]+Table4[[#This Row],[S S. Tax]]+Table4[[#This Row],[S SEBI Chgs]]</f>
        <v>0</v>
      </c>
      <c r="AA11" s="13" t="e">
        <f t="shared" si="1"/>
        <v>#DIV/0!</v>
      </c>
      <c r="AB11" t="str">
        <f>TEXT(Table4[Sell Date],"mmm-yy")</f>
        <v>Jan-00</v>
      </c>
    </row>
    <row r="12" spans="1:28" x14ac:dyDescent="0.25">
      <c r="A12">
        <v>9</v>
      </c>
      <c r="B12" t="s">
        <v>47</v>
      </c>
      <c r="C12" s="1">
        <v>42984</v>
      </c>
      <c r="D12" t="s">
        <v>114</v>
      </c>
      <c r="E12">
        <v>2</v>
      </c>
      <c r="F12" s="2">
        <v>181.85</v>
      </c>
      <c r="G12" s="2">
        <f>Table4[Quantity]*Table4[Price]</f>
        <v>363.7</v>
      </c>
      <c r="I12" s="2">
        <f>Table4[B Value]*0.1/100</f>
        <v>0.36369999999999997</v>
      </c>
      <c r="J12" s="2">
        <f>Table4[B Value]*0.00325/100</f>
        <v>1.1820249999999999E-2</v>
      </c>
      <c r="K12" s="2">
        <f>(Table4[B Brokerage]+Table4[B Trans Chg])*0.15</f>
        <v>1.7730374999999998E-3</v>
      </c>
      <c r="M12" s="2">
        <f>Table4[B Value]+Table4[B Brokerage]+Table4[B STT]+Table4[B Trans Chg]+Table4[B S. Tax]+Table4[B SEBI Chgs]</f>
        <v>364.07729328750003</v>
      </c>
      <c r="N12" s="1"/>
      <c r="P12" s="2"/>
      <c r="Q12" s="2">
        <f>Table4[Quantity2]*Table4[Price3]</f>
        <v>0</v>
      </c>
      <c r="R12" s="2"/>
      <c r="S12" s="2">
        <f>Table4[S Value]*0.1/100</f>
        <v>0</v>
      </c>
      <c r="T12" s="2">
        <f>Table4[S Value]*0.00325/100</f>
        <v>0</v>
      </c>
      <c r="U12" s="2">
        <f>(Table4[S Brokerage]+Table4[S Trans Chg])*0.15</f>
        <v>0</v>
      </c>
      <c r="V12" s="2"/>
      <c r="W12" s="2">
        <f>Table4[S Value]+Table4[S Brokerage]+Table4[S STT]+Table4[S Trans Chg]+Table4[S S. Tax]+Table4[S SEBI Chgs]</f>
        <v>0</v>
      </c>
      <c r="X12" s="2">
        <f>IF(Table4[[#This Row],[S Value]]=0,0,Table4[[#This Row],[S Value]]-Table4[[#This Row],[B Value]])</f>
        <v>0</v>
      </c>
      <c r="Y12" s="2">
        <f>IF(Table4[[#This Row],[S Value]]=0,Table4[[#This Row],[B Value]],0)</f>
        <v>363.7</v>
      </c>
      <c r="Z12" s="2">
        <f>Table4[[#This Row],[B Brokerage]]+Table4[[#This Row],[B STT]]+Table4[[#This Row],[B Trans Chg]]+Table4[[#This Row],[B S. Tax]]+Table4[[#This Row],[B SEBI Chgs]]+Table4[[#This Row],[S Brokerage]]+Table4[[#This Row],[S STT]]+Table4[[#This Row],[S Trans Chg]]+Table4[[#This Row],[S S. Tax]]+Table4[[#This Row],[S SEBI Chgs]]</f>
        <v>0.37729328749999996</v>
      </c>
      <c r="AA12" s="17">
        <f t="shared" si="1"/>
        <v>0</v>
      </c>
      <c r="AB12" t="str">
        <f>TEXT(Table4[Sell Date],"mmm-yy")</f>
        <v>Jan-00</v>
      </c>
    </row>
    <row r="13" spans="1:28" x14ac:dyDescent="0.25">
      <c r="A13">
        <v>10</v>
      </c>
      <c r="B13" t="s">
        <v>47</v>
      </c>
      <c r="C13" s="1">
        <v>42984</v>
      </c>
      <c r="D13" t="s">
        <v>115</v>
      </c>
      <c r="E13">
        <v>1</v>
      </c>
      <c r="F13" s="2">
        <v>333</v>
      </c>
      <c r="G13" s="2">
        <f>Table4[Quantity]*Table4[Price]</f>
        <v>333</v>
      </c>
      <c r="I13" s="2">
        <f>Table4[B Value]*0.1/100</f>
        <v>0.33300000000000002</v>
      </c>
      <c r="J13" s="2">
        <f>Table4[B Value]*0.00325/100</f>
        <v>1.0822499999999999E-2</v>
      </c>
      <c r="K13" s="2">
        <f>(Table4[B Brokerage]+Table4[B Trans Chg])*0.15</f>
        <v>1.6233749999999998E-3</v>
      </c>
      <c r="M13" s="2">
        <f>Table4[B Value]+Table4[B Brokerage]+Table4[B STT]+Table4[B Trans Chg]+Table4[B S. Tax]+Table4[B SEBI Chgs]</f>
        <v>333.34544587500005</v>
      </c>
      <c r="N13" s="1"/>
      <c r="P13" s="2"/>
      <c r="Q13" s="2">
        <f>Table4[Quantity2]*Table4[Price3]</f>
        <v>0</v>
      </c>
      <c r="R13" s="2"/>
      <c r="S13" s="2">
        <f>Table4[S Value]*0.1/100</f>
        <v>0</v>
      </c>
      <c r="T13" s="2">
        <f>Table4[S Value]*0.00325/100</f>
        <v>0</v>
      </c>
      <c r="U13" s="2">
        <f>(Table4[S Brokerage]+Table4[S Trans Chg])*0.15</f>
        <v>0</v>
      </c>
      <c r="V13" s="2"/>
      <c r="W13" s="2">
        <f>Table4[S Value]+Table4[S Brokerage]+Table4[S STT]+Table4[S Trans Chg]+Table4[S S. Tax]+Table4[S SEBI Chgs]</f>
        <v>0</v>
      </c>
      <c r="X13" s="2">
        <f>IF(Table4[[#This Row],[S Value]]=0,0,Table4[[#This Row],[S Value]]-Table4[[#This Row],[B Value]])</f>
        <v>0</v>
      </c>
      <c r="Y13" s="2">
        <f>IF(Table4[[#This Row],[S Value]]=0,Table4[[#This Row],[B Value]],0)</f>
        <v>333</v>
      </c>
      <c r="Z13" s="2">
        <f>Table4[[#This Row],[B Brokerage]]+Table4[[#This Row],[B STT]]+Table4[[#This Row],[B Trans Chg]]+Table4[[#This Row],[B S. Tax]]+Table4[[#This Row],[B SEBI Chgs]]+Table4[[#This Row],[S Brokerage]]+Table4[[#This Row],[S STT]]+Table4[[#This Row],[S Trans Chg]]+Table4[[#This Row],[S S. Tax]]+Table4[[#This Row],[S SEBI Chgs]]</f>
        <v>0.34544587500000001</v>
      </c>
      <c r="AA13" s="7">
        <f t="shared" si="1"/>
        <v>0</v>
      </c>
      <c r="AB13" t="str">
        <f>TEXT(Table4[Sell Date],"mmm-yy")</f>
        <v>Jan-00</v>
      </c>
    </row>
    <row r="14" spans="1:28" x14ac:dyDescent="0.25">
      <c r="A14">
        <v>11</v>
      </c>
      <c r="B14" t="s">
        <v>47</v>
      </c>
      <c r="C14" s="1">
        <v>42984</v>
      </c>
      <c r="D14" t="s">
        <v>116</v>
      </c>
      <c r="E14">
        <v>1</v>
      </c>
      <c r="F14" s="2">
        <v>302</v>
      </c>
      <c r="G14" s="2">
        <f>Table4[Quantity]*Table4[Price]</f>
        <v>302</v>
      </c>
      <c r="I14" s="2">
        <f>Table4[B Value]*0.1/100</f>
        <v>0.30200000000000005</v>
      </c>
      <c r="J14" s="2">
        <f>Table4[B Value]*0.00325/100</f>
        <v>9.8149999999999991E-3</v>
      </c>
      <c r="K14" s="2">
        <f>(Table4[B Brokerage]+Table4[B Trans Chg])*0.15</f>
        <v>1.4722499999999998E-3</v>
      </c>
      <c r="M14" s="2">
        <f>Table4[B Value]+Table4[B Brokerage]+Table4[B STT]+Table4[B Trans Chg]+Table4[B S. Tax]+Table4[B SEBI Chgs]</f>
        <v>302.31328725000003</v>
      </c>
      <c r="N14" s="1"/>
      <c r="P14" s="2"/>
      <c r="Q14" s="2">
        <f>Table4[Quantity2]*Table4[Price3]</f>
        <v>0</v>
      </c>
      <c r="R14" s="2"/>
      <c r="S14" s="2">
        <f>Table4[S Value]*0.1/100</f>
        <v>0</v>
      </c>
      <c r="T14" s="2">
        <f>Table4[S Value]*0.00325/100</f>
        <v>0</v>
      </c>
      <c r="U14" s="2">
        <f>(Table4[S Brokerage]+Table4[S Trans Chg])*0.15</f>
        <v>0</v>
      </c>
      <c r="V14" s="2"/>
      <c r="W14" s="2">
        <f>Table4[S Value]+Table4[S Brokerage]+Table4[S STT]+Table4[S Trans Chg]+Table4[S S. Tax]+Table4[S SEBI Chgs]</f>
        <v>0</v>
      </c>
      <c r="X14" s="2">
        <f>IF(Table4[[#This Row],[S Value]]=0,0,Table4[[#This Row],[S Value]]-Table4[[#This Row],[B Value]])</f>
        <v>0</v>
      </c>
      <c r="Y14" s="2">
        <f>IF(Table4[[#This Row],[S Value]]=0,Table4[[#This Row],[B Value]],0)</f>
        <v>302</v>
      </c>
      <c r="Z14" s="2">
        <f>Table4[[#This Row],[B Brokerage]]+Table4[[#This Row],[B STT]]+Table4[[#This Row],[B Trans Chg]]+Table4[[#This Row],[B S. Tax]]+Table4[[#This Row],[B SEBI Chgs]]+Table4[[#This Row],[S Brokerage]]+Table4[[#This Row],[S STT]]+Table4[[#This Row],[S Trans Chg]]+Table4[[#This Row],[S S. Tax]]+Table4[[#This Row],[S SEBI Chgs]]</f>
        <v>0.31328725000000007</v>
      </c>
      <c r="AA14" s="7">
        <f t="shared" si="1"/>
        <v>0</v>
      </c>
      <c r="AB14" t="str">
        <f>TEXT(Table4[Sell Date],"mmm-yy")</f>
        <v>Jan-00</v>
      </c>
    </row>
    <row r="15" spans="1:28" x14ac:dyDescent="0.25">
      <c r="A15">
        <v>12</v>
      </c>
      <c r="B15" t="s">
        <v>47</v>
      </c>
      <c r="C15" s="1">
        <v>42984</v>
      </c>
      <c r="D15" t="s">
        <v>117</v>
      </c>
      <c r="E15">
        <v>5</v>
      </c>
      <c r="F15" s="2">
        <v>64.099999999999994</v>
      </c>
      <c r="G15" s="2">
        <f>Table4[Quantity]*Table4[Price]</f>
        <v>320.5</v>
      </c>
      <c r="I15" s="2">
        <f>Table4[B Value]*0.1/100</f>
        <v>0.32050000000000006</v>
      </c>
      <c r="J15" s="2">
        <f>Table4[B Value]*0.00325/100</f>
        <v>1.041625E-2</v>
      </c>
      <c r="K15" s="2">
        <f>(Table4[B Brokerage]+Table4[B Trans Chg])*0.15</f>
        <v>1.5624375E-3</v>
      </c>
      <c r="M15" s="2">
        <f>Table4[B Value]+Table4[B Brokerage]+Table4[B STT]+Table4[B Trans Chg]+Table4[B S. Tax]+Table4[B SEBI Chgs]</f>
        <v>320.83247868749999</v>
      </c>
      <c r="N15" s="1"/>
      <c r="P15" s="2"/>
      <c r="Q15" s="2">
        <f>Table4[Quantity2]*Table4[Price3]</f>
        <v>0</v>
      </c>
      <c r="R15" s="2"/>
      <c r="S15" s="2">
        <f>Table4[S Value]*0.1/100</f>
        <v>0</v>
      </c>
      <c r="T15" s="2">
        <f>Table4[S Value]*0.00325/100</f>
        <v>0</v>
      </c>
      <c r="U15" s="2">
        <f>(Table4[S Brokerage]+Table4[S Trans Chg])*0.15</f>
        <v>0</v>
      </c>
      <c r="V15" s="2"/>
      <c r="W15" s="2">
        <f>Table4[S Value]+Table4[S Brokerage]+Table4[S STT]+Table4[S Trans Chg]+Table4[S S. Tax]+Table4[S SEBI Chgs]</f>
        <v>0</v>
      </c>
      <c r="X15" s="2">
        <f>IF(Table4[[#This Row],[S Value]]=0,0,Table4[[#This Row],[S Value]]-Table4[[#This Row],[B Value]])</f>
        <v>0</v>
      </c>
      <c r="Y15" s="2">
        <f>IF(Table4[[#This Row],[S Value]]=0,Table4[[#This Row],[B Value]],0)</f>
        <v>320.5</v>
      </c>
      <c r="Z15" s="2">
        <f>Table4[[#This Row],[B Brokerage]]+Table4[[#This Row],[B STT]]+Table4[[#This Row],[B Trans Chg]]+Table4[[#This Row],[B S. Tax]]+Table4[[#This Row],[B SEBI Chgs]]+Table4[[#This Row],[S Brokerage]]+Table4[[#This Row],[S STT]]+Table4[[#This Row],[S Trans Chg]]+Table4[[#This Row],[S S. Tax]]+Table4[[#This Row],[S SEBI Chgs]]</f>
        <v>0.33247868750000009</v>
      </c>
      <c r="AA15" s="7">
        <f t="shared" si="1"/>
        <v>0</v>
      </c>
      <c r="AB15" t="str">
        <f>TEXT(Table4[Sell Date],"mmm-yy")</f>
        <v>Jan-00</v>
      </c>
    </row>
    <row r="16" spans="1:28" x14ac:dyDescent="0.25">
      <c r="A16">
        <v>13</v>
      </c>
      <c r="B16" t="s">
        <v>47</v>
      </c>
      <c r="C16" s="1">
        <v>42984</v>
      </c>
      <c r="D16" t="s">
        <v>118</v>
      </c>
      <c r="E16">
        <v>5</v>
      </c>
      <c r="F16" s="2">
        <v>38.299999999999997</v>
      </c>
      <c r="G16" s="2">
        <f>Table4[Quantity]*Table4[Price]</f>
        <v>191.5</v>
      </c>
      <c r="I16" s="2">
        <f>Table4[B Value]*0.1/100</f>
        <v>0.19150000000000003</v>
      </c>
      <c r="J16" s="2">
        <f>Table4[B Value]*0.00325/100</f>
        <v>6.2237500000000001E-3</v>
      </c>
      <c r="K16" s="2">
        <f>(Table4[B Brokerage]+Table4[B Trans Chg])*0.15</f>
        <v>9.3356249999999993E-4</v>
      </c>
      <c r="M16" s="2">
        <f>Table4[B Value]+Table4[B Brokerage]+Table4[B STT]+Table4[B Trans Chg]+Table4[B S. Tax]+Table4[B SEBI Chgs]</f>
        <v>191.69865731249999</v>
      </c>
      <c r="N16" s="1"/>
      <c r="P16" s="2"/>
      <c r="Q16" s="2">
        <f>Table4[Quantity2]*Table4[Price3]</f>
        <v>0</v>
      </c>
      <c r="R16" s="2"/>
      <c r="S16" s="2">
        <f>Table4[S Value]*0.1/100</f>
        <v>0</v>
      </c>
      <c r="T16" s="2">
        <f>Table4[S Value]*0.00325/100</f>
        <v>0</v>
      </c>
      <c r="U16" s="2">
        <f>(Table4[S Brokerage]+Table4[S Trans Chg])*0.15</f>
        <v>0</v>
      </c>
      <c r="V16" s="2"/>
      <c r="W16" s="2">
        <f>Table4[S Value]+Table4[S Brokerage]+Table4[S STT]+Table4[S Trans Chg]+Table4[S S. Tax]+Table4[S SEBI Chgs]</f>
        <v>0</v>
      </c>
      <c r="X16" s="2">
        <f>IF(Table4[[#This Row],[S Value]]=0,0,Table4[[#This Row],[S Value]]-Table4[[#This Row],[B Value]])</f>
        <v>0</v>
      </c>
      <c r="Y16" s="2">
        <f>IF(Table4[[#This Row],[S Value]]=0,Table4[[#This Row],[B Value]],0)</f>
        <v>191.5</v>
      </c>
      <c r="Z16" s="2">
        <f>Table4[[#This Row],[B Brokerage]]+Table4[[#This Row],[B STT]]+Table4[[#This Row],[B Trans Chg]]+Table4[[#This Row],[B S. Tax]]+Table4[[#This Row],[B SEBI Chgs]]+Table4[[#This Row],[S Brokerage]]+Table4[[#This Row],[S STT]]+Table4[[#This Row],[S Trans Chg]]+Table4[[#This Row],[S S. Tax]]+Table4[[#This Row],[S SEBI Chgs]]</f>
        <v>0.19865731250000004</v>
      </c>
      <c r="AA16" s="7">
        <f t="shared" si="1"/>
        <v>0</v>
      </c>
      <c r="AB16" t="str">
        <f>TEXT(Table4[Sell Date],"mmm-yy")</f>
        <v>Jan-00</v>
      </c>
    </row>
    <row r="17" spans="1:28" x14ac:dyDescent="0.25">
      <c r="A17">
        <v>14</v>
      </c>
      <c r="B17" t="s">
        <v>47</v>
      </c>
      <c r="C17" s="1">
        <v>42996</v>
      </c>
      <c r="D17" t="s">
        <v>119</v>
      </c>
      <c r="E17">
        <v>2</v>
      </c>
      <c r="F17" s="2">
        <v>838.2</v>
      </c>
      <c r="G17" s="2">
        <f>Table4[Quantity]*Table4[Price]</f>
        <v>1676.4</v>
      </c>
      <c r="I17" s="2">
        <f>Table4[B Value]*0.1/100</f>
        <v>1.6764000000000001</v>
      </c>
      <c r="J17" s="2">
        <f>Table4[B Value]*0.00325/100</f>
        <v>5.4482999999999997E-2</v>
      </c>
      <c r="K17" s="2">
        <f>(Table4[B Brokerage]+Table4[B Trans Chg])*0.15</f>
        <v>8.1724499999999995E-3</v>
      </c>
      <c r="M17" s="2">
        <f>Table4[B Value]+Table4[B Brokerage]+Table4[B STT]+Table4[B Trans Chg]+Table4[B S. Tax]+Table4[B SEBI Chgs]</f>
        <v>1678.1390554500001</v>
      </c>
      <c r="N17" s="1"/>
      <c r="P17" s="2"/>
      <c r="Q17" s="2">
        <f>Table4[Quantity2]*Table4[Price3]</f>
        <v>0</v>
      </c>
      <c r="R17" s="2"/>
      <c r="S17" s="2">
        <f>Table4[S Value]*0.1/100</f>
        <v>0</v>
      </c>
      <c r="T17" s="2">
        <f>Table4[S Value]*0.00325/100</f>
        <v>0</v>
      </c>
      <c r="U17" s="2">
        <f>(Table4[S Brokerage]+Table4[S Trans Chg])*0.15</f>
        <v>0</v>
      </c>
      <c r="V17" s="2"/>
      <c r="W17" s="2">
        <f>Table4[S Value]+Table4[S Brokerage]+Table4[S STT]+Table4[S Trans Chg]+Table4[S S. Tax]+Table4[S SEBI Chgs]</f>
        <v>0</v>
      </c>
      <c r="X17" s="2">
        <f>IF(Table4[[#This Row],[S Value]]=0,0,Table4[[#This Row],[S Value]]-Table4[[#This Row],[B Value]])</f>
        <v>0</v>
      </c>
      <c r="Y17" s="2">
        <f>IF(Table4[[#This Row],[S Value]]=0,Table4[[#This Row],[B Value]],0)</f>
        <v>1676.4</v>
      </c>
      <c r="Z17" s="2">
        <f>Table4[[#This Row],[B Brokerage]]+Table4[[#This Row],[B STT]]+Table4[[#This Row],[B Trans Chg]]+Table4[[#This Row],[B S. Tax]]+Table4[[#This Row],[B SEBI Chgs]]+Table4[[#This Row],[S Brokerage]]+Table4[[#This Row],[S STT]]+Table4[[#This Row],[S Trans Chg]]+Table4[[#This Row],[S S. Tax]]+Table4[[#This Row],[S SEBI Chgs]]</f>
        <v>1.7390554500000002</v>
      </c>
      <c r="AA17" s="7">
        <f t="shared" si="1"/>
        <v>0</v>
      </c>
      <c r="AB17" t="str">
        <f>TEXT(Table4[Sell Date],"mmm-yy")</f>
        <v>Jan-00</v>
      </c>
    </row>
    <row r="18" spans="1:28" x14ac:dyDescent="0.25">
      <c r="A18">
        <v>15</v>
      </c>
      <c r="B18" t="s">
        <v>47</v>
      </c>
      <c r="C18" s="1">
        <v>42996</v>
      </c>
      <c r="D18" t="s">
        <v>120</v>
      </c>
      <c r="E18">
        <v>5</v>
      </c>
      <c r="F18" s="2">
        <v>308.60000000000002</v>
      </c>
      <c r="G18" s="2">
        <f>Table4[Quantity]*Table4[Price]</f>
        <v>1543</v>
      </c>
      <c r="I18" s="2">
        <f>Table4[B Value]*0.1/100</f>
        <v>1.5430000000000001</v>
      </c>
      <c r="J18" s="2">
        <f>Table4[B Value]*0.00325/100</f>
        <v>5.0147499999999991E-2</v>
      </c>
      <c r="K18" s="2">
        <f>(Table4[B Brokerage]+Table4[B Trans Chg])*0.15</f>
        <v>7.5221249999999984E-3</v>
      </c>
      <c r="M18" s="2">
        <f>Table4[B Value]+Table4[B Brokerage]+Table4[B STT]+Table4[B Trans Chg]+Table4[B S. Tax]+Table4[B SEBI Chgs]</f>
        <v>1544.6006696249999</v>
      </c>
      <c r="N18" s="1"/>
      <c r="P18" s="2"/>
      <c r="Q18" s="2">
        <f>Table4[Quantity2]*Table4[Price3]</f>
        <v>0</v>
      </c>
      <c r="R18" s="2"/>
      <c r="S18" s="2">
        <f>Table4[S Value]*0.1/100</f>
        <v>0</v>
      </c>
      <c r="T18" s="2">
        <f>Table4[S Value]*0.00325/100</f>
        <v>0</v>
      </c>
      <c r="U18" s="2">
        <f>(Table4[S Brokerage]+Table4[S Trans Chg])*0.15</f>
        <v>0</v>
      </c>
      <c r="V18" s="2"/>
      <c r="W18" s="2">
        <f>Table4[S Value]+Table4[S Brokerage]+Table4[S STT]+Table4[S Trans Chg]+Table4[S S. Tax]+Table4[S SEBI Chgs]</f>
        <v>0</v>
      </c>
      <c r="X18" s="2">
        <f>IF(Table4[[#This Row],[S Value]]=0,0,Table4[[#This Row],[S Value]]-Table4[[#This Row],[B Value]])</f>
        <v>0</v>
      </c>
      <c r="Y18" s="2">
        <f>IF(Table4[[#This Row],[S Value]]=0,Table4[[#This Row],[B Value]],0)</f>
        <v>1543</v>
      </c>
      <c r="Z18" s="2">
        <f>Table4[[#This Row],[B Brokerage]]+Table4[[#This Row],[B STT]]+Table4[[#This Row],[B Trans Chg]]+Table4[[#This Row],[B S. Tax]]+Table4[[#This Row],[B SEBI Chgs]]+Table4[[#This Row],[S Brokerage]]+Table4[[#This Row],[S STT]]+Table4[[#This Row],[S Trans Chg]]+Table4[[#This Row],[S S. Tax]]+Table4[[#This Row],[S SEBI Chgs]]</f>
        <v>1.6006696250000001</v>
      </c>
      <c r="AA18" s="7">
        <f t="shared" si="1"/>
        <v>0</v>
      </c>
      <c r="AB18" t="str">
        <f>TEXT(Table4[Sell Date],"mmm-yy")</f>
        <v>Jan-00</v>
      </c>
    </row>
    <row r="19" spans="1:28" x14ac:dyDescent="0.25">
      <c r="A19">
        <v>16</v>
      </c>
      <c r="B19" t="s">
        <v>47</v>
      </c>
      <c r="C19" s="1">
        <v>42996</v>
      </c>
      <c r="D19" t="s">
        <v>103</v>
      </c>
      <c r="E19">
        <v>2</v>
      </c>
      <c r="F19" s="2">
        <v>912.75</v>
      </c>
      <c r="G19" s="2">
        <f>Table4[Quantity]*Table4[Price]</f>
        <v>1825.5</v>
      </c>
      <c r="I19" s="2">
        <f>Table4[B Value]*0.1/100</f>
        <v>1.8255000000000001</v>
      </c>
      <c r="J19" s="2">
        <f>Table4[B Value]*0.00325/100</f>
        <v>5.932875E-2</v>
      </c>
      <c r="K19" s="2">
        <f>(Table4[B Brokerage]+Table4[B Trans Chg])*0.15</f>
        <v>8.8993124999999992E-3</v>
      </c>
      <c r="M19" s="2">
        <f>Table4[B Value]+Table4[B Brokerage]+Table4[B STT]+Table4[B Trans Chg]+Table4[B S. Tax]+Table4[B SEBI Chgs]</f>
        <v>1827.3937280625</v>
      </c>
      <c r="N19" s="1"/>
      <c r="P19" s="2"/>
      <c r="Q19" s="2">
        <f>Table4[Quantity2]*Table4[Price3]</f>
        <v>0</v>
      </c>
      <c r="R19" s="2"/>
      <c r="S19" s="2">
        <f>Table4[S Value]*0.1/100</f>
        <v>0</v>
      </c>
      <c r="T19" s="2">
        <f>Table4[S Value]*0.00325/100</f>
        <v>0</v>
      </c>
      <c r="U19" s="2">
        <f>(Table4[S Brokerage]+Table4[S Trans Chg])*0.15</f>
        <v>0</v>
      </c>
      <c r="V19" s="2"/>
      <c r="W19" s="2">
        <f>Table4[S Value]+Table4[S Brokerage]+Table4[S STT]+Table4[S Trans Chg]+Table4[S S. Tax]+Table4[S SEBI Chgs]</f>
        <v>0</v>
      </c>
      <c r="X19" s="2">
        <f>IF(Table4[[#This Row],[S Value]]=0,0,Table4[[#This Row],[S Value]]-Table4[[#This Row],[B Value]])</f>
        <v>0</v>
      </c>
      <c r="Y19" s="2">
        <f>IF(Table4[[#This Row],[S Value]]=0,Table4[[#This Row],[B Value]],0)</f>
        <v>1825.5</v>
      </c>
      <c r="Z19" s="2">
        <f>Table4[[#This Row],[B Brokerage]]+Table4[[#This Row],[B STT]]+Table4[[#This Row],[B Trans Chg]]+Table4[[#This Row],[B S. Tax]]+Table4[[#This Row],[B SEBI Chgs]]+Table4[[#This Row],[S Brokerage]]+Table4[[#This Row],[S STT]]+Table4[[#This Row],[S Trans Chg]]+Table4[[#This Row],[S S. Tax]]+Table4[[#This Row],[S SEBI Chgs]]</f>
        <v>1.8937280625000001</v>
      </c>
      <c r="AA19" s="7">
        <f t="shared" si="1"/>
        <v>0</v>
      </c>
      <c r="AB19" t="str">
        <f>TEXT(Table4[Sell Date],"mmm-yy")</f>
        <v>Jan-00</v>
      </c>
    </row>
    <row r="20" spans="1:28" x14ac:dyDescent="0.25">
      <c r="A20">
        <v>17</v>
      </c>
      <c r="B20" t="s">
        <v>47</v>
      </c>
      <c r="C20" s="1">
        <v>42996</v>
      </c>
      <c r="D20" t="s">
        <v>121</v>
      </c>
      <c r="E20">
        <v>7</v>
      </c>
      <c r="F20" s="2">
        <v>217.95</v>
      </c>
      <c r="G20" s="2">
        <f>Table4[Quantity]*Table4[Price]</f>
        <v>1525.6499999999999</v>
      </c>
      <c r="I20" s="2">
        <f>Table4[B Value]*0.1/100</f>
        <v>1.52565</v>
      </c>
      <c r="J20" s="2">
        <f>Table4[B Value]*0.00325/100</f>
        <v>4.9583624999999992E-2</v>
      </c>
      <c r="K20" s="2">
        <f>(Table4[B Brokerage]+Table4[B Trans Chg])*0.15</f>
        <v>7.4375437499999983E-3</v>
      </c>
      <c r="M20" s="2">
        <f>Table4[B Value]+Table4[B Brokerage]+Table4[B STT]+Table4[B Trans Chg]+Table4[B S. Tax]+Table4[B SEBI Chgs]</f>
        <v>1527.2326711687499</v>
      </c>
      <c r="N20" s="1"/>
      <c r="P20" s="2"/>
      <c r="Q20" s="2">
        <f>Table4[Quantity2]*Table4[Price3]</f>
        <v>0</v>
      </c>
      <c r="R20" s="2"/>
      <c r="S20" s="2">
        <f>Table4[S Value]*0.1/100</f>
        <v>0</v>
      </c>
      <c r="T20" s="2">
        <f>Table4[S Value]*0.00325/100</f>
        <v>0</v>
      </c>
      <c r="U20" s="2">
        <f>(Table4[S Brokerage]+Table4[S Trans Chg])*0.15</f>
        <v>0</v>
      </c>
      <c r="V20" s="2"/>
      <c r="W20" s="2">
        <f>Table4[S Value]+Table4[S Brokerage]+Table4[S STT]+Table4[S Trans Chg]+Table4[S S. Tax]+Table4[S SEBI Chgs]</f>
        <v>0</v>
      </c>
      <c r="X20" s="2">
        <f>IF(Table4[[#This Row],[S Value]]=0,0,Table4[[#This Row],[S Value]]-Table4[[#This Row],[B Value]])</f>
        <v>0</v>
      </c>
      <c r="Y20" s="2">
        <f>IF(Table4[[#This Row],[S Value]]=0,Table4[[#This Row],[B Value]],0)</f>
        <v>1525.6499999999999</v>
      </c>
      <c r="Z20" s="2">
        <f>Table4[[#This Row],[B Brokerage]]+Table4[[#This Row],[B STT]]+Table4[[#This Row],[B Trans Chg]]+Table4[[#This Row],[B S. Tax]]+Table4[[#This Row],[B SEBI Chgs]]+Table4[[#This Row],[S Brokerage]]+Table4[[#This Row],[S STT]]+Table4[[#This Row],[S Trans Chg]]+Table4[[#This Row],[S S. Tax]]+Table4[[#This Row],[S SEBI Chgs]]</f>
        <v>1.5826711687499999</v>
      </c>
      <c r="AA20" s="7">
        <f t="shared" si="1"/>
        <v>0</v>
      </c>
      <c r="AB20" t="str">
        <f>TEXT(Table4[Sell Date],"mmm-yy")</f>
        <v>Jan-00</v>
      </c>
    </row>
    <row r="21" spans="1:28" x14ac:dyDescent="0.25">
      <c r="A21">
        <v>18</v>
      </c>
      <c r="B21" t="s">
        <v>47</v>
      </c>
      <c r="C21" s="1">
        <v>42996</v>
      </c>
      <c r="D21" t="s">
        <v>122</v>
      </c>
      <c r="E21">
        <v>2</v>
      </c>
      <c r="F21" s="2">
        <v>764</v>
      </c>
      <c r="G21" s="2">
        <f>Table4[Quantity]*Table4[Price]</f>
        <v>1528</v>
      </c>
      <c r="I21" s="2">
        <f>Table4[B Value]*0.1/100</f>
        <v>1.528</v>
      </c>
      <c r="J21" s="2">
        <f>Table4[B Value]*0.00325/100</f>
        <v>4.9660000000000003E-2</v>
      </c>
      <c r="K21" s="2">
        <f>(Table4[B Brokerage]+Table4[B Trans Chg])*0.15</f>
        <v>7.4489999999999999E-3</v>
      </c>
      <c r="M21" s="2">
        <f>Table4[B Value]+Table4[B Brokerage]+Table4[B STT]+Table4[B Trans Chg]+Table4[B S. Tax]+Table4[B SEBI Chgs]</f>
        <v>1529.5851089999999</v>
      </c>
      <c r="N21" s="1"/>
      <c r="P21" s="2"/>
      <c r="Q21" s="2">
        <f>Table4[Quantity2]*Table4[Price3]</f>
        <v>0</v>
      </c>
      <c r="R21" s="2"/>
      <c r="S21" s="2">
        <f>Table4[S Value]*0.1/100</f>
        <v>0</v>
      </c>
      <c r="T21" s="2">
        <f>Table4[S Value]*0.00325/100</f>
        <v>0</v>
      </c>
      <c r="U21" s="2">
        <f>(Table4[S Brokerage]+Table4[S Trans Chg])*0.15</f>
        <v>0</v>
      </c>
      <c r="V21" s="2"/>
      <c r="W21" s="2">
        <f>Table4[S Value]+Table4[S Brokerage]+Table4[S STT]+Table4[S Trans Chg]+Table4[S S. Tax]+Table4[S SEBI Chgs]</f>
        <v>0</v>
      </c>
      <c r="X21" s="2">
        <f>IF(Table4[[#This Row],[S Value]]=0,0,Table4[[#This Row],[S Value]]-Table4[[#This Row],[B Value]])</f>
        <v>0</v>
      </c>
      <c r="Y21" s="2">
        <f>IF(Table4[[#This Row],[S Value]]=0,Table4[[#This Row],[B Value]],0)</f>
        <v>1528</v>
      </c>
      <c r="Z21" s="2">
        <f>Table4[[#This Row],[B Brokerage]]+Table4[[#This Row],[B STT]]+Table4[[#This Row],[B Trans Chg]]+Table4[[#This Row],[B S. Tax]]+Table4[[#This Row],[B SEBI Chgs]]+Table4[[#This Row],[S Brokerage]]+Table4[[#This Row],[S STT]]+Table4[[#This Row],[S Trans Chg]]+Table4[[#This Row],[S S. Tax]]+Table4[[#This Row],[S SEBI Chgs]]</f>
        <v>1.5851090000000001</v>
      </c>
      <c r="AA21" s="7">
        <f t="shared" si="1"/>
        <v>0</v>
      </c>
      <c r="AB21" t="str">
        <f>TEXT(Table4[Sell Date],"mmm-yy")</f>
        <v>Jan-00</v>
      </c>
    </row>
    <row r="22" spans="1:28" x14ac:dyDescent="0.25">
      <c r="A22">
        <v>19</v>
      </c>
      <c r="B22" t="s">
        <v>47</v>
      </c>
      <c r="C22" s="1">
        <v>42996</v>
      </c>
      <c r="D22" t="s">
        <v>123</v>
      </c>
      <c r="E22">
        <v>1</v>
      </c>
      <c r="F22" s="2">
        <v>1424.6</v>
      </c>
      <c r="G22" s="2">
        <f>Table4[Quantity]*Table4[Price]</f>
        <v>1424.6</v>
      </c>
      <c r="I22" s="2">
        <f>Table4[B Value]*0.1/100</f>
        <v>1.4246000000000001</v>
      </c>
      <c r="J22" s="2">
        <f>Table4[B Value]*0.00325/100</f>
        <v>4.6299499999999993E-2</v>
      </c>
      <c r="K22" s="2">
        <f>(Table4[B Brokerage]+Table4[B Trans Chg])*0.15</f>
        <v>6.9449249999999985E-3</v>
      </c>
      <c r="M22" s="2">
        <f>Table4[B Value]+Table4[B Brokerage]+Table4[B STT]+Table4[B Trans Chg]+Table4[B S. Tax]+Table4[B SEBI Chgs]</f>
        <v>1426.077844425</v>
      </c>
      <c r="N22" s="1"/>
      <c r="P22" s="2"/>
      <c r="Q22" s="2">
        <f>Table4[Quantity2]*Table4[Price3]</f>
        <v>0</v>
      </c>
      <c r="R22" s="2"/>
      <c r="S22" s="2">
        <f>Table4[S Value]*0.1/100</f>
        <v>0</v>
      </c>
      <c r="T22" s="2">
        <f>Table4[S Value]*0.00325/100</f>
        <v>0</v>
      </c>
      <c r="U22" s="2">
        <f>(Table4[S Brokerage]+Table4[S Trans Chg])*0.15</f>
        <v>0</v>
      </c>
      <c r="V22" s="2"/>
      <c r="W22" s="2">
        <f>Table4[S Value]+Table4[S Brokerage]+Table4[S STT]+Table4[S Trans Chg]+Table4[S S. Tax]+Table4[S SEBI Chgs]</f>
        <v>0</v>
      </c>
      <c r="X22" s="2">
        <f>IF(Table4[[#This Row],[S Value]]=0,0,Table4[[#This Row],[S Value]]-Table4[[#This Row],[B Value]])</f>
        <v>0</v>
      </c>
      <c r="Y22" s="2">
        <f>IF(Table4[[#This Row],[S Value]]=0,Table4[[#This Row],[B Value]],0)</f>
        <v>1424.6</v>
      </c>
      <c r="Z22" s="2">
        <f>Table4[[#This Row],[B Brokerage]]+Table4[[#This Row],[B STT]]+Table4[[#This Row],[B Trans Chg]]+Table4[[#This Row],[B S. Tax]]+Table4[[#This Row],[B SEBI Chgs]]+Table4[[#This Row],[S Brokerage]]+Table4[[#This Row],[S STT]]+Table4[[#This Row],[S Trans Chg]]+Table4[[#This Row],[S S. Tax]]+Table4[[#This Row],[S SEBI Chgs]]</f>
        <v>1.477844425</v>
      </c>
      <c r="AA22" s="7">
        <f t="shared" si="1"/>
        <v>0</v>
      </c>
      <c r="AB22" t="str">
        <f>TEXT(Table4[Sell Date],"mmm-yy")</f>
        <v>Jan-00</v>
      </c>
    </row>
    <row r="23" spans="1:28" x14ac:dyDescent="0.25">
      <c r="A23" t="s">
        <v>6</v>
      </c>
      <c r="G23" s="2">
        <f>SUBTOTAL(109,Table4[B Value])</f>
        <v>13549.85</v>
      </c>
      <c r="M23" s="2">
        <f>SUBTOTAL(109,Table4[Buy Total])</f>
        <v>13563.721075393751</v>
      </c>
      <c r="Q23" s="2">
        <f>SUBTOTAL(109,Table4[S Value])</f>
        <v>2362.1</v>
      </c>
      <c r="W23" s="2">
        <f>SUBTOTAL(109,Table4[Sell Total])</f>
        <v>2364.5503834874999</v>
      </c>
      <c r="X23" s="2">
        <f>SUBTOTAL(109,Table4[Profit])</f>
        <v>44.100000000000023</v>
      </c>
      <c r="Y23" s="2">
        <f>SUBTOTAL(109,Table4[Holding])</f>
        <v>11231.85</v>
      </c>
      <c r="Z23" s="2">
        <f>SUBTOTAL(109,Table4[Total Brokerage])</f>
        <v>16.321458881249999</v>
      </c>
      <c r="AA23" s="18"/>
      <c r="AB23">
        <f>SUBTOTAL(103,Table4[Month])</f>
        <v>19</v>
      </c>
    </row>
    <row r="24" spans="1:28" x14ac:dyDescent="0.25">
      <c r="I24">
        <v>5</v>
      </c>
      <c r="J24">
        <v>40</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Lookup!$B$3:$B$4</xm:f>
          </x14:formula1>
          <xm:sqref>B4:B22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3:W57"/>
  <sheetViews>
    <sheetView workbookViewId="0">
      <selection activeCell="G19" sqref="G19"/>
    </sheetView>
  </sheetViews>
  <sheetFormatPr defaultRowHeight="15" x14ac:dyDescent="0.25"/>
  <cols>
    <col min="2" max="2" width="10.42578125" bestFit="1" customWidth="1"/>
    <col min="3" max="3" width="12.7109375" customWidth="1"/>
    <col min="4" max="4" width="15.28515625" customWidth="1"/>
    <col min="5" max="5" width="10.28515625" customWidth="1"/>
    <col min="12" max="12" width="10.42578125" bestFit="1" customWidth="1"/>
    <col min="13" max="13" width="10.42578125" customWidth="1"/>
    <col min="23" max="23" width="10.42578125" bestFit="1" customWidth="1"/>
  </cols>
  <sheetData>
    <row r="3" spans="1:19" x14ac:dyDescent="0.25">
      <c r="A3" t="s">
        <v>26</v>
      </c>
      <c r="B3" t="s">
        <v>43</v>
      </c>
      <c r="C3" t="s">
        <v>46</v>
      </c>
      <c r="D3" t="s">
        <v>42</v>
      </c>
      <c r="E3" t="s">
        <v>44</v>
      </c>
    </row>
    <row r="4" spans="1:19" x14ac:dyDescent="0.25">
      <c r="A4">
        <v>1</v>
      </c>
      <c r="B4" s="1">
        <v>42828</v>
      </c>
      <c r="C4" t="s">
        <v>45</v>
      </c>
      <c r="D4" t="s">
        <v>50</v>
      </c>
      <c r="E4">
        <v>7000</v>
      </c>
    </row>
    <row r="5" spans="1:19" x14ac:dyDescent="0.25">
      <c r="A5">
        <v>2</v>
      </c>
      <c r="B5" s="1">
        <v>42858</v>
      </c>
      <c r="C5" t="s">
        <v>45</v>
      </c>
      <c r="D5" t="s">
        <v>49</v>
      </c>
      <c r="E5">
        <v>4553.91</v>
      </c>
    </row>
    <row r="6" spans="1:19" x14ac:dyDescent="0.25">
      <c r="A6">
        <v>3</v>
      </c>
      <c r="B6" s="1">
        <v>42873</v>
      </c>
      <c r="C6" t="s">
        <v>45</v>
      </c>
      <c r="D6" t="s">
        <v>51</v>
      </c>
      <c r="E6">
        <v>6200</v>
      </c>
    </row>
    <row r="7" spans="1:19" x14ac:dyDescent="0.25">
      <c r="A7">
        <v>4</v>
      </c>
      <c r="B7" s="1">
        <v>42877</v>
      </c>
      <c r="C7" t="s">
        <v>45</v>
      </c>
      <c r="D7" t="s">
        <v>51</v>
      </c>
      <c r="E7">
        <v>6000</v>
      </c>
    </row>
    <row r="8" spans="1:19" x14ac:dyDescent="0.25">
      <c r="A8">
        <v>5</v>
      </c>
      <c r="B8" s="1">
        <v>42879</v>
      </c>
      <c r="C8" t="s">
        <v>45</v>
      </c>
      <c r="D8" t="s">
        <v>49</v>
      </c>
      <c r="E8">
        <v>14155.85</v>
      </c>
    </row>
    <row r="9" spans="1:19" x14ac:dyDescent="0.25">
      <c r="A9">
        <v>6</v>
      </c>
      <c r="B9" s="1">
        <v>42880</v>
      </c>
      <c r="C9" t="s">
        <v>45</v>
      </c>
      <c r="D9" t="s">
        <v>51</v>
      </c>
      <c r="E9">
        <v>-15000</v>
      </c>
      <c r="S9">
        <v>0</v>
      </c>
    </row>
    <row r="10" spans="1:19" x14ac:dyDescent="0.25">
      <c r="A10">
        <v>7</v>
      </c>
      <c r="B10" s="1">
        <v>42881</v>
      </c>
      <c r="C10" t="s">
        <v>45</v>
      </c>
      <c r="D10" t="s">
        <v>50</v>
      </c>
      <c r="E10">
        <v>-2200</v>
      </c>
      <c r="L10" s="1"/>
      <c r="M10" s="1"/>
      <c r="S10">
        <v>0</v>
      </c>
    </row>
    <row r="11" spans="1:19" x14ac:dyDescent="0.25">
      <c r="A11">
        <v>8</v>
      </c>
      <c r="B11" s="1">
        <v>42884</v>
      </c>
      <c r="C11" t="s">
        <v>45</v>
      </c>
      <c r="D11" t="s">
        <v>50</v>
      </c>
      <c r="E11">
        <v>-1000</v>
      </c>
      <c r="S11">
        <f>393.26*18</f>
        <v>7078.68</v>
      </c>
    </row>
    <row r="12" spans="1:19" x14ac:dyDescent="0.25">
      <c r="A12">
        <v>9</v>
      </c>
      <c r="B12" s="1">
        <v>42881</v>
      </c>
      <c r="C12" t="s">
        <v>47</v>
      </c>
      <c r="D12" t="s">
        <v>50</v>
      </c>
      <c r="E12">
        <v>2000</v>
      </c>
      <c r="S12">
        <v>505.18</v>
      </c>
    </row>
    <row r="13" spans="1:19" x14ac:dyDescent="0.25">
      <c r="A13">
        <v>10</v>
      </c>
      <c r="B13" s="1">
        <v>42884</v>
      </c>
      <c r="C13" t="s">
        <v>47</v>
      </c>
      <c r="D13" t="s">
        <v>50</v>
      </c>
      <c r="E13">
        <v>1000</v>
      </c>
      <c r="L13" s="3"/>
      <c r="M13" s="3"/>
      <c r="S13">
        <v>0</v>
      </c>
    </row>
    <row r="14" spans="1:19" x14ac:dyDescent="0.25">
      <c r="A14">
        <v>11</v>
      </c>
      <c r="B14" s="1">
        <v>42885</v>
      </c>
      <c r="C14" t="s">
        <v>47</v>
      </c>
      <c r="D14" t="s">
        <v>50</v>
      </c>
      <c r="E14">
        <v>200</v>
      </c>
      <c r="M14">
        <v>44559.66</v>
      </c>
      <c r="S14">
        <v>1744.17</v>
      </c>
    </row>
    <row r="15" spans="1:19" x14ac:dyDescent="0.25">
      <c r="A15">
        <v>12</v>
      </c>
      <c r="B15" s="1">
        <v>42886</v>
      </c>
      <c r="C15" t="s">
        <v>47</v>
      </c>
      <c r="D15" t="s">
        <v>50</v>
      </c>
      <c r="E15">
        <v>10000</v>
      </c>
      <c r="M15">
        <v>40005.75</v>
      </c>
      <c r="P15">
        <v>19163.63</v>
      </c>
      <c r="S15">
        <v>172.5</v>
      </c>
    </row>
    <row r="16" spans="1:19" x14ac:dyDescent="0.25">
      <c r="A16">
        <v>13</v>
      </c>
      <c r="B16" s="1">
        <v>42891</v>
      </c>
      <c r="C16" t="s">
        <v>47</v>
      </c>
      <c r="D16" t="s">
        <v>50</v>
      </c>
      <c r="E16">
        <v>-6000</v>
      </c>
      <c r="M16">
        <f>M14-M15</f>
        <v>4553.9100000000035</v>
      </c>
      <c r="S16">
        <v>5.18</v>
      </c>
    </row>
    <row r="17" spans="1:19" x14ac:dyDescent="0.25">
      <c r="A17">
        <v>14</v>
      </c>
      <c r="B17" s="1">
        <v>42914</v>
      </c>
      <c r="C17" t="s">
        <v>47</v>
      </c>
      <c r="D17" t="s">
        <v>50</v>
      </c>
      <c r="E17">
        <v>600</v>
      </c>
      <c r="S17">
        <v>5.18</v>
      </c>
    </row>
    <row r="18" spans="1:19" x14ac:dyDescent="0.25">
      <c r="A18">
        <v>15</v>
      </c>
      <c r="B18" s="1">
        <v>42919</v>
      </c>
      <c r="C18" t="s">
        <v>47</v>
      </c>
      <c r="D18" t="s">
        <v>50</v>
      </c>
      <c r="E18">
        <v>2000</v>
      </c>
      <c r="S18">
        <v>0</v>
      </c>
    </row>
    <row r="19" spans="1:19" x14ac:dyDescent="0.25">
      <c r="A19">
        <v>16</v>
      </c>
      <c r="B19" s="1">
        <v>42921</v>
      </c>
      <c r="C19" t="s">
        <v>47</v>
      </c>
      <c r="D19" t="s">
        <v>50</v>
      </c>
      <c r="E19">
        <v>2000</v>
      </c>
      <c r="S19">
        <v>5.75</v>
      </c>
    </row>
    <row r="20" spans="1:19" x14ac:dyDescent="0.25">
      <c r="A20">
        <v>17</v>
      </c>
      <c r="B20" s="1">
        <v>42922</v>
      </c>
      <c r="C20" t="s">
        <v>47</v>
      </c>
      <c r="D20" t="s">
        <v>50</v>
      </c>
      <c r="E20">
        <v>5000</v>
      </c>
      <c r="L20" s="3"/>
      <c r="M20" s="3"/>
      <c r="S20">
        <v>5.75</v>
      </c>
    </row>
    <row r="21" spans="1:19" x14ac:dyDescent="0.25">
      <c r="A21">
        <v>18</v>
      </c>
      <c r="B21" s="1">
        <v>42923</v>
      </c>
      <c r="C21" t="s">
        <v>47</v>
      </c>
      <c r="D21" t="s">
        <v>50</v>
      </c>
      <c r="E21">
        <v>-4500</v>
      </c>
      <c r="S21">
        <v>5.75</v>
      </c>
    </row>
    <row r="22" spans="1:19" x14ac:dyDescent="0.25">
      <c r="A22">
        <v>19</v>
      </c>
      <c r="B22" s="1">
        <v>42955</v>
      </c>
      <c r="C22" t="s">
        <v>47</v>
      </c>
      <c r="D22" t="s">
        <v>50</v>
      </c>
      <c r="E22">
        <v>1000</v>
      </c>
      <c r="L22" s="3"/>
      <c r="M22" s="3"/>
      <c r="S22">
        <f>SUM(S9:S21)</f>
        <v>9528.1400000000012</v>
      </c>
    </row>
    <row r="23" spans="1:19" x14ac:dyDescent="0.25">
      <c r="A23">
        <v>20</v>
      </c>
      <c r="B23" s="1">
        <v>42957</v>
      </c>
      <c r="C23" t="s">
        <v>47</v>
      </c>
      <c r="D23" t="s">
        <v>50</v>
      </c>
      <c r="E23">
        <v>500</v>
      </c>
      <c r="S23">
        <f>S22+P15</f>
        <v>28691.770000000004</v>
      </c>
    </row>
    <row r="24" spans="1:19" x14ac:dyDescent="0.25">
      <c r="A24">
        <v>21</v>
      </c>
      <c r="B24" s="1">
        <v>42963</v>
      </c>
      <c r="C24" t="s">
        <v>47</v>
      </c>
      <c r="D24" t="s">
        <v>50</v>
      </c>
      <c r="E24">
        <v>500</v>
      </c>
      <c r="L24" s="3"/>
      <c r="M24" s="3"/>
    </row>
    <row r="25" spans="1:19" x14ac:dyDescent="0.25">
      <c r="A25">
        <v>22</v>
      </c>
      <c r="B25" s="1">
        <v>42968</v>
      </c>
      <c r="C25" t="s">
        <v>47</v>
      </c>
      <c r="D25" t="s">
        <v>52</v>
      </c>
      <c r="E25">
        <v>5000</v>
      </c>
    </row>
    <row r="26" spans="1:19" x14ac:dyDescent="0.25">
      <c r="A26" t="s">
        <v>6</v>
      </c>
      <c r="E26">
        <f>SUBTOTAL(109,Table2[Amount])</f>
        <v>39009.760000000002</v>
      </c>
      <c r="L26" s="3"/>
      <c r="M26" s="4"/>
    </row>
    <row r="33" spans="12:12" x14ac:dyDescent="0.25">
      <c r="L33" s="3"/>
    </row>
    <row r="56" spans="23:23" x14ac:dyDescent="0.25">
      <c r="W56" s="1"/>
    </row>
    <row r="57" spans="23:23" x14ac:dyDescent="0.25">
      <c r="W57" s="3"/>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Lookup!$B$3:$B$4</xm:f>
          </x14:formula1>
          <xm:sqref>C4:C25</xm:sqref>
        </x14:dataValidation>
        <x14:dataValidation type="list" allowBlank="1" showInputMessage="1" showErrorMessage="1">
          <x14:formula1>
            <xm:f>Lookup!$D$3:$D$6</xm:f>
          </x14:formula1>
          <xm:sqref>D4:D25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2:G6"/>
  <sheetViews>
    <sheetView workbookViewId="0">
      <selection activeCell="G6" sqref="G6"/>
    </sheetView>
  </sheetViews>
  <sheetFormatPr defaultRowHeight="15" x14ac:dyDescent="0.25"/>
  <cols>
    <col min="4" max="4" width="12.85546875" bestFit="1" customWidth="1"/>
  </cols>
  <sheetData>
    <row r="2" spans="2:7" x14ac:dyDescent="0.25">
      <c r="B2" t="s">
        <v>41</v>
      </c>
      <c r="D2" t="s">
        <v>48</v>
      </c>
      <c r="G2" t="s">
        <v>91</v>
      </c>
    </row>
    <row r="3" spans="2:7" x14ac:dyDescent="0.25">
      <c r="B3" t="s">
        <v>45</v>
      </c>
      <c r="D3" t="s">
        <v>49</v>
      </c>
      <c r="G3" t="s">
        <v>92</v>
      </c>
    </row>
    <row r="4" spans="2:7" x14ac:dyDescent="0.25">
      <c r="B4" t="s">
        <v>47</v>
      </c>
      <c r="D4" t="s">
        <v>50</v>
      </c>
      <c r="G4" t="s">
        <v>93</v>
      </c>
    </row>
    <row r="5" spans="2:7" x14ac:dyDescent="0.25">
      <c r="D5" t="s">
        <v>51</v>
      </c>
      <c r="G5" t="s">
        <v>94</v>
      </c>
    </row>
    <row r="6" spans="2:7" x14ac:dyDescent="0.25">
      <c r="D6" t="s">
        <v>52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T a b l e 1 - 2 1 8 a 7 c 9 5 - 3 8 8 8 - 4 b 6 2 - a 9 f 0 - 4 e 6 e e 5 7 9 d c 2 e ] ] > < / C u s t o m C o n t e n t > < / G e m i n i > 
</file>

<file path=customXml/item10.xml>��< ? x m l   v e r s i o n = " 1 . 0 "   e n c o d i n g = " U T F - 1 6 " ? > < G e m i n i   x m l n s = " h t t p : / / g e m i n i / p i v o t c u s t o m i z a t i o n / C l i e n t W i n d o w X M L " > < C u s t o m C o n t e n t > < ! [ C D A T A [ T a b l e 1 - 2 1 8 a 7 c 9 5 - 3 8 8 8 - 4 b 6 2 - a 9 f 0 - 4 e 6 e e 5 7 9 d c 2 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S h o w H i d d e n " > < 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M a n u a l C a l c M o d e " > < C u s t o m C o n t e n t > < ! [ C D A T A [ F a l s e ] ] > < / C u s t o m C o n t e n t > < / G e m i n i > 
</file>

<file path=customXml/item16.xml>��< ? x m l   v e r s i o n = " 1 . 0 "   e n c o d i n g = " U T F - 1 6 " ? > < G e m i n i   x m l n s = " h t t p : / / g e m i n i / p i v o t c u s t o m i z a t i o n / S h o w I m p l i c i t M e a s u r e s " > < C u s t o m C o n t e n t > < ! [ C D A T A [ F a l s e ] ] > < / C u s t o m C o n t e n t > < / G e m i n i > 
</file>

<file path=customXml/item2.xml>��< ? x m l   v e r s i o n = " 1 . 0 "   e n c o d i n g = " U T F - 1 6 " ? > < G e m i n i   x m l n s = " h t t p : / / g e m i n i / p i v o t c u s t o m i z a t i o n / T a b l e C o u n t I n S a n d b o x " > < C u s t o m C o n t e n t > < ! [ C D A T A [ 1 ] ] > < / 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 2 0 1 7 - 0 8 - 2 9 T 1 8 : 0 9 : 3 1 . 8 6 7 1 1 4 7 + 0 5 : 3 0 < / L a s t P r o c e s s e d T i m e > < / D a t a M o d e l i n g S a n d b o x . S e r i a l i z e d S a n d b o x E r r o r C a c h e > ] ] > < / C u s t o m C o n t e n t > < / G e m i n i > 
</file>

<file path=customXml/item5.xml>��< ? x m l   v e r s i o n = " 1 . 0 "   e n c o d i n g = " U T F - 1 6 " ? > < G e m i n i   x m l n s = " h t t p : / / g e m i n i / p i v o t c u s t o m i z a t i o n / P o w e r P i v o t V e r s i o n " > < C u s t o m C o n t e n t > < ! [ C D A T A [ 2 0 1 1 . 1 1 0 . 2 8 3 2 . 1 2 ] ] > < / C u s t o m C o n t e n t > < / G e m i n i > 
</file>

<file path=customXml/item6.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T a b l e 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 i : t y p e = " S a n d b o x E d i t o r M e a s u r e G r i d K e y " & g t ; & l t ; T a b l e N a m e & g t ; T a b l e 1 & l t ; / T a b l e N a m e & g t ; & l t ; / K e y & g t ; & l t ; M a i n t a i n e r 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  N o . & l t ; / K e y & g t ; & l t ; / D i a g r a m O b j e c t K e y & g t ; & l t ; D i a g r a m O b j e c t K e y & g t ; & l t ; K e y & g t ; C o l u m n s \ B u y   D a t e & l t ; / K e y & g t ; & l t ; / D i a g r a m O b j e c t K e y & g t ; & l t ; D i a g r a m O b j e c t K e y & g t ; & l t ; K e y & g t ; C o l u m n s \ C o n t r a c t & l t ; / K e y & g t ; & l t ; / D i a g r a m O b j e c t K e y & g t ; & l t ; D i a g r a m O b j e c t K e y & g t ; & l t ; K e y & g t ; C o l u m n s \ S t r i k e   P r i c e & l t ; / K e y & g t ; & l t ; / D i a g r a m O b j e c t K e y & g t ; & l t ; D i a g r a m O b j e c t K e y & g t ; & l t ; K e y & g t ; C o l u m n s \ T y p e & l t ; / K e y & g t ; & l t ; / D i a g r a m O b j e c t K e y & g t ; & l t ; D i a g r a m O b j e c t K e y & g t ; & l t ; K e y & g t ; C o l u m n s \ C o n t r a c t   D a t e & l t ; / K e y & g t ; & l t ; / D i a g r a m O b j e c t K e y & g t ; & l t ; D i a g r a m O b j e c t K e y & g t ; & l t ; K e y & g t ; C o l u m n s \ Q u a n t i t y & l t ; / K e y & g t ; & l t ; / D i a g r a m O b j e c t K e y & g t ; & l t ; D i a g r a m O b j e c t K e y & g t ; & l t ; K e y & g t ; C o l u m n s \ P r i c e & l t ; / K e y & g t ; & l t ; / D i a g r a m O b j e c t K e y & g t ; & l t ; D i a g r a m O b j e c t K e y & g t ; & l t ; K e y & g t ; C o l u m n s \ V a l u e & l t ; / K e y & g t ; & l t ; / D i a g r a m O b j e c t K e y & g t ; & l t ; D i a g r a m O b j e c t K e y & g t ; & l t ; K e y & g t ; C o l u m n s \ B r o k e r a g e & l t ; / K e y & g t ; & l t ; / D i a g r a m O b j e c t K e y & g t ; & l t ; D i a g r a m O b j e c t K e y & g t ; & l t ; K e y & g t ; C o l u m n s \ T a x e s & l t ; / K e y & g t ; & l t ; / D i a g r a m O b j e c t K e y & g t ; & l t ; D i a g r a m O b j e c t K e y & g t ; & l t ; K e y & g t ; C o l u m n s \ T o t a l & l t ; / K e y & g t ; & l t ; / D i a g r a m O b j e c t K e y & g t ; & l t ; D i a g r a m O b j e c t K e y & g t ; & l t ; K e y & g t ; C o l u m n s \ D I V & l t ; / K e y & g t ; & l t ; / D i a g r a m O b j e c t K e y & g t ; & l t ; D i a g r a m O b j e c t K e y & g t ; & l t ; K e y & g t ; C o l u m n s \ S e l l   D a t e & l t ; / K e y & g t ; & l t ; / D i a g r a m O b j e c t K e y & g t ; & l t ; D i a g r a m O b j e c t K e y & g t ; & l t ; K e y & g t ; C o l u m n s \ Q u a n t i t y 2 & l t ; / K e y & g t ; & l t ; / D i a g r a m O b j e c t K e y & g t ; & l t ; D i a g r a m O b j e c t K e y & g t ; & l t ; K e y & g t ; C o l u m n s \ P r i c e 3 & l t ; / K e y & g t ; & l t ; / D i a g r a m O b j e c t K e y & g t ; & l t ; D i a g r a m O b j e c t K e y & g t ; & l t ; K e y & g t ; C o l u m n s \ V a l u e 4 & l t ; / K e y & g t ; & l t ; / D i a g r a m O b j e c t K e y & g t ; & l t ; D i a g r a m O b j e c t K e y & g t ; & l t ; K e y & g t ; C o l u m n s \ B r o k e r a g e 5 & l t ; / K e y & g t ; & l t ; / D i a g r a m O b j e c t K e y & g t ; & l t ; D i a g r a m O b j e c t K e y & g t ; & l t ; K e y & g t ; C o l u m n s \ T a x e s 6 & l t ; / K e y & g t ; & l t ; / D i a g r a m O b j e c t K e y & g t ; & l t ; D i a g r a m O b j e c t K e y & g t ; & l t ; K e y & g t ; C o l u m n s \ T o t a l 7 & l t ; / K e y & g t ; & l t ; / D i a g r a m O b j e c t K e y & g t ; & l t ; D i a g r a m O b j e c t K e y & g t ; & l t ; K e y & g t ; C o l u m n s \ P r o f i t & l t ; / K e y & g t ; & l t ; / D i a g r a m O b j e c t K e y & g t ; & l t ; D i a g r a m O b j e c t K e y & g t ; & l t ; K e y & g t ; C o l u m n s \ P e r c e n t a g e & l t ; / K e y & g t ; & l t ; / D i a g r a m O b j e c t K e y & g t ; & l t ; D i a g r a m O b j e c t K e y & g t ; & l t ; K e y & g t ; C o l u m n s \ M o n t h & l t ; / K e y & g t ; & l t ; / D i a g r a m O b j e c t K e y & g t ; & l t ; D i a g r a m O b j e c t K e y & g t ; & l t ; K e y & g t ; C o l u m n s \ D e m a t & l t ; / K e y & g t ; & l t ; / D i a g r a m O b j e c t K e y & g t ; & l t ; D i a g r a m O b j e c t K e y & g t ; & l t ; K e y & g t ; C o l u m n s \ D a y & l t ; / K e y & g t ; & l t ; / D i a g r a m O b j e c t K e y & g t ; & l t ; D i a g r a m O b j e c t K e y & g t ; & l t ; K e y & g t ; C o l u m n s \ C a l l   B 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  N o . & l t ; / K e y & g t ; & l t ; / a : K e y & g t ; & l t ; a : V a l u e   i : t y p e = " M e a s u r e G r i d N o d e V i e w S t a t e " & g t ; & l t ; L a y e d O u t & g t ; t r u e & l t ; / L a y e d O u t & g t ; & l t ; / a : V a l u e & g t ; & l t ; / a : K e y V a l u e O f D i a g r a m O b j e c t K e y a n y T y p e z b w N T n L X & g t ; & l t ; a : K e y V a l u e O f D i a g r a m O b j e c t K e y a n y T y p e z b w N T n L X & g t ; & l t ; a : K e y & g t ; & l t ; K e y & g t ; C o l u m n s \ B u y   D a t e & l t ; / K e y & g t ; & l t ; / a : K e y & g t ; & l t ; a : V a l u e   i : t y p e = " M e a s u r e G r i d N o d e V i e w S t a t e " & g t ; & l t ; C o l u m n & g t ; 1 & l t ; / C o l u m n & g t ; & l t ; L a y e d O u t & g t ; t r u e & l t ; / L a y e d O u t & g t ; & l t ; / a : V a l u e & g t ; & l t ; / a : K e y V a l u e O f D i a g r a m O b j e c t K e y a n y T y p e z b w N T n L X & g t ; & l t ; a : K e y V a l u e O f D i a g r a m O b j e c t K e y a n y T y p e z b w N T n L X & g t ; & l t ; a : K e y & g t ; & l t ; K e y & g t ; C o l u m n s \ C o n t r a c t & l t ; / K e y & g t ; & l t ; / a : K e y & g t ; & l t ; a : V a l u e   i : t y p e = " M e a s u r e G r i d N o d e V i e w S t a t e " & g t ; & l t ; C o l u m n & g t ; 2 & l t ; / C o l u m n & g t ; & l t ; L a y e d O u t & g t ; t r u e & l t ; / L a y e d O u t & g t ; & l t ; / a : V a l u e & g t ; & l t ; / a : K e y V a l u e O f D i a g r a m O b j e c t K e y a n y T y p e z b w N T n L X & g t ; & l t ; a : K e y V a l u e O f D i a g r a m O b j e c t K e y a n y T y p e z b w N T n L X & g t ; & l t ; a : K e y & g t ; & l t ; K e y & g t ; C o l u m n s \ S t r i k e   P r i c e & l t ; / K e y & g t ; & l t ; / a : K e y & g t ; & l t ; a : V a l u e   i : t y p e = " M e a s u r e G r i d N o d e V i e w S t a t e " & g t ; & l t ; C o l u m n & g t ; 3 & l t ; / C o l u m n & g t ; & l t ; L a y e d O u t & g t ; t r u e & l t ; / L a y e d O u t & g t ; & l t ; / a : V a l u e & g t ; & l t ; / a : K e y V a l u e O f D i a g r a m O b j e c t K e y a n y T y p e z b w N T n L X & g t ; & l t ; a : K e y V a l u e O f D i a g r a m O b j e c t K e y a n y T y p e z b w N T n L X & g t ; & l t ; a : K e y & g t ; & l t ; K e y & g t ; C o l u m n s \ T y p e & l t ; / K e y & g t ; & l t ; / a : K e y & g t ; & l t ; a : V a l u e   i : t y p e = " M e a s u r e G r i d N o d e V i e w S t a t e " & g t ; & l t ; C o l u m n & g t ; 4 & l t ; / C o l u m n & g t ; & l t ; L a y e d O u t & g t ; t r u e & l t ; / L a y e d O u t & g t ; & l t ; / a : V a l u e & g t ; & l t ; / a : K e y V a l u e O f D i a g r a m O b j e c t K e y a n y T y p e z b w N T n L X & g t ; & l t ; a : K e y V a l u e O f D i a g r a m O b j e c t K e y a n y T y p e z b w N T n L X & g t ; & l t ; a : K e y & g t ; & l t ; K e y & g t ; C o l u m n s \ C o n t r a c t   D a t e & l t ; / K e y & g t ; & l t ; / a : K e y & g t ; & l t ; a : V a l u e   i : t y p e = " M e a s u r e G r i d N o d e V i e w S t a t e " & g t ; & l t ; C o l u m n & g t ; 5 & l t ; / C o l u m n & g t ; & l t ; L a y e d O u t & g t ; t r u e & l t ; / L a y e d O u t & g t ; & l t ; / a : V a l u e & g t ; & l t ; / a : K e y V a l u e O f D i a g r a m O b j e c t K e y a n y T y p e z b w N T n L X & g t ; & l t ; a : K e y V a l u e O f D i a g r a m O b j e c t K e y a n y T y p e z b w N T n L X & g t ; & l t ; a : K e y & g t ; & l t ; K e y & g t ; C o l u m n s \ Q u a n t i t y & l t ; / K e y & g t ; & l t ; / a : K e y & g t ; & l t ; a : V a l u e   i : t y p e = " M e a s u r e G r i d N o d e V i e w S t a t e " & g t ; & l t ; C o l u m n & g t ; 6 & l t ; / C o l u m n & g t ; & l t ; L a y e d O u t & g t ; t r u e & l t ; / L a y e d O u t & g t ; & l t ; / a : V a l u e & g t ; & l t ; / a : K e y V a l u e O f D i a g r a m O b j e c t K e y a n y T y p e z b w N T n L X & g t ; & l t ; a : K e y V a l u e O f D i a g r a m O b j e c t K e y a n y T y p e z b w N T n L X & g t ; & l t ; a : K e y & g t ; & l t ; K e y & g t ; C o l u m n s \ P r i c e & l t ; / K e y & g t ; & l t ; / a : K e y & g t ; & l t ; a : V a l u e   i : t y p e = " M e a s u r e G r i d N o d e V i e w S t a t e " & g t ; & l t ; C o l u m n & g t ; 7 & l t ; / C o l u m n & g t ; & l t ; L a y e d O u t & g t ; t r u e & l t ; / L a y e d O u t & g t ; & l t ; / a : V a l u e & g t ; & l t ; / a : K e y V a l u e O f D i a g r a m O b j e c t K e y a n y T y p e z b w N T n L X & g t ; & l t ; a : K e y V a l u e O f D i a g r a m O b j e c t K e y a n y T y p e z b w N T n L X & g t ; & l t ; a : K e y & g t ; & l t ; K e y & g t ; C o l u m n s \ V a l u e & l t ; / K e y & g t ; & l t ; / a : K e y & g t ; & l t ; a : V a l u e   i : t y p e = " M e a s u r e G r i d N o d e V i e w S t a t e " & g t ; & l t ; C o l u m n & g t ; 8 & l t ; / C o l u m n & g t ; & l t ; L a y e d O u t & g t ; t r u e & l t ; / L a y e d O u t & g t ; & l t ; / a : V a l u e & g t ; & l t ; / a : K e y V a l u e O f D i a g r a m O b j e c t K e y a n y T y p e z b w N T n L X & g t ; & l t ; a : K e y V a l u e O f D i a g r a m O b j e c t K e y a n y T y p e z b w N T n L X & g t ; & l t ; a : K e y & g t ; & l t ; K e y & g t ; C o l u m n s \ B r o k e r a g e & l t ; / K e y & g t ; & l t ; / a : K e y & g t ; & l t ; a : V a l u e   i : t y p e = " M e a s u r e G r i d N o d e V i e w S t a t e " & g t ; & l t ; C o l u m n & g t ; 9 & l t ; / C o l u m n & g t ; & l t ; L a y e d O u t & g t ; t r u e & l t ; / L a y e d O u t & g t ; & l t ; / a : V a l u e & g t ; & l t ; / a : K e y V a l u e O f D i a g r a m O b j e c t K e y a n y T y p e z b w N T n L X & g t ; & l t ; a : K e y V a l u e O f D i a g r a m O b j e c t K e y a n y T y p e z b w N T n L X & g t ; & l t ; a : K e y & g t ; & l t ; K e y & g t ; C o l u m n s \ T a x e s & l t ; / K e y & g t ; & l t ; / a : K e y & g t ; & l t ; a : V a l u e   i : t y p e = " M e a s u r e G r i d N o d e V i e w S t a t e " & g t ; & l t ; C o l u m n & g t ; 1 0 & l t ; / C o l u m n & g t ; & l t ; L a y e d O u t & g t ; t r u e & l t ; / L a y e d O u t & g t ; & l t ; / a : V a l u e & g t ; & l t ; / a : K e y V a l u e O f D i a g r a m O b j e c t K e y a n y T y p e z b w N T n L X & g t ; & l t ; a : K e y V a l u e O f D i a g r a m O b j e c t K e y a n y T y p e z b w N T n L X & g t ; & l t ; a : K e y & g t ; & l t ; K e y & g t ; C o l u m n s \ T o t a l & l t ; / K e y & g t ; & l t ; / a : K e y & g t ; & l t ; a : V a l u e   i : t y p e = " M e a s u r e G r i d N o d e V i e w S t a t e " & g t ; & l t ; C o l u m n & g t ; 1 1 & l t ; / C o l u m n & g t ; & l t ; L a y e d O u t & g t ; t r u e & l t ; / L a y e d O u t & g t ; & l t ; / a : V a l u e & g t ; & l t ; / a : K e y V a l u e O f D i a g r a m O b j e c t K e y a n y T y p e z b w N T n L X & g t ; & l t ; a : K e y V a l u e O f D i a g r a m O b j e c t K e y a n y T y p e z b w N T n L X & g t ; & l t ; a : K e y & g t ; & l t ; K e y & g t ; C o l u m n s \ D I V & l t ; / K e y & g t ; & l t ; / a : K e y & g t ; & l t ; a : V a l u e   i : t y p e = " M e a s u r e G r i d N o d e V i e w S t a t e " & g t ; & l t ; C o l u m n & g t ; 1 2 & l t ; / C o l u m n & g t ; & l t ; L a y e d O u t & g t ; t r u e & l t ; / L a y e d O u t & g t ; & l t ; / a : V a l u e & g t ; & l t ; / a : K e y V a l u e O f D i a g r a m O b j e c t K e y a n y T y p e z b w N T n L X & g t ; & l t ; a : K e y V a l u e O f D i a g r a m O b j e c t K e y a n y T y p e z b w N T n L X & g t ; & l t ; a : K e y & g t ; & l t ; K e y & g t ; C o l u m n s \ S e l l   D a t e & l t ; / K e y & g t ; & l t ; / a : K e y & g t ; & l t ; a : V a l u e   i : t y p e = " M e a s u r e G r i d N o d e V i e w S t a t e " & g t ; & l t ; C o l u m n & g t ; 1 3 & l t ; / C o l u m n & g t ; & l t ; L a y e d O u t & g t ; t r u e & l t ; / L a y e d O u t & g t ; & l t ; / a : V a l u e & g t ; & l t ; / a : K e y V a l u e O f D i a g r a m O b j e c t K e y a n y T y p e z b w N T n L X & g t ; & l t ; a : K e y V a l u e O f D i a g r a m O b j e c t K e y a n y T y p e z b w N T n L X & g t ; & l t ; a : K e y & g t ; & l t ; K e y & g t ; C o l u m n s \ Q u a n t i t y 2 & l t ; / K e y & g t ; & l t ; / a : K e y & g t ; & l t ; a : V a l u e   i : t y p e = " M e a s u r e G r i d N o d e V i e w S t a t e " & g t ; & l t ; C o l u m n & g t ; 1 4 & l t ; / C o l u m n & g t ; & l t ; L a y e d O u t & g t ; t r u e & l t ; / L a y e d O u t & g t ; & l t ; / a : V a l u e & g t ; & l t ; / a : K e y V a l u e O f D i a g r a m O b j e c t K e y a n y T y p e z b w N T n L X & g t ; & l t ; a : K e y V a l u e O f D i a g r a m O b j e c t K e y a n y T y p e z b w N T n L X & g t ; & l t ; a : K e y & g t ; & l t ; K e y & g t ; C o l u m n s \ P r i c e 3 & l t ; / K e y & g t ; & l t ; / a : K e y & g t ; & l t ; a : V a l u e   i : t y p e = " M e a s u r e G r i d N o d e V i e w S t a t e " & g t ; & l t ; C o l u m n & g t ; 1 5 & l t ; / C o l u m n & g t ; & l t ; L a y e d O u t & g t ; t r u e & l t ; / L a y e d O u t & g t ; & l t ; / a : V a l u e & g t ; & l t ; / a : K e y V a l u e O f D i a g r a m O b j e c t K e y a n y T y p e z b w N T n L X & g t ; & l t ; a : K e y V a l u e O f D i a g r a m O b j e c t K e y a n y T y p e z b w N T n L X & g t ; & l t ; a : K e y & g t ; & l t ; K e y & g t ; C o l u m n s \ V a l u e 4 & l t ; / K e y & g t ; & l t ; / a : K e y & g t ; & l t ; a : V a l u e   i : t y p e = " M e a s u r e G r i d N o d e V i e w S t a t e " & g t ; & l t ; C o l u m n & g t ; 1 6 & l t ; / C o l u m n & g t ; & l t ; L a y e d O u t & g t ; t r u e & l t ; / L a y e d O u t & g t ; & l t ; / a : V a l u e & g t ; & l t ; / a : K e y V a l u e O f D i a g r a m O b j e c t K e y a n y T y p e z b w N T n L X & g t ; & l t ; a : K e y V a l u e O f D i a g r a m O b j e c t K e y a n y T y p e z b w N T n L X & g t ; & l t ; a : K e y & g t ; & l t ; K e y & g t ; C o l u m n s \ B r o k e r a g e 5 & l t ; / K e y & g t ; & l t ; / a : K e y & g t ; & l t ; a : V a l u e   i : t y p e = " M e a s u r e G r i d N o d e V i e w S t a t e " & g t ; & l t ; C o l u m n & g t ; 1 7 & l t ; / C o l u m n & g t ; & l t ; L a y e d O u t & g t ; t r u e & l t ; / L a y e d O u t & g t ; & l t ; / a : V a l u e & g t ; & l t ; / a : K e y V a l u e O f D i a g r a m O b j e c t K e y a n y T y p e z b w N T n L X & g t ; & l t ; a : K e y V a l u e O f D i a g r a m O b j e c t K e y a n y T y p e z b w N T n L X & g t ; & l t ; a : K e y & g t ; & l t ; K e y & g t ; C o l u m n s \ T a x e s 6 & l t ; / K e y & g t ; & l t ; / a : K e y & g t ; & l t ; a : V a l u e   i : t y p e = " M e a s u r e G r i d N o d e V i e w S t a t e " & g t ; & l t ; C o l u m n & g t ; 1 8 & l t ; / C o l u m n & g t ; & l t ; L a y e d O u t & g t ; t r u e & l t ; / L a y e d O u t & g t ; & l t ; / a : V a l u e & g t ; & l t ; / a : K e y V a l u e O f D i a g r a m O b j e c t K e y a n y T y p e z b w N T n L X & g t ; & l t ; a : K e y V a l u e O f D i a g r a m O b j e c t K e y a n y T y p e z b w N T n L X & g t ; & l t ; a : K e y & g t ; & l t ; K e y & g t ; C o l u m n s \ T o t a l 7 & l t ; / K e y & g t ; & l t ; / a : K e y & g t ; & l t ; a : V a l u e   i : t y p e = " M e a s u r e G r i d N o d e V i e w S t a t e " & g t ; & l t ; C o l u m n & g t ; 1 9 & l t ; / C o l u m n & g t ; & l t ; L a y e d O u t & g t ; t r u e & l t ; / L a y e d O u t & g t ; & l t ; / a : V a l u e & g t ; & l t ; / a : K e y V a l u e O f D i a g r a m O b j e c t K e y a n y T y p e z b w N T n L X & g t ; & l t ; a : K e y V a l u e O f D i a g r a m O b j e c t K e y a n y T y p e z b w N T n L X & g t ; & l t ; a : K e y & g t ; & l t ; K e y & g t ; C o l u m n s \ P r o f i t & l t ; / K e y & g t ; & l t ; / a : K e y & g t ; & l t ; a : V a l u e   i : t y p e = " M e a s u r e G r i d N o d e V i e w S t a t e " & g t ; & l t ; C o l u m n & g t ; 2 0 & l t ; / C o l u m n & g t ; & l t ; L a y e d O u t & g t ; t r u e & l t ; / L a y e d O u t & g t ; & l t ; / a : V a l u e & g t ; & l t ; / a : K e y V a l u e O f D i a g r a m O b j e c t K e y a n y T y p e z b w N T n L X & g t ; & l t ; a : K e y V a l u e O f D i a g r a m O b j e c t K e y a n y T y p e z b w N T n L X & g t ; & l t ; a : K e y & g t ; & l t ; K e y & g t ; C o l u m n s \ P e r c e n t a g e & l t ; / K e y & g t ; & l t ; / a : K e y & g t ; & l t ; a : V a l u e   i : t y p e = " M e a s u r e G r i d N o d e V i e w S t a t e " & g t ; & l t ; C o l u m n & g t ; 2 1 & l t ; / C o l u m n & g t ; & l t ; L a y e d O u t & g t ; t r u e & l t ; / L a y e d O u t & g t ; & l t ; / a : V a l u e & g t ; & l t ; / a : K e y V a l u e O f D i a g r a m O b j e c t K e y a n y T y p e z b w N T n L X & g t ; & l t ; a : K e y V a l u e O f D i a g r a m O b j e c t K e y a n y T y p e z b w N T n L X & g t ; & l t ; a : K e y & g t ; & l t ; K e y & g t ; C o l u m n s \ M o n t h & l t ; / K e y & g t ; & l t ; / a : K e y & g t ; & l t ; a : V a l u e   i : t y p e = " M e a s u r e G r i d N o d e V i e w S t a t e " & g t ; & l t ; C o l u m n & g t ; 2 2 & l t ; / C o l u m n & g t ; & l t ; L a y e d O u t & g t ; t r u e & l t ; / L a y e d O u t & g t ; & l t ; / a : V a l u e & g t ; & l t ; / a : K e y V a l u e O f D i a g r a m O b j e c t K e y a n y T y p e z b w N T n L X & g t ; & l t ; a : K e y V a l u e O f D i a g r a m O b j e c t K e y a n y T y p e z b w N T n L X & g t ; & l t ; a : K e y & g t ; & l t ; K e y & g t ; C o l u m n s \ D e m a t & l t ; / K e y & g t ; & l t ; / a : K e y & g t ; & l t ; a : V a l u e   i : t y p e = " M e a s u r e G r i d N o d e V i e w S t a t e " & g t ; & l t ; C o l u m n & g t ; 2 3 & l t ; / C o l u m n & g t ; & l t ; L a y e d O u t & g t ; t r u e & l t ; / L a y e d O u t & g t ; & l t ; / a : V a l u e & g t ; & l t ; / a : K e y V a l u e O f D i a g r a m O b j e c t K e y a n y T y p e z b w N T n L X & g t ; & l t ; a : K e y V a l u e O f D i a g r a m O b j e c t K e y a n y T y p e z b w N T n L X & g t ; & l t ; a : K e y & g t ; & l t ; K e y & g t ; C o l u m n s \ D a y & l t ; / K e y & g t ; & l t ; / a : K e y & g t ; & l t ; a : V a l u e   i : t y p e = " M e a s u r e G r i d N o d e V i e w S t a t e " & g t ; & l t ; C o l u m n & g t ; 2 4 & l t ; / C o l u m n & g t ; & l t ; L a y e d O u t & g t ; t r u e & l t ; / L a y e d O u t & g t ; & l t ; / a : V a l u e & g t ; & l t ; / a : K e y V a l u e O f D i a g r a m O b j e c t K e y a n y T y p e z b w N T n L X & g t ; & l t ; a : K e y V a l u e O f D i a g r a m O b j e c t K e y a n y T y p e z b w N T n L X & g t ; & l t ; a : K e y & g t ; & l t ; K e y & g t ; C o l u m n s \ C a l l   B y & l t ; / K e y & g t ; & l t ; / a : K e y & g t ; & l t ; a : V a l u e   i : t y p e = " M e a s u r e G r i d N o d e V i e w S t a t e " & g t ; & l t ; C o l u m n & g t ; 2 5 & l t ; / C o l u m n & g t ; & l t ; L a y e d O u t & g t ; t r u e & l t ; / L a y e d O u t & g t ; & l t ; / a : V a l u e & g t ; & l t ; / a : K e y V a l u e O f D i a g r a m O b j e c t K e y a n y T y p e z b w N T n L X & g t ; & l t ; / V i e w S t a t e s & g t ; & l t ; / D i a g r a m M a n a g e r . S e r i a l i z a b l e D i a g r a m & g t ; & l t ; / A r r a y O f D i a g r a m M a n a g e r . S e r i a l i z a b l e D i a g r a m & g t ; < / C u s t o m C o n t e n t > < / G e m i n i > 
</file>

<file path=customXml/item7.xml>��< ? x m l   v e r s i o n = " 1 . 0 "   e n c o d i n g = " U T F - 1 6 " ? > < G e m i n i   x m l n s = " h t t p : / / g e m i n i / p i v o t c u s t o m i z a t i o n / L i n k e d T a b l e s " > < C u s t o m C o n t e n t > < ! [ C D A T A [ < L i n k e d T a b l e s   x m l n s : x s d = " h t t p : / / w w w . w 3 . o r g / 2 0 0 1 / X M L S c h e m a "   x m l n s : x s i = " h t t p : / / w w w . w 3 . o r g / 2 0 0 1 / X M L S c h e m a - i n s t a n c e " > < L i n k e d T a b l e L i s t > < L i n k e d T a b l e I n f o > < E x c e l T a b l e N a m e > T a b l e 1 < / E x c e l T a b l e N a m e > < G e m i n i T a b l e I d > T a b l e 1 - 2 1 8 a 7 c 9 5 - 3 8 8 8 - 4 b 6 2 - a 9 f 0 - 4 e 6 e e 5 7 9 d c 2 e < / G e m i n i T a b l e I d > < L i n k e d C o l u m n L i s t   / > < U p d a t e N e e d e d > f a l s e < / U p d a t e N e e d e d > < R o w C o u n t > 0 < / R o w C o u n t > < / L i n k e d T a b l e I n f o > < / L i n k e d T a b l e L i s t > < / L i n k e d T a b l e s > ] ] > < / C u s t o m C o n t e n t > < / G e m i n i > 
</file>

<file path=customXml/item8.xml>��< ? x m l   v e r s i o n = " 1 . 0 "   e n c o d i n g = " U T F - 1 6 " ? > < G e m i n i   x m l n s = " h t t p : / / g e m i n i / p i v o t c u s t o m i z a t i o n / T a b l e X M L _ T a b l e 1 - 2 1 8 a 7 c 9 5 - 3 8 8 8 - 4 b 6 2 - a 9 f 0 - 4 e 6 e e 5 7 9 d c 2 e " > < C u s t o m C o n t e n t > < ! [ C D A T A [ < T a b l e W i d g e t G r i d S e r i a l i z a t i o n   x m l n s : x s d = " h t t p : / / w w w . w 3 . o r g / 2 0 0 1 / X M L S c h e m a "   x m l n s : x s i = " h t t p : / / w w w . w 3 . o r g / 2 0 0 1 / X M L S c h e m a - i n s t a n c e " > < C o l u m n S u g g e s t e d T y p e   / > < C o l u m n F o r m a t   / > < C o l u m n A c c u r a c y   / > < C o l u m n C u r r e n c y S y m b o l   / > < C o l u m n P o s i t i v e P a t t e r n   / > < C o l u m n N e g a t i v e P a t t e r n   / > < C o l u m n W i d t h s > < i t e m > < k e y > < s t r i n g > S .   N o . < / s t r i n g > < / k e y > < v a l u e > < i n t > 7 2 < / i n t > < / v a l u e > < / i t e m > < i t e m > < k e y > < s t r i n g > B u y   D a t e < / s t r i n g > < / k e y > < v a l u e > < i n t > 9 1 < / i n t > < / v a l u e > < / i t e m > < i t e m > < k e y > < s t r i n g > C o n t r a c t < / s t r i n g > < / k e y > < v a l u e > < i n t > 8 8 < / i n t > < / v a l u e > < / i t e m > < i t e m > < k e y > < s t r i n g > S t r i k e   P r i c e < / s t r i n g > < / k e y > < v a l u e > < i n t > 1 0 6 < / i n t > < / v a l u e > < / i t e m > < i t e m > < k e y > < s t r i n g > T y p e < / s t r i n g > < / k e y > < v a l u e > < i n t > 6 5 < / i n t > < / v a l u e > < / i t e m > < i t e m > < k e y > < s t r i n g > C o n t r a c t   D a t e < / s t r i n g > < / k e y > < v a l u e > < i n t > 1 2 0 < / i n t > < / v a l u e > < / i t e m > < i t e m > < k e y > < s t r i n g > Q u a n t i t y < / s t r i n g > < / k e y > < v a l u e > < i n t > 8 9 < / i n t > < / v a l u e > < / i t e m > < i t e m > < k e y > < s t r i n g > P r i c e < / s t r i n g > < / k e y > < v a l u e > < i n t > 6 7 < / i n t > < / v a l u e > < / i t e m > < i t e m > < k e y > < s t r i n g > V a l u e < / s t r i n g > < / k e y > < v a l u e > < i n t > 7 1 < / i n t > < / v a l u e > < / i t e m > < i t e m > < k e y > < s t r i n g > B r o k e r a g e < / s t r i n g > < / k e y > < v a l u e > < i n t > 9 9 < / i n t > < / v a l u e > < / i t e m > < i t e m > < k e y > < s t r i n g > T a x e s < / s t r i n g > < / k e y > < v a l u e > < i n t > 7 0 < / i n t > < / v a l u e > < / i t e m > < i t e m > < k e y > < s t r i n g > T o t a l < / s t r i n g > < / k e y > < v a l u e > < i n t > 6 6 < / i n t > < / v a l u e > < / i t e m > < i t e m > < k e y > < s t r i n g > D I V < / s t r i n g > < / k e y > < v a l u e > < i n t > 5 8 < / i n t > < / v a l u e > < / i t e m > < i t e m > < k e y > < s t r i n g > S e l l   D a t e < / s t r i n g > < / k e y > < v a l u e > < i n t > 9 1 < / i n t > < / v a l u e > < / i t e m > < i t e m > < k e y > < s t r i n g > Q u a n t i t y 2 < / s t r i n g > < / k e y > < v a l u e > < i n t > 9 6 < / i n t > < / v a l u e > < / i t e m > < i t e m > < k e y > < s t r i n g > P r i c e 3 < / s t r i n g > < / k e y > < v a l u e > < i n t > 7 4 < / i n t > < / v a l u e > < / i t e m > < i t e m > < k e y > < s t r i n g > V a l u e 4 < / s t r i n g > < / k e y > < v a l u e > < i n t > 7 8 < / i n t > < / v a l u e > < / i t e m > < i t e m > < k e y > < s t r i n g > B r o k e r a g e 5 < / s t r i n g > < / k e y > < v a l u e > < i n t > 1 0 6 < / i n t > < / v a l u e > < / i t e m > < i t e m > < k e y > < s t r i n g > T a x e s 6 < / s t r i n g > < / k e y > < v a l u e > < i n t > 7 7 < / i n t > < / v a l u e > < / i t e m > < i t e m > < k e y > < s t r i n g > T o t a l 7 < / s t r i n g > < / k e y > < v a l u e > < i n t > 7 3 < / i n t > < / v a l u e > < / i t e m > < i t e m > < k e y > < s t r i n g > P r o f i t < / s t r i n g > < / k e y > < v a l u e > < i n t > 7 0 < / i n t > < / v a l u e > < / i t e m > < i t e m > < k e y > < s t r i n g > P e r c e n t a g e < / s t r i n g > < / k e y > < v a l u e > < i n t > 1 0 6 < / i n t > < / v a l u e > < / i t e m > < i t e m > < k e y > < s t r i n g > M o n t h < / s t r i n g > < / k e y > < v a l u e > < i n t > 7 7 < / i n t > < / v a l u e > < / i t e m > < i t e m > < k e y > < s t r i n g > D e m a t < / s t r i n g > < / k e y > < v a l u e > < i n t > 7 7 < / i n t > < / v a l u e > < / i t e m > < i t e m > < k e y > < s t r i n g > D a y < / s t r i n g > < / k e y > < v a l u e > < i n t > 5 9 < / i n t > < / v a l u e > < / i t e m > < i t e m > < k e y > < s t r i n g > C a l l   B y < / s t r i n g > < / k e y > < v a l u e > < i n t > 7 7 < / i n t > < / v a l u e > < / i t e m > < / C o l u m n W i d t h s > < C o l u m n D i s p l a y I n d e x > < i t e m > < k e y > < s t r i n g > S .   N o . < / s t r i n g > < / k e y > < v a l u e > < i n t > 0 < / i n t > < / v a l u e > < / i t e m > < i t e m > < k e y > < s t r i n g > B u y   D a t e < / s t r i n g > < / k e y > < v a l u e > < i n t > 1 < / i n t > < / v a l u e > < / i t e m > < i t e m > < k e y > < s t r i n g > C o n t r a c t < / s t r i n g > < / k e y > < v a l u e > < i n t > 2 < / i n t > < / v a l u e > < / i t e m > < i t e m > < k e y > < s t r i n g > S t r i k e   P r i c e < / s t r i n g > < / k e y > < v a l u e > < i n t > 3 < / i n t > < / v a l u e > < / i t e m > < i t e m > < k e y > < s t r i n g > T y p e < / s t r i n g > < / k e y > < v a l u e > < i n t > 4 < / i n t > < / v a l u e > < / i t e m > < i t e m > < k e y > < s t r i n g > C o n t r a c t   D a t e < / s t r i n g > < / k e y > < v a l u e > < i n t > 5 < / i n t > < / v a l u e > < / i t e m > < i t e m > < k e y > < s t r i n g > Q u a n t i t y < / s t r i n g > < / k e y > < v a l u e > < i n t > 6 < / i n t > < / v a l u e > < / i t e m > < i t e m > < k e y > < s t r i n g > P r i c e < / s t r i n g > < / k e y > < v a l u e > < i n t > 7 < / i n t > < / v a l u e > < / i t e m > < i t e m > < k e y > < s t r i n g > V a l u e < / s t r i n g > < / k e y > < v a l u e > < i n t > 8 < / i n t > < / v a l u e > < / i t e m > < i t e m > < k e y > < s t r i n g > B r o k e r a g e < / s t r i n g > < / k e y > < v a l u e > < i n t > 9 < / i n t > < / v a l u e > < / i t e m > < i t e m > < k e y > < s t r i n g > T a x e s < / s t r i n g > < / k e y > < v a l u e > < i n t > 1 0 < / i n t > < / v a l u e > < / i t e m > < i t e m > < k e y > < s t r i n g > T o t a l < / s t r i n g > < / k e y > < v a l u e > < i n t > 1 1 < / i n t > < / v a l u e > < / i t e m > < i t e m > < k e y > < s t r i n g > D I V < / s t r i n g > < / k e y > < v a l u e > < i n t > 1 2 < / i n t > < / v a l u e > < / i t e m > < i t e m > < k e y > < s t r i n g > S e l l   D a t e < / s t r i n g > < / k e y > < v a l u e > < i n t > 1 3 < / i n t > < / v a l u e > < / i t e m > < i t e m > < k e y > < s t r i n g > Q u a n t i t y 2 < / s t r i n g > < / k e y > < v a l u e > < i n t > 1 4 < / i n t > < / v a l u e > < / i t e m > < i t e m > < k e y > < s t r i n g > P r i c e 3 < / s t r i n g > < / k e y > < v a l u e > < i n t > 1 5 < / i n t > < / v a l u e > < / i t e m > < i t e m > < k e y > < s t r i n g > V a l u e 4 < / s t r i n g > < / k e y > < v a l u e > < i n t > 1 6 < / i n t > < / v a l u e > < / i t e m > < i t e m > < k e y > < s t r i n g > B r o k e r a g e 5 < / s t r i n g > < / k e y > < v a l u e > < i n t > 1 7 < / i n t > < / v a l u e > < / i t e m > < i t e m > < k e y > < s t r i n g > T a x e s 6 < / s t r i n g > < / k e y > < v a l u e > < i n t > 1 8 < / i n t > < / v a l u e > < / i t e m > < i t e m > < k e y > < s t r i n g > T o t a l 7 < / s t r i n g > < / k e y > < v a l u e > < i n t > 1 9 < / i n t > < / v a l u e > < / i t e m > < i t e m > < k e y > < s t r i n g > P r o f i t < / s t r i n g > < / k e y > < v a l u e > < i n t > 2 0 < / i n t > < / v a l u e > < / i t e m > < i t e m > < k e y > < s t r i n g > P e r c e n t a g e < / s t r i n g > < / k e y > < v a l u e > < i n t > 2 1 < / i n t > < / v a l u e > < / i t e m > < i t e m > < k e y > < s t r i n g > M o n t h < / s t r i n g > < / k e y > < v a l u e > < i n t > 2 2 < / i n t > < / v a l u e > < / i t e m > < i t e m > < k e y > < s t r i n g > D e m a t < / s t r i n g > < / k e y > < v a l u e > < i n t > 2 3 < / i n t > < / v a l u e > < / i t e m > < i t e m > < k e y > < s t r i n g > D a y < / s t r i n g > < / k e y > < v a l u e > < i n t > 2 4 < / i n t > < / v a l u e > < / i t e m > < i t e m > < k e y > < s t r i n g > C a l l   B y < / s t r i n g > < / k e y > < v a l u e > < i n t > 2 5 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T a b l e 1 - 2 1 8 a 7 c 9 5 - 3 8 8 8 - 4 b 6 2 - a 9 f 0 - 4 e 6 e e 5 7 9 d c 2 e & l t ; / K e y & g t ; & l t ; V a l u e   x m l n s : a = " h t t p : / / s c h e m a s . d a t a c o n t r a c t . o r g / 2 0 0 4 / 0 7 / M i c r o s o f t . A n a l y s i s S e r v i c e s . C o m m o n " & g t ; & l t ; a : H a s F o c u s & g t ; f a l s e & l t ; / a : H a s F o c u s & g t ; & l t ; a : S i z e A t D p i 9 6 & g t ; 1 0 3 & l t ; / a : S i z e A t D p i 9 6 & g t ; & l t ; a : V i s i b l e & g t ; t r u e & l t ; / a : V i s i b l e & g t ; & l t ; / V a l u e & g t ; & l t ; / K e y V a l u e O f s t r i n g S a n d b o x E d i t o r . M e a s u r e G r i d S t a t e S c d E 3 5 R y & g t ; & l t ; / A r r a y O f K e y V a l u e O f s t r i n g S a n d b o x E d i t o r . M e a s u r e G r i d S t a t e S c d E 3 5 R y & g t ; < / C u s t o m C o n t e n t > < / G e m i n i > 
</file>

<file path=customXml/itemProps1.xml><?xml version="1.0" encoding="utf-8"?>
<ds:datastoreItem xmlns:ds="http://schemas.openxmlformats.org/officeDocument/2006/customXml" ds:itemID="{5EA346D6-0B66-41C2-8CC0-C41DDA9A2676}">
  <ds:schemaRefs/>
</ds:datastoreItem>
</file>

<file path=customXml/itemProps10.xml><?xml version="1.0" encoding="utf-8"?>
<ds:datastoreItem xmlns:ds="http://schemas.openxmlformats.org/officeDocument/2006/customXml" ds:itemID="{C775FFDD-E5B6-425C-BA96-1C01DF962BE6}">
  <ds:schemaRefs/>
</ds:datastoreItem>
</file>

<file path=customXml/itemProps11.xml><?xml version="1.0" encoding="utf-8"?>
<ds:datastoreItem xmlns:ds="http://schemas.openxmlformats.org/officeDocument/2006/customXml" ds:itemID="{1765CCC7-6EBC-4839-9C59-DD3EFE3C8161}">
  <ds:schemaRefs/>
</ds:datastoreItem>
</file>

<file path=customXml/itemProps12.xml><?xml version="1.0" encoding="utf-8"?>
<ds:datastoreItem xmlns:ds="http://schemas.openxmlformats.org/officeDocument/2006/customXml" ds:itemID="{F27CD38D-7CB6-4D46-8D15-074ED83BCF2D}">
  <ds:schemaRefs/>
</ds:datastoreItem>
</file>

<file path=customXml/itemProps13.xml><?xml version="1.0" encoding="utf-8"?>
<ds:datastoreItem xmlns:ds="http://schemas.openxmlformats.org/officeDocument/2006/customXml" ds:itemID="{AC607171-EA0C-404D-930A-38E9506EE170}">
  <ds:schemaRefs/>
</ds:datastoreItem>
</file>

<file path=customXml/itemProps14.xml><?xml version="1.0" encoding="utf-8"?>
<ds:datastoreItem xmlns:ds="http://schemas.openxmlformats.org/officeDocument/2006/customXml" ds:itemID="{84A664CB-942C-4691-95D3-EE50EBAACCD1}">
  <ds:schemaRefs/>
</ds:datastoreItem>
</file>

<file path=customXml/itemProps15.xml><?xml version="1.0" encoding="utf-8"?>
<ds:datastoreItem xmlns:ds="http://schemas.openxmlformats.org/officeDocument/2006/customXml" ds:itemID="{35588F34-F97B-4966-9377-9CCEDDA9EE1A}">
  <ds:schemaRefs/>
</ds:datastoreItem>
</file>

<file path=customXml/itemProps16.xml><?xml version="1.0" encoding="utf-8"?>
<ds:datastoreItem xmlns:ds="http://schemas.openxmlformats.org/officeDocument/2006/customXml" ds:itemID="{5FE1B29B-8CF7-4B0C-A7AE-605FB8DD5B1F}">
  <ds:schemaRefs/>
</ds:datastoreItem>
</file>

<file path=customXml/itemProps2.xml><?xml version="1.0" encoding="utf-8"?>
<ds:datastoreItem xmlns:ds="http://schemas.openxmlformats.org/officeDocument/2006/customXml" ds:itemID="{BD93471F-0F7C-4180-A8D1-9C18D20FC97A}">
  <ds:schemaRefs/>
</ds:datastoreItem>
</file>

<file path=customXml/itemProps3.xml><?xml version="1.0" encoding="utf-8"?>
<ds:datastoreItem xmlns:ds="http://schemas.openxmlformats.org/officeDocument/2006/customXml" ds:itemID="{E4635295-0DB0-4871-AF08-5D6F3B09515D}">
  <ds:schemaRefs/>
</ds:datastoreItem>
</file>

<file path=customXml/itemProps4.xml><?xml version="1.0" encoding="utf-8"?>
<ds:datastoreItem xmlns:ds="http://schemas.openxmlformats.org/officeDocument/2006/customXml" ds:itemID="{38D380B2-A71C-4A3A-AFEF-FCFA0442DBAD}">
  <ds:schemaRefs/>
</ds:datastoreItem>
</file>

<file path=customXml/itemProps5.xml><?xml version="1.0" encoding="utf-8"?>
<ds:datastoreItem xmlns:ds="http://schemas.openxmlformats.org/officeDocument/2006/customXml" ds:itemID="{EA3AB2B8-9EA7-476E-917E-C914D8981F70}">
  <ds:schemaRefs/>
</ds:datastoreItem>
</file>

<file path=customXml/itemProps6.xml><?xml version="1.0" encoding="utf-8"?>
<ds:datastoreItem xmlns:ds="http://schemas.openxmlformats.org/officeDocument/2006/customXml" ds:itemID="{A08550B7-6DBF-4E6E-8769-AF9ECADE8A56}">
  <ds:schemaRefs/>
</ds:datastoreItem>
</file>

<file path=customXml/itemProps7.xml><?xml version="1.0" encoding="utf-8"?>
<ds:datastoreItem xmlns:ds="http://schemas.openxmlformats.org/officeDocument/2006/customXml" ds:itemID="{0511CA96-B30E-4442-B01B-BA9C15682100}">
  <ds:schemaRefs/>
</ds:datastoreItem>
</file>

<file path=customXml/itemProps8.xml><?xml version="1.0" encoding="utf-8"?>
<ds:datastoreItem xmlns:ds="http://schemas.openxmlformats.org/officeDocument/2006/customXml" ds:itemID="{93C8B134-DAC1-4EBC-9D20-38C02ED7F93C}">
  <ds:schemaRefs/>
</ds:datastoreItem>
</file>

<file path=customXml/itemProps9.xml><?xml version="1.0" encoding="utf-8"?>
<ds:datastoreItem xmlns:ds="http://schemas.openxmlformats.org/officeDocument/2006/customXml" ds:itemID="{CC3CFDD4-AC3B-4C31-ABB6-A6FD053F121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Dashboard</vt:lpstr>
      <vt:lpstr>Sheet1</vt:lpstr>
      <vt:lpstr>Scrip Wise</vt:lpstr>
      <vt:lpstr>Options</vt:lpstr>
      <vt:lpstr>Daywise</vt:lpstr>
      <vt:lpstr>Summary</vt:lpstr>
      <vt:lpstr>Equity</vt:lpstr>
      <vt:lpstr>Deposit</vt:lpstr>
      <vt:lpstr>Lookup</vt:lpstr>
      <vt:lpstr>smallcase</vt:lpstr>
      <vt:lpstr>MF</vt:lpstr>
      <vt:lpstr>Virtual</vt:lpstr>
      <vt:lpstr>Options!OptionTable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Atul Tegar</dc:creator>
  <cp:lastModifiedBy>Atul Tegar</cp:lastModifiedBy>
  <dcterms:created xsi:type="dcterms:W3CDTF">2017-04-25T07:28:11Z</dcterms:created>
  <dcterms:modified xsi:type="dcterms:W3CDTF">2018-02-20T06:19:58Z</dcterms:modified>
</cp:coreProperties>
</file>