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826\Dropbox\detectorbeetles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fileRecoveryPr repairLoad="1"/>
</workbook>
</file>

<file path=xl/calcChain.xml><?xml version="1.0" encoding="utf-8"?>
<calcChain xmlns="http://schemas.openxmlformats.org/spreadsheetml/2006/main">
  <c r="T12" i="2" l="1"/>
  <c r="T11" i="2"/>
  <c r="T14" i="2"/>
  <c r="T10" i="2"/>
  <c r="T9" i="2"/>
  <c r="Q10" i="2"/>
  <c r="Q9" i="2"/>
  <c r="R33" i="2"/>
  <c r="S33" i="2" s="1"/>
  <c r="T33" i="2" s="1"/>
  <c r="R36" i="2"/>
  <c r="S36" i="2" s="1"/>
  <c r="T36" i="2" s="1"/>
  <c r="R37" i="2"/>
  <c r="S37" i="2" s="1"/>
  <c r="T37" i="2" s="1"/>
  <c r="R32" i="2"/>
  <c r="S32" i="2" s="1"/>
  <c r="T32" i="2" s="1"/>
  <c r="R30" i="2"/>
  <c r="S30" i="2" s="1"/>
  <c r="T30" i="2" s="1"/>
  <c r="R27" i="2"/>
  <c r="S27" i="2" s="1"/>
  <c r="T27" i="2" s="1"/>
  <c r="R29" i="2"/>
  <c r="S29" i="2" s="1"/>
  <c r="T29" i="2" s="1"/>
  <c r="R25" i="2"/>
  <c r="S25" i="2" s="1"/>
  <c r="T25" i="2" s="1"/>
  <c r="R35" i="2"/>
  <c r="S35" i="2" s="1"/>
  <c r="T35" i="2" s="1"/>
  <c r="R28" i="2"/>
  <c r="S28" i="2" s="1"/>
  <c r="T28" i="2" s="1"/>
  <c r="R26" i="2"/>
  <c r="S26" i="2" s="1"/>
  <c r="T26" i="2" s="1"/>
  <c r="R34" i="2"/>
  <c r="S34" i="2" s="1"/>
  <c r="T34" i="2" s="1"/>
  <c r="R23" i="2"/>
  <c r="S23" i="2" s="1"/>
  <c r="T23" i="2" s="1"/>
  <c r="R31" i="2"/>
  <c r="S31" i="2" s="1"/>
  <c r="T31" i="2" s="1"/>
  <c r="R24" i="2"/>
  <c r="S24" i="2" s="1"/>
  <c r="T24" i="2" s="1"/>
  <c r="K16" i="2"/>
  <c r="L16" i="2" s="1"/>
  <c r="M16" i="2" s="1"/>
  <c r="K14" i="2"/>
  <c r="L14" i="2" s="1"/>
  <c r="M14" i="2" s="1"/>
  <c r="K20" i="2"/>
  <c r="L20" i="2" s="1"/>
  <c r="M20" i="2" s="1"/>
  <c r="K18" i="2"/>
  <c r="L18" i="2" s="1"/>
  <c r="M18" i="2" s="1"/>
  <c r="K15" i="2"/>
  <c r="L15" i="2" s="1"/>
  <c r="M15" i="2" s="1"/>
  <c r="K19" i="2"/>
  <c r="L19" i="2" s="1"/>
  <c r="M19" i="2" s="1"/>
  <c r="K17" i="2"/>
  <c r="L17" i="2" s="1"/>
  <c r="M17" i="2" s="1"/>
  <c r="L4" i="2"/>
  <c r="M4" i="2" s="1"/>
  <c r="K4" i="2"/>
  <c r="K6" i="2"/>
  <c r="L6" i="2" s="1"/>
  <c r="M6" i="2" s="1"/>
  <c r="K5" i="2"/>
  <c r="L5" i="2" s="1"/>
  <c r="M5" i="2" s="1"/>
  <c r="K13" i="2"/>
  <c r="L13" i="2" s="1"/>
  <c r="M13" i="2" s="1"/>
  <c r="K12" i="2"/>
  <c r="L12" i="2" s="1"/>
  <c r="M12" i="2" s="1"/>
  <c r="K11" i="2"/>
  <c r="L11" i="2" s="1"/>
  <c r="M11" i="2" s="1"/>
  <c r="K10" i="2"/>
  <c r="L10" i="2" s="1"/>
  <c r="M10" i="2" s="1"/>
  <c r="K9" i="2"/>
  <c r="L9" i="2" s="1"/>
  <c r="M9" i="2" s="1"/>
  <c r="K8" i="2"/>
  <c r="L8" i="2" s="1"/>
  <c r="K7" i="2"/>
  <c r="L7" i="2" s="1"/>
  <c r="M7" i="2" s="1"/>
  <c r="K3" i="2"/>
  <c r="L3" i="2" s="1"/>
  <c r="M3" i="2" s="1"/>
  <c r="K2" i="2"/>
  <c r="L2" i="2" s="1"/>
  <c r="M2" i="2" s="1"/>
  <c r="S12" i="2" l="1"/>
  <c r="R10" i="2"/>
  <c r="S10" i="2"/>
  <c r="R12" i="2"/>
  <c r="R14" i="2"/>
  <c r="R11" i="2"/>
  <c r="M8" i="2"/>
  <c r="R9" i="2"/>
  <c r="AL24" i="1"/>
  <c r="AM23" i="1"/>
  <c r="AL23" i="1"/>
  <c r="AM22" i="1"/>
  <c r="AL22" i="1"/>
  <c r="AL20" i="1"/>
  <c r="AM19" i="1"/>
  <c r="AL19" i="1"/>
  <c r="AM18" i="1"/>
  <c r="AL18" i="1"/>
  <c r="AK22" i="1"/>
  <c r="AK18" i="1"/>
  <c r="AF20" i="1"/>
  <c r="AG20" i="1" s="1"/>
  <c r="AH20" i="1" s="1"/>
  <c r="AF17" i="1"/>
  <c r="AG17" i="1" s="1"/>
  <c r="AH17" i="1" s="1"/>
  <c r="AF2" i="1"/>
  <c r="AG2" i="1" s="1"/>
  <c r="AH2" i="1" s="1"/>
  <c r="AF16" i="1"/>
  <c r="AG16" i="1" s="1"/>
  <c r="AH16" i="1" s="1"/>
  <c r="AF5" i="1"/>
  <c r="AG5" i="1" s="1"/>
  <c r="AH5" i="1" s="1"/>
  <c r="AF18" i="1"/>
  <c r="AG18" i="1" s="1"/>
  <c r="AH18" i="1" s="1"/>
  <c r="AF6" i="1"/>
  <c r="AG6" i="1" s="1"/>
  <c r="AH6" i="1" s="1"/>
  <c r="AF12" i="1"/>
  <c r="AG12" i="1" s="1"/>
  <c r="AH12" i="1" s="1"/>
  <c r="AF7" i="1"/>
  <c r="AG7" i="1" s="1"/>
  <c r="AH7" i="1" s="1"/>
  <c r="S11" i="2" l="1"/>
  <c r="S9" i="2"/>
  <c r="S14" i="2"/>
  <c r="AP11" i="1"/>
  <c r="AP10" i="1"/>
  <c r="AF4" i="1"/>
  <c r="AG4" i="1" s="1"/>
  <c r="AH4" i="1" s="1"/>
  <c r="AF19" i="1"/>
  <c r="AG19" i="1" s="1"/>
  <c r="AH19" i="1" s="1"/>
  <c r="AF8" i="1"/>
  <c r="AG8" i="1" s="1"/>
  <c r="AH8" i="1" s="1"/>
  <c r="AF9" i="1"/>
  <c r="AG9" i="1" s="1"/>
  <c r="AH9" i="1" s="1"/>
  <c r="AF11" i="1"/>
  <c r="AG11" i="1" s="1"/>
  <c r="AH11" i="1" s="1"/>
  <c r="AF3" i="1"/>
  <c r="AG3" i="1" s="1"/>
  <c r="AH3" i="1" s="1"/>
  <c r="AM11" i="1" s="1"/>
  <c r="AF13" i="1"/>
  <c r="AG13" i="1" s="1"/>
  <c r="AF10" i="1"/>
  <c r="AG10" i="1" s="1"/>
  <c r="AH10" i="1" s="1"/>
  <c r="AF15" i="1"/>
  <c r="AG15" i="1" s="1"/>
  <c r="AH15" i="1" s="1"/>
  <c r="AF14" i="1"/>
  <c r="AG14" i="1" s="1"/>
  <c r="AH14" i="1" s="1"/>
  <c r="AH13" i="1" l="1"/>
  <c r="AL15" i="1" s="1"/>
  <c r="AM26" i="1"/>
  <c r="AM27" i="1"/>
  <c r="AN11" i="1"/>
  <c r="AN10" i="1"/>
  <c r="AL27" i="1"/>
  <c r="AL28" i="1"/>
  <c r="AL11" i="1"/>
  <c r="AL10" i="1"/>
  <c r="AM10" i="1"/>
  <c r="AL26" i="1"/>
  <c r="AM14" i="1"/>
  <c r="AL14" i="1"/>
  <c r="B27" i="1"/>
  <c r="C26" i="1"/>
  <c r="B26" i="1"/>
  <c r="B25" i="1"/>
  <c r="C25" i="1"/>
  <c r="G26" i="1"/>
  <c r="G25" i="1"/>
  <c r="F26" i="1"/>
  <c r="F25" i="1"/>
  <c r="F27" i="1"/>
  <c r="AM15" i="1" l="1"/>
  <c r="AL16" i="1"/>
  <c r="AO10" i="1"/>
  <c r="AO11" i="1"/>
  <c r="J3" i="1"/>
  <c r="K3" i="1" s="1"/>
  <c r="L3" i="1" s="1"/>
  <c r="J8" i="1" l="1"/>
  <c r="K8" i="1" s="1"/>
  <c r="L8" i="1" s="1"/>
  <c r="J10" i="1"/>
  <c r="K10" i="1" s="1"/>
  <c r="L10" i="1" s="1"/>
  <c r="J5" i="1"/>
  <c r="K5" i="1" s="1"/>
  <c r="L5" i="1" s="1"/>
  <c r="J9" i="1"/>
  <c r="K9" i="1" s="1"/>
  <c r="L9" i="1" s="1"/>
  <c r="J2" i="1"/>
  <c r="K2" i="1" s="1"/>
  <c r="L2" i="1" s="1"/>
  <c r="J6" i="1"/>
  <c r="K6" i="1" s="1"/>
  <c r="L6" i="1" s="1"/>
  <c r="J4" i="1"/>
  <c r="K4" i="1" s="1"/>
  <c r="L4" i="1" s="1"/>
  <c r="J7" i="1"/>
  <c r="K7" i="1" s="1"/>
  <c r="L7" i="1" s="1"/>
  <c r="J11" i="1"/>
  <c r="K11" i="1" s="1"/>
  <c r="L11" i="1" s="1"/>
</calcChain>
</file>

<file path=xl/sharedStrings.xml><?xml version="1.0" encoding="utf-8"?>
<sst xmlns="http://schemas.openxmlformats.org/spreadsheetml/2006/main" count="240" uniqueCount="72">
  <si>
    <t>Bettle ID</t>
  </si>
  <si>
    <t>LAT</t>
  </si>
  <si>
    <t>LON</t>
  </si>
  <si>
    <t>Distance</t>
  </si>
  <si>
    <t>m</t>
  </si>
  <si>
    <t>Sex</t>
  </si>
  <si>
    <t>Length</t>
  </si>
  <si>
    <t>Width</t>
  </si>
  <si>
    <t>Weight</t>
  </si>
  <si>
    <t>Outcome</t>
  </si>
  <si>
    <t>Area</t>
  </si>
  <si>
    <t>EW</t>
  </si>
  <si>
    <t>%EW</t>
  </si>
  <si>
    <t>f</t>
  </si>
  <si>
    <t>females</t>
  </si>
  <si>
    <t>males</t>
  </si>
  <si>
    <t>mean</t>
  </si>
  <si>
    <t>SE</t>
  </si>
  <si>
    <t>t-test</t>
  </si>
  <si>
    <t>Yigo</t>
  </si>
  <si>
    <t>Asan</t>
  </si>
  <si>
    <t>micro loc</t>
  </si>
  <si>
    <t>crown</t>
  </si>
  <si>
    <t>other tree</t>
  </si>
  <si>
    <t>soil</t>
  </si>
  <si>
    <t>Base</t>
  </si>
  <si>
    <t>trap</t>
  </si>
  <si>
    <t>base</t>
  </si>
  <si>
    <t>Crown</t>
  </si>
  <si>
    <t>Trap</t>
  </si>
  <si>
    <t>Other trees</t>
  </si>
  <si>
    <t>Soil</t>
  </si>
  <si>
    <t>Male</t>
  </si>
  <si>
    <t>Female</t>
  </si>
  <si>
    <t>&lt; 1 m</t>
  </si>
  <si>
    <t>&gt; 1 m</t>
  </si>
  <si>
    <t>Found</t>
  </si>
  <si>
    <t>Lost</t>
  </si>
  <si>
    <t>Beetle #</t>
  </si>
  <si>
    <t>Frequency</t>
  </si>
  <si>
    <t>GPS coord</t>
  </si>
  <si>
    <t>Date</t>
  </si>
  <si>
    <t>Time</t>
  </si>
  <si>
    <t>Habitat</t>
  </si>
  <si>
    <t>Weather</t>
  </si>
  <si>
    <t>Notes</t>
  </si>
  <si>
    <t>Location</t>
  </si>
  <si>
    <t>flight_test_date</t>
  </si>
  <si>
    <t>lost</t>
  </si>
  <si>
    <t>overcast</t>
  </si>
  <si>
    <t>out of range, toward highschool? East</t>
  </si>
  <si>
    <t>Exp. st.</t>
  </si>
  <si>
    <t>Did not fly</t>
  </si>
  <si>
    <t>Lost east</t>
  </si>
  <si>
    <t>N 13 28.436, E 144 42.518</t>
  </si>
  <si>
    <t>Swamp</t>
  </si>
  <si>
    <t>Sunny</t>
  </si>
  <si>
    <t>weak signal coming from swamp across from Asan Park </t>
  </si>
  <si>
    <t>N 13.53251, E 144.87166</t>
  </si>
  <si>
    <t>sunny</t>
  </si>
  <si>
    <t>lost into dense brush</t>
  </si>
  <si>
    <t>N 13 31.750, E 144 52.361</t>
  </si>
  <si>
    <t>wooded</t>
  </si>
  <si>
    <t>Mostly Clear</t>
  </si>
  <si>
    <t>edge of dense woods, up high</t>
  </si>
  <si>
    <t>Damaged wing, lost west over hill</t>
  </si>
  <si>
    <t>N 13 31.791, E 144 52.338</t>
  </si>
  <si>
    <t>faint signal in woods</t>
  </si>
  <si>
    <t>N 13.47444, E144.70845</t>
  </si>
  <si>
    <t>went out of range</t>
  </si>
  <si>
    <t>Lost west over hill</t>
  </si>
  <si>
    <t>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</si>
</sst>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818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/>
    <xf numFmtId="164" fontId="0" fillId="0" borderId="0" xfId="0" applyNumberFormat="1"/>
    <xf numFmtId="0" fontId="0" fillId="2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3" borderId="2" xfId="0" applyFill="1" applyBorder="1"/>
    <xf numFmtId="0" fontId="0" fillId="4" borderId="2" xfId="0" applyFont="1" applyFill="1" applyBorder="1"/>
    <xf numFmtId="165" fontId="0" fillId="2" borderId="1" xfId="0" applyNumberFormat="1" applyFont="1" applyFill="1" applyBorder="1" applyAlignment="1">
      <alignment horizontal="left"/>
    </xf>
    <xf numFmtId="0" fontId="0" fillId="0" borderId="2" xfId="0" applyBorder="1"/>
    <xf numFmtId="15" fontId="0" fillId="0" borderId="2" xfId="0" applyNumberFormat="1" applyBorder="1"/>
    <xf numFmtId="165" fontId="0" fillId="0" borderId="0" xfId="0" applyNumberFormat="1"/>
    <xf numFmtId="0" fontId="0" fillId="0" borderId="2" xfId="0" applyFill="1" applyBorder="1"/>
    <xf numFmtId="0" fontId="0" fillId="5" borderId="2" xfId="0" applyFill="1" applyBorder="1"/>
    <xf numFmtId="20" fontId="0" fillId="0" borderId="2" xfId="0" applyNumberFormat="1" applyBorder="1"/>
    <xf numFmtId="15" fontId="0" fillId="0" borderId="0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Sheet1!$K$24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236439195100612E-2"/>
                  <c:y val="-0.132567074948964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Sheet1!$I$25:$I$43</c:f>
              <c:numCache>
                <c:formatCode>General</c:formatCode>
                <c:ptCount val="19"/>
                <c:pt idx="0">
                  <c:v>443.82959399999999</c:v>
                </c:pt>
                <c:pt idx="1">
                  <c:v>91.578165999999996</c:v>
                </c:pt>
                <c:pt idx="2">
                  <c:v>103.197063</c:v>
                </c:pt>
                <c:pt idx="3">
                  <c:v>416.83200199999999</c:v>
                </c:pt>
                <c:pt idx="4">
                  <c:v>95.271828999999997</c:v>
                </c:pt>
                <c:pt idx="5">
                  <c:v>52.808954</c:v>
                </c:pt>
                <c:pt idx="6">
                  <c:v>395.18674800000002</c:v>
                </c:pt>
                <c:pt idx="7">
                  <c:v>320.75600500000002</c:v>
                </c:pt>
                <c:pt idx="8">
                  <c:v>249.594605</c:v>
                </c:pt>
                <c:pt idx="9">
                  <c:v>88.779865999999998</c:v>
                </c:pt>
                <c:pt idx="10">
                  <c:v>401.615342</c:v>
                </c:pt>
                <c:pt idx="11">
                  <c:v>86.850481000000002</c:v>
                </c:pt>
                <c:pt idx="12">
                  <c:v>225.07880599999999</c:v>
                </c:pt>
                <c:pt idx="13">
                  <c:v>332.458259</c:v>
                </c:pt>
                <c:pt idx="14">
                  <c:v>123.268288</c:v>
                </c:pt>
                <c:pt idx="15">
                  <c:v>117.35874</c:v>
                </c:pt>
                <c:pt idx="16">
                  <c:v>152.94149300000001</c:v>
                </c:pt>
                <c:pt idx="17">
                  <c:v>564.62259100000006</c:v>
                </c:pt>
                <c:pt idx="18">
                  <c:v>373.77048300000001</c:v>
                </c:pt>
              </c:numCache>
            </c:numRef>
          </c:xVal>
          <c:yVal>
            <c:numRef>
              <c:f>Sheet1!$K$25:$K$43</c:f>
              <c:numCache>
                <c:formatCode>General</c:formatCode>
                <c:ptCount val="19"/>
                <c:pt idx="0">
                  <c:v>3.0870000000000002</c:v>
                </c:pt>
                <c:pt idx="1">
                  <c:v>3.91</c:v>
                </c:pt>
                <c:pt idx="2">
                  <c:v>3.758</c:v>
                </c:pt>
                <c:pt idx="3">
                  <c:v>4.2110000000000003</c:v>
                </c:pt>
                <c:pt idx="4">
                  <c:v>4.2290000000000001</c:v>
                </c:pt>
                <c:pt idx="5">
                  <c:v>6.0410000000000004</c:v>
                </c:pt>
                <c:pt idx="6">
                  <c:v>4.3789999999999996</c:v>
                </c:pt>
                <c:pt idx="7">
                  <c:v>5.0090000000000003</c:v>
                </c:pt>
                <c:pt idx="8">
                  <c:v>5.9420000000000002</c:v>
                </c:pt>
                <c:pt idx="9">
                  <c:v>5.9509999999999996</c:v>
                </c:pt>
                <c:pt idx="10">
                  <c:v>5.3289999999999997</c:v>
                </c:pt>
                <c:pt idx="11">
                  <c:v>4.2080000000000002</c:v>
                </c:pt>
                <c:pt idx="12">
                  <c:v>6.4390000000000001</c:v>
                </c:pt>
                <c:pt idx="13">
                  <c:v>3.411</c:v>
                </c:pt>
                <c:pt idx="14">
                  <c:v>4.6719999999999997</c:v>
                </c:pt>
                <c:pt idx="15">
                  <c:v>3.6219999999999999</c:v>
                </c:pt>
                <c:pt idx="16">
                  <c:v>3.2890000000000001</c:v>
                </c:pt>
                <c:pt idx="17" formatCode="0.000">
                  <c:v>4.1260000000000003</c:v>
                </c:pt>
                <c:pt idx="18">
                  <c:v>3.1789999999999998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238048"/>
        <c:axId val="1541240768"/>
      </c:scatterChart>
      <c:valAx>
        <c:axId val="15412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40768"/>
        <c:crosses val="autoZero"/>
        <c:crossBetween val="midCat"/>
      </c:valAx>
      <c:valAx>
        <c:axId val="1541240768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Sheet1!$L$24</c:f>
              <c:strCache>
                <c:ptCount val="1"/>
                <c:pt idx="0">
                  <c:v>%EW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742782152230971E-2"/>
                  <c:y val="0.203340259550889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Sheet1!$I$25:$I$43</c:f>
              <c:numCache>
                <c:formatCode>General</c:formatCode>
                <c:ptCount val="19"/>
                <c:pt idx="0">
                  <c:v>443.82959399999999</c:v>
                </c:pt>
                <c:pt idx="1">
                  <c:v>91.578165999999996</c:v>
                </c:pt>
                <c:pt idx="2">
                  <c:v>103.197063</c:v>
                </c:pt>
                <c:pt idx="3">
                  <c:v>416.83200199999999</c:v>
                </c:pt>
                <c:pt idx="4">
                  <c:v>95.271828999999997</c:v>
                </c:pt>
                <c:pt idx="5">
                  <c:v>52.808954</c:v>
                </c:pt>
                <c:pt idx="6">
                  <c:v>395.18674800000002</c:v>
                </c:pt>
                <c:pt idx="7">
                  <c:v>320.75600500000002</c:v>
                </c:pt>
                <c:pt idx="8">
                  <c:v>249.594605</c:v>
                </c:pt>
                <c:pt idx="9">
                  <c:v>88.779865999999998</c:v>
                </c:pt>
                <c:pt idx="10">
                  <c:v>401.615342</c:v>
                </c:pt>
                <c:pt idx="11">
                  <c:v>86.850481000000002</c:v>
                </c:pt>
                <c:pt idx="12">
                  <c:v>225.07880599999999</c:v>
                </c:pt>
                <c:pt idx="13">
                  <c:v>332.458259</c:v>
                </c:pt>
                <c:pt idx="14">
                  <c:v>123.268288</c:v>
                </c:pt>
                <c:pt idx="15">
                  <c:v>117.35874</c:v>
                </c:pt>
                <c:pt idx="16">
                  <c:v>152.94149300000001</c:v>
                </c:pt>
                <c:pt idx="17">
                  <c:v>564.62259100000006</c:v>
                </c:pt>
                <c:pt idx="18">
                  <c:v>373.77048300000001</c:v>
                </c:pt>
              </c:numCache>
            </c:numRef>
          </c:xVal>
          <c:yVal>
            <c:numRef>
              <c:f>Sheet1!$L$25:$L$43</c:f>
              <c:numCache>
                <c:formatCode>General</c:formatCode>
                <c:ptCount val="19"/>
                <c:pt idx="0">
                  <c:v>66.233577312628924</c:v>
                </c:pt>
                <c:pt idx="1">
                  <c:v>69.584768289306339</c:v>
                </c:pt>
                <c:pt idx="2">
                  <c:v>69.813304769944835</c:v>
                </c:pt>
                <c:pt idx="3">
                  <c:v>71.8401185281773</c:v>
                </c:pt>
                <c:pt idx="4">
                  <c:v>72.202660387180742</c:v>
                </c:pt>
                <c:pt idx="5">
                  <c:v>72.655480352609857</c:v>
                </c:pt>
                <c:pt idx="6">
                  <c:v>73.3533103147887</c:v>
                </c:pt>
                <c:pt idx="7">
                  <c:v>73.826858933483237</c:v>
                </c:pt>
                <c:pt idx="8">
                  <c:v>75.241524406960153</c:v>
                </c:pt>
                <c:pt idx="9">
                  <c:v>75.789557551490148</c:v>
                </c:pt>
                <c:pt idx="10">
                  <c:v>77.384126672863573</c:v>
                </c:pt>
                <c:pt idx="11">
                  <c:v>78.817586361261021</c:v>
                </c:pt>
                <c:pt idx="12">
                  <c:v>79.766054919207534</c:v>
                </c:pt>
                <c:pt idx="13">
                  <c:v>82.385891554950973</c:v>
                </c:pt>
                <c:pt idx="14">
                  <c:v>82.525032843532287</c:v>
                </c:pt>
                <c:pt idx="15">
                  <c:v>86.05930293817913</c:v>
                </c:pt>
                <c:pt idx="16">
                  <c:v>86.938708078638697</c:v>
                </c:pt>
                <c:pt idx="17">
                  <c:v>92.486233258305006</c:v>
                </c:pt>
                <c:pt idx="18">
                  <c:v>94.320577931465152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86704"/>
        <c:axId val="1542688336"/>
      </c:scatterChart>
      <c:valAx>
        <c:axId val="154268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88336"/>
        <c:crosses val="autoZero"/>
        <c:crossBetween val="midCat"/>
      </c:valAx>
      <c:valAx>
        <c:axId val="154268833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8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Sheet1!$J$24</c:f>
              <c:strCache>
                <c:ptCount val="1"/>
                <c:pt idx="0">
                  <c:v>EW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326115485564308E-2"/>
                  <c:y val="-0.41912255759696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Sheet1!$I$25:$I$43</c:f>
              <c:numCache>
                <c:formatCode>General</c:formatCode>
                <c:ptCount val="19"/>
                <c:pt idx="0">
                  <c:v>443.82959399999999</c:v>
                </c:pt>
                <c:pt idx="1">
                  <c:v>91.578165999999996</c:v>
                </c:pt>
                <c:pt idx="2">
                  <c:v>103.197063</c:v>
                </c:pt>
                <c:pt idx="3">
                  <c:v>416.83200199999999</c:v>
                </c:pt>
                <c:pt idx="4">
                  <c:v>95.271828999999997</c:v>
                </c:pt>
                <c:pt idx="5">
                  <c:v>52.808954</c:v>
                </c:pt>
                <c:pt idx="6">
                  <c:v>395.18674800000002</c:v>
                </c:pt>
                <c:pt idx="7">
                  <c:v>320.75600500000002</c:v>
                </c:pt>
                <c:pt idx="8">
                  <c:v>249.594605</c:v>
                </c:pt>
                <c:pt idx="9">
                  <c:v>88.779865999999998</c:v>
                </c:pt>
                <c:pt idx="10">
                  <c:v>401.615342</c:v>
                </c:pt>
                <c:pt idx="11">
                  <c:v>86.850481000000002</c:v>
                </c:pt>
                <c:pt idx="12">
                  <c:v>225.07880599999999</c:v>
                </c:pt>
                <c:pt idx="13">
                  <c:v>332.458259</c:v>
                </c:pt>
                <c:pt idx="14">
                  <c:v>123.268288</c:v>
                </c:pt>
                <c:pt idx="15">
                  <c:v>117.35874</c:v>
                </c:pt>
                <c:pt idx="16">
                  <c:v>152.94149300000001</c:v>
                </c:pt>
                <c:pt idx="17">
                  <c:v>564.62259100000006</c:v>
                </c:pt>
                <c:pt idx="18">
                  <c:v>373.77048300000001</c:v>
                </c:pt>
              </c:numCache>
            </c:numRef>
          </c:xVal>
          <c:yVal>
            <c:numRef>
              <c:f>Sheet1!$J$25:$J$43</c:f>
              <c:numCache>
                <c:formatCode>General</c:formatCode>
                <c:ptCount val="19"/>
                <c:pt idx="0">
                  <c:v>4.6607780000000005</c:v>
                </c:pt>
                <c:pt idx="1">
                  <c:v>5.6190458000000003</c:v>
                </c:pt>
                <c:pt idx="2">
                  <c:v>5.3829280999999991</c:v>
                </c:pt>
                <c:pt idx="3">
                  <c:v>5.8616273000000021</c:v>
                </c:pt>
                <c:pt idx="4">
                  <c:v>5.8571249000000005</c:v>
                </c:pt>
                <c:pt idx="5">
                  <c:v>8.3145827000000025</c:v>
                </c:pt>
                <c:pt idx="6">
                  <c:v>5.9697374000000014</c:v>
                </c:pt>
                <c:pt idx="7">
                  <c:v>6.7847936000000022</c:v>
                </c:pt>
                <c:pt idx="8">
                  <c:v>7.8972350000000002</c:v>
                </c:pt>
                <c:pt idx="9">
                  <c:v>7.8520052000000007</c:v>
                </c:pt>
                <c:pt idx="10">
                  <c:v>6.8864252000000015</c:v>
                </c:pt>
                <c:pt idx="11">
                  <c:v>5.3389099999999985</c:v>
                </c:pt>
                <c:pt idx="12">
                  <c:v>8.0723561000000004</c:v>
                </c:pt>
                <c:pt idx="13">
                  <c:v>4.1402720000000004</c:v>
                </c:pt>
                <c:pt idx="14">
                  <c:v>5.6613125000000011</c:v>
                </c:pt>
                <c:pt idx="15">
                  <c:v>4.2087256999999996</c:v>
                </c:pt>
                <c:pt idx="16">
                  <c:v>3.7831250000000001</c:v>
                </c:pt>
                <c:pt idx="17">
                  <c:v>4.4612045000000009</c:v>
                </c:pt>
                <c:pt idx="18">
                  <c:v>3.3704204000000004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96496"/>
        <c:axId val="1542700304"/>
      </c:scatterChart>
      <c:valAx>
        <c:axId val="15426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700304"/>
        <c:crosses val="autoZero"/>
        <c:crossBetween val="midCat"/>
      </c:valAx>
      <c:valAx>
        <c:axId val="1542700304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9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&gt; 1 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Sheet1!$Z$24:$Z$42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Sheet1!$AA$24:$AA$42</c:f>
              <c:numCache>
                <c:formatCode>General</c:formatCode>
                <c:ptCount val="19"/>
                <c:pt idx="0">
                  <c:v>66.233577312628924</c:v>
                </c:pt>
                <c:pt idx="1">
                  <c:v>69.584768289306339</c:v>
                </c:pt>
                <c:pt idx="3">
                  <c:v>71.8401185281773</c:v>
                </c:pt>
                <c:pt idx="4">
                  <c:v>72.202660387180742</c:v>
                </c:pt>
                <c:pt idx="5">
                  <c:v>72.655480352609857</c:v>
                </c:pt>
                <c:pt idx="6">
                  <c:v>73.3533103147887</c:v>
                </c:pt>
                <c:pt idx="7">
                  <c:v>73.826858933483237</c:v>
                </c:pt>
                <c:pt idx="8">
                  <c:v>75.241524406960153</c:v>
                </c:pt>
                <c:pt idx="9">
                  <c:v>75.789557551490148</c:v>
                </c:pt>
                <c:pt idx="10">
                  <c:v>77.384126672863573</c:v>
                </c:pt>
                <c:pt idx="11">
                  <c:v>78.817586361261021</c:v>
                </c:pt>
              </c:numCache>
            </c:numRef>
          </c:yVal>
          <c:smooth val="0"/>
        </c:ser>
        <c:ser>
          <c:idx val="1"/>
          <c:order val="1"/>
          <c:tx>
            <c:v>&lt; 1 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Sheet1!$Z$24:$Z$42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Sheet1!$AB$24:$AB$42</c:f>
              <c:numCache>
                <c:formatCode>General</c:formatCode>
                <c:ptCount val="19"/>
                <c:pt idx="2">
                  <c:v>69.813304769944835</c:v>
                </c:pt>
                <c:pt idx="12">
                  <c:v>79.766054919207534</c:v>
                </c:pt>
                <c:pt idx="13">
                  <c:v>82.385891554950973</c:v>
                </c:pt>
                <c:pt idx="14">
                  <c:v>82.525032843532287</c:v>
                </c:pt>
                <c:pt idx="15">
                  <c:v>86.05930293817913</c:v>
                </c:pt>
                <c:pt idx="16">
                  <c:v>86.938708078638697</c:v>
                </c:pt>
                <c:pt idx="17">
                  <c:v>92.486233258305006</c:v>
                </c:pt>
                <c:pt idx="18">
                  <c:v>94.320577931465152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86160"/>
        <c:axId val="1542697584"/>
      </c:scatterChart>
      <c:valAx>
        <c:axId val="154268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Beetles</a:t>
                </a:r>
                <a:r>
                  <a:rPr lang="en-US" baseline="0"/>
                  <a:t> in order of %EW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97584"/>
        <c:crosses val="autoZero"/>
        <c:crossBetween val="midCat"/>
      </c:valAx>
      <c:valAx>
        <c:axId val="154269758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%EW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8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Sheet1!$AK$6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Sheet1!$AL$5:$AP$5</c:f>
              <c:strCache>
                <c:ptCount val="5"/>
                <c:pt idx="0">
                  <c:v>Other trees</c:v>
                </c:pt>
                <c:pt idx="1">
                  <c:v>Crown</c:v>
                </c:pt>
                <c:pt idx="2">
                  <c:v>Trap</c:v>
                </c:pt>
                <c:pt idx="3">
                  <c:v>Base</c:v>
                </c:pt>
                <c:pt idx="4">
                  <c:v>Soil</c:v>
                </c:pt>
              </c:strCache>
            </c:strRef>
          </c:cat>
          <c:val>
            <c:numRef>
              <c:f>Sheet1!$AL$6:$AP$6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Sheet1!$AK$7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Sheet1!$AL$5:$AP$5</c:f>
              <c:strCache>
                <c:ptCount val="5"/>
                <c:pt idx="0">
                  <c:v>Other trees</c:v>
                </c:pt>
                <c:pt idx="1">
                  <c:v>Crown</c:v>
                </c:pt>
                <c:pt idx="2">
                  <c:v>Trap</c:v>
                </c:pt>
                <c:pt idx="3">
                  <c:v>Base</c:v>
                </c:pt>
                <c:pt idx="4">
                  <c:v>Soil</c:v>
                </c:pt>
              </c:strCache>
            </c:strRef>
          </c:cat>
          <c:val>
            <c:numRef>
              <c:f>Sheet1!$AL$7:$AP$7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694864"/>
        <c:axId val="1542695408"/>
      </c:barChart>
      <c:catAx>
        <c:axId val="15426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95408"/>
        <c:crosses val="autoZero"/>
        <c:auto val="1"/>
        <c:lblAlgn val="ctr"/>
        <c:lblOffset val="100"/>
        <c:noMultiLvlLbl val="0"/>
      </c:catAx>
      <c:valAx>
        <c:axId val="154269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Sheet1!$AL$11:$AP$11</c:f>
                <c:numCache>
                  <c:formatCode>General</c:formatCode>
                  <c:ptCount val="5"/>
                  <c:pt idx="0">
                    <c:v>0.18127092950172141</c:v>
                  </c:pt>
                  <c:pt idx="1">
                    <c:v>1.2931226438855015</c:v>
                  </c:pt>
                  <c:pt idx="2">
                    <c:v>1.3794889621623765</c:v>
                  </c:pt>
                  <c:pt idx="3">
                    <c:v>6.7466023385451264</c:v>
                  </c:pt>
                  <c:pt idx="4">
                    <c:v>3.4773623443334269</c:v>
                  </c:pt>
                </c:numCache>
              </c:numRef>
            </c:plus>
            <c:minus>
              <c:numRef>
                <c:f>Sheet1!$AL$11:$AP$11</c:f>
                <c:numCache>
                  <c:formatCode>General</c:formatCode>
                  <c:ptCount val="5"/>
                  <c:pt idx="0">
                    <c:v>0.18127092950172141</c:v>
                  </c:pt>
                  <c:pt idx="1">
                    <c:v>1.2931226438855015</c:v>
                  </c:pt>
                  <c:pt idx="2">
                    <c:v>1.3794889621623765</c:v>
                  </c:pt>
                  <c:pt idx="3">
                    <c:v>6.7466023385451264</c:v>
                  </c:pt>
                  <c:pt idx="4">
                    <c:v>3.4773623443334269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Sheet1!$AL$9:$AP$9</c:f>
              <c:strCache>
                <c:ptCount val="5"/>
                <c:pt idx="0">
                  <c:v>Other trees</c:v>
                </c:pt>
                <c:pt idx="1">
                  <c:v>Crown</c:v>
                </c:pt>
                <c:pt idx="2">
                  <c:v>Trap</c:v>
                </c:pt>
                <c:pt idx="3">
                  <c:v>Base</c:v>
                </c:pt>
                <c:pt idx="4">
                  <c:v>Soil</c:v>
                </c:pt>
              </c:strCache>
            </c:strRef>
          </c:cat>
          <c:val>
            <c:numRef>
              <c:f>Sheet1!$AL$10:$AP$10</c:f>
              <c:numCache>
                <c:formatCode>General</c:formatCode>
                <c:ptCount val="5"/>
                <c:pt idx="0">
                  <c:v>72.021389457679021</c:v>
                </c:pt>
                <c:pt idx="1">
                  <c:v>73.654087799487996</c:v>
                </c:pt>
                <c:pt idx="2">
                  <c:v>81.145543881369917</c:v>
                </c:pt>
                <c:pt idx="3">
                  <c:v>82.786280322142986</c:v>
                </c:pt>
                <c:pt idx="4">
                  <c:v>87.881725855018274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986544"/>
        <c:axId val="1338981648"/>
      </c:barChart>
      <c:catAx>
        <c:axId val="133898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981648"/>
        <c:crosses val="autoZero"/>
        <c:auto val="1"/>
        <c:lblAlgn val="ctr"/>
        <c:lblOffset val="100"/>
        <c:noMultiLvlLbl val="0"/>
      </c:catAx>
      <c:valAx>
        <c:axId val="1338981648"/>
        <c:scaling>
          <c:orientation val="minMax"/>
          <c:min val="7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98654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185737</xdr:rowOff>
    </xdr:from>
    <xdr:to>
      <xdr:col>20</xdr:col>
      <xdr:colOff>295275</xdr:colOff>
      <xdr:row>15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16</xdr:row>
      <xdr:rowOff>176212</xdr:rowOff>
    </xdr:from>
    <xdr:to>
      <xdr:col>20</xdr:col>
      <xdr:colOff>285750</xdr:colOff>
      <xdr:row>31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600075</xdr:colOff>
      <xdr:row>31</xdr:row>
      <xdr:rowOff>157162</xdr:rowOff>
    </xdr:from>
    <xdr:to>
      <xdr:col>20</xdr:col>
      <xdr:colOff>295275</xdr:colOff>
      <xdr:row>46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200025</xdr:colOff>
      <xdr:row>26</xdr:row>
      <xdr:rowOff>61912</xdr:rowOff>
    </xdr:from>
    <xdr:to>
      <xdr:col>35</xdr:col>
      <xdr:colOff>419100</xdr:colOff>
      <xdr:row>40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490537</xdr:colOff>
      <xdr:row>11</xdr:row>
      <xdr:rowOff>147637</xdr:rowOff>
    </xdr:from>
    <xdr:to>
      <xdr:col>47</xdr:col>
      <xdr:colOff>185737</xdr:colOff>
      <xdr:row>26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490537</xdr:colOff>
      <xdr:row>26</xdr:row>
      <xdr:rowOff>128587</xdr:rowOff>
    </xdr:from>
    <xdr:to>
      <xdr:col>47</xdr:col>
      <xdr:colOff>185737</xdr:colOff>
      <xdr:row>41</xdr:row>
      <xdr:rowOff>14287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Q1" workbookViewId="0">
      <selection activeCell="W1" sqref="W1:AI20"/>
    </sheetView>
  </sheetViews>
  <sheetFormatPr defaultRowHeight="15" x14ac:dyDescent="0.25"/>
  <cols>
    <col min="35" max="35" width="10.42578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5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t="s">
        <v>10</v>
      </c>
      <c r="K1" t="s">
        <v>11</v>
      </c>
      <c r="L1" t="s">
        <v>12</v>
      </c>
      <c r="W1" t="s">
        <v>0</v>
      </c>
      <c r="X1" t="s">
        <v>1</v>
      </c>
      <c r="Y1" t="s">
        <v>2</v>
      </c>
      <c r="Z1" t="s">
        <v>3</v>
      </c>
      <c r="AA1" s="5" t="s">
        <v>5</v>
      </c>
      <c r="AB1" s="6" t="s">
        <v>6</v>
      </c>
      <c r="AC1" s="6" t="s">
        <v>7</v>
      </c>
      <c r="AD1" s="7" t="s">
        <v>8</v>
      </c>
      <c r="AE1" s="7" t="s">
        <v>9</v>
      </c>
      <c r="AF1" t="s">
        <v>10</v>
      </c>
      <c r="AG1" t="s">
        <v>11</v>
      </c>
      <c r="AH1" t="s">
        <v>12</v>
      </c>
      <c r="AI1" t="s">
        <v>21</v>
      </c>
    </row>
    <row r="2" spans="1:42" x14ac:dyDescent="0.25">
      <c r="A2">
        <v>2977</v>
      </c>
      <c r="B2">
        <v>13.474933</v>
      </c>
      <c r="C2">
        <v>144.70875000000001</v>
      </c>
      <c r="D2">
        <v>117.35874</v>
      </c>
      <c r="E2" t="s">
        <v>13</v>
      </c>
      <c r="F2" s="3">
        <v>21.83</v>
      </c>
      <c r="G2" s="3">
        <v>16.989999999999998</v>
      </c>
      <c r="H2" s="4">
        <v>3.6219999999999999</v>
      </c>
      <c r="J2">
        <f t="shared" ref="J2:J11" si="0">F2*G2</f>
        <v>370.89169999999996</v>
      </c>
      <c r="K2">
        <f t="shared" ref="K2:K11" si="1">(0.021*J2)-3.58</f>
        <v>4.2087256999999996</v>
      </c>
      <c r="L2">
        <f t="shared" ref="L2:L11" si="2">H2/K2*100</f>
        <v>86.05930293817913</v>
      </c>
      <c r="W2">
        <v>2971</v>
      </c>
      <c r="X2" s="1">
        <v>13.535104</v>
      </c>
      <c r="Y2">
        <v>144.87388200000001</v>
      </c>
      <c r="Z2">
        <v>443.82959399999999</v>
      </c>
      <c r="AA2" t="s">
        <v>4</v>
      </c>
      <c r="AB2" s="3">
        <v>22.36</v>
      </c>
      <c r="AC2" s="3">
        <v>17.55</v>
      </c>
      <c r="AD2" s="4">
        <v>3.0870000000000002</v>
      </c>
      <c r="AF2">
        <f t="shared" ref="AF2:AF20" si="3">AB2*AC2</f>
        <v>392.41800000000001</v>
      </c>
      <c r="AG2">
        <f t="shared" ref="AG2:AG20" si="4">(0.021*AF2)-3.58</f>
        <v>4.6607780000000005</v>
      </c>
      <c r="AH2" s="9">
        <f t="shared" ref="AH2:AH20" si="5">AD2/AG2*100</f>
        <v>66.233577312628924</v>
      </c>
      <c r="AI2" s="8" t="s">
        <v>22</v>
      </c>
      <c r="AJ2" s="9"/>
    </row>
    <row r="3" spans="1:42" x14ac:dyDescent="0.25">
      <c r="A3">
        <v>2983</v>
      </c>
      <c r="B3">
        <v>13.473649999999999</v>
      </c>
      <c r="C3">
        <v>144.71275</v>
      </c>
      <c r="D3">
        <v>564.62259100000006</v>
      </c>
      <c r="E3" t="s">
        <v>13</v>
      </c>
      <c r="F3" s="3">
        <v>22.07</v>
      </c>
      <c r="G3" s="3">
        <v>17.350000000000001</v>
      </c>
      <c r="H3" s="4">
        <v>4.1260000000000003</v>
      </c>
      <c r="J3">
        <f t="shared" si="0"/>
        <v>382.91450000000003</v>
      </c>
      <c r="K3">
        <f t="shared" si="1"/>
        <v>4.4612045000000009</v>
      </c>
      <c r="L3">
        <f t="shared" si="2"/>
        <v>92.486233258305006</v>
      </c>
      <c r="W3">
        <v>2975</v>
      </c>
      <c r="X3">
        <v>13.473145000000001</v>
      </c>
      <c r="Y3">
        <v>144.70826400000001</v>
      </c>
      <c r="Z3">
        <v>91.578165999999996</v>
      </c>
      <c r="AA3" t="s">
        <v>4</v>
      </c>
      <c r="AB3" s="3">
        <v>23.82</v>
      </c>
      <c r="AC3" s="3">
        <v>18.39</v>
      </c>
      <c r="AD3" s="4">
        <v>3.91</v>
      </c>
      <c r="AF3">
        <f t="shared" si="3"/>
        <v>438.0498</v>
      </c>
      <c r="AG3">
        <f t="shared" si="4"/>
        <v>5.6190458000000003</v>
      </c>
      <c r="AH3" s="9">
        <f t="shared" si="5"/>
        <v>69.584768289306339</v>
      </c>
      <c r="AI3" s="8" t="s">
        <v>22</v>
      </c>
      <c r="AJ3" s="9"/>
    </row>
    <row r="4" spans="1:42" x14ac:dyDescent="0.25">
      <c r="A4">
        <v>2967</v>
      </c>
      <c r="B4" s="1">
        <v>13.47316</v>
      </c>
      <c r="C4">
        <v>144.70832999999999</v>
      </c>
      <c r="D4">
        <v>86.850481000000002</v>
      </c>
      <c r="E4" t="s">
        <v>13</v>
      </c>
      <c r="F4" s="3">
        <v>23.4</v>
      </c>
      <c r="G4" s="3">
        <v>18.149999999999999</v>
      </c>
      <c r="H4" s="4">
        <v>4.2080000000000002</v>
      </c>
      <c r="J4">
        <f t="shared" si="0"/>
        <v>424.70999999999992</v>
      </c>
      <c r="K4">
        <f t="shared" si="1"/>
        <v>5.3389099999999985</v>
      </c>
      <c r="L4">
        <f t="shared" si="2"/>
        <v>78.817586361261021</v>
      </c>
      <c r="W4">
        <v>2962</v>
      </c>
      <c r="X4">
        <v>13.473946</v>
      </c>
      <c r="Y4">
        <v>144.708144</v>
      </c>
      <c r="Z4">
        <v>52.808954</v>
      </c>
      <c r="AA4" t="s">
        <v>4</v>
      </c>
      <c r="AB4" s="3">
        <v>26.73</v>
      </c>
      <c r="AC4" s="3">
        <v>21.19</v>
      </c>
      <c r="AD4" s="4">
        <v>6.0410000000000004</v>
      </c>
      <c r="AF4">
        <f t="shared" si="3"/>
        <v>566.40870000000007</v>
      </c>
      <c r="AG4">
        <f t="shared" si="4"/>
        <v>8.3145827000000025</v>
      </c>
      <c r="AH4" s="9">
        <f t="shared" si="5"/>
        <v>72.655480352609857</v>
      </c>
      <c r="AI4" s="8" t="s">
        <v>22</v>
      </c>
      <c r="AJ4" s="9"/>
    </row>
    <row r="5" spans="1:42" x14ac:dyDescent="0.25">
      <c r="A5">
        <v>2987</v>
      </c>
      <c r="B5">
        <v>13.474722999999999</v>
      </c>
      <c r="C5">
        <v>144.70890600000001</v>
      </c>
      <c r="D5">
        <v>103.197063</v>
      </c>
      <c r="E5" t="s">
        <v>13</v>
      </c>
      <c r="F5" s="3">
        <v>23.31</v>
      </c>
      <c r="G5" s="3">
        <v>18.309999999999999</v>
      </c>
      <c r="H5" s="4">
        <v>3.758</v>
      </c>
      <c r="J5">
        <f t="shared" si="0"/>
        <v>426.80609999999996</v>
      </c>
      <c r="K5">
        <f t="shared" si="1"/>
        <v>5.3829280999999991</v>
      </c>
      <c r="L5">
        <f t="shared" si="2"/>
        <v>69.813304769944835</v>
      </c>
      <c r="W5">
        <v>2966</v>
      </c>
      <c r="X5" s="1">
        <v>13.528740000000001</v>
      </c>
      <c r="Y5" s="1">
        <v>144.87071800000001</v>
      </c>
      <c r="Z5">
        <v>395.18674800000002</v>
      </c>
      <c r="AA5" t="s">
        <v>13</v>
      </c>
      <c r="AB5" s="3">
        <v>24.01</v>
      </c>
      <c r="AC5" s="3">
        <v>18.940000000000001</v>
      </c>
      <c r="AD5" s="4">
        <v>4.3789999999999996</v>
      </c>
      <c r="AF5">
        <f t="shared" si="3"/>
        <v>454.74940000000004</v>
      </c>
      <c r="AG5">
        <f t="shared" si="4"/>
        <v>5.9697374000000014</v>
      </c>
      <c r="AH5" s="9">
        <f t="shared" si="5"/>
        <v>73.3533103147887</v>
      </c>
      <c r="AI5" s="8" t="s">
        <v>22</v>
      </c>
      <c r="AJ5" s="9"/>
      <c r="AL5" t="s">
        <v>30</v>
      </c>
      <c r="AM5" t="s">
        <v>28</v>
      </c>
      <c r="AN5" t="s">
        <v>29</v>
      </c>
      <c r="AO5" t="s">
        <v>25</v>
      </c>
      <c r="AP5" t="s">
        <v>31</v>
      </c>
    </row>
    <row r="6" spans="1:42" x14ac:dyDescent="0.25">
      <c r="A6">
        <v>2975</v>
      </c>
      <c r="B6">
        <v>13.473145000000001</v>
      </c>
      <c r="C6">
        <v>144.70826400000001</v>
      </c>
      <c r="D6">
        <v>91.578165999999996</v>
      </c>
      <c r="E6" t="s">
        <v>4</v>
      </c>
      <c r="F6" s="3">
        <v>23.82</v>
      </c>
      <c r="G6" s="3">
        <v>18.39</v>
      </c>
      <c r="H6" s="4">
        <v>3.91</v>
      </c>
      <c r="J6">
        <f t="shared" si="0"/>
        <v>438.0498</v>
      </c>
      <c r="K6">
        <f t="shared" si="1"/>
        <v>5.6190458000000003</v>
      </c>
      <c r="L6">
        <f t="shared" si="2"/>
        <v>69.584768289306339</v>
      </c>
      <c r="W6">
        <v>2958</v>
      </c>
      <c r="X6" s="1">
        <v>13.530545999999999</v>
      </c>
      <c r="Y6" s="1">
        <v>144.870442</v>
      </c>
      <c r="Z6">
        <v>320.75600500000002</v>
      </c>
      <c r="AA6" t="s">
        <v>13</v>
      </c>
      <c r="AB6" s="3">
        <v>25.76</v>
      </c>
      <c r="AC6" s="3">
        <v>19.16</v>
      </c>
      <c r="AD6" s="4">
        <v>5.0090000000000003</v>
      </c>
      <c r="AF6">
        <f t="shared" si="3"/>
        <v>493.56160000000006</v>
      </c>
      <c r="AG6">
        <f t="shared" si="4"/>
        <v>6.7847936000000022</v>
      </c>
      <c r="AH6" s="9">
        <f t="shared" si="5"/>
        <v>73.826858933483237</v>
      </c>
      <c r="AI6" s="8" t="s">
        <v>22</v>
      </c>
      <c r="AJ6" s="9"/>
      <c r="AK6" t="s">
        <v>32</v>
      </c>
      <c r="AL6">
        <v>0</v>
      </c>
      <c r="AM6">
        <v>6</v>
      </c>
      <c r="AN6">
        <v>1</v>
      </c>
      <c r="AO6">
        <v>0</v>
      </c>
      <c r="AP6">
        <v>3</v>
      </c>
    </row>
    <row r="7" spans="1:42" x14ac:dyDescent="0.25">
      <c r="A7">
        <v>2964</v>
      </c>
      <c r="B7">
        <v>13.471209999999999</v>
      </c>
      <c r="C7">
        <v>144.70635999999999</v>
      </c>
      <c r="D7">
        <v>416.83200199999999</v>
      </c>
      <c r="E7" t="s">
        <v>13</v>
      </c>
      <c r="F7" s="3">
        <v>24.03</v>
      </c>
      <c r="G7" s="3">
        <v>18.71</v>
      </c>
      <c r="H7" s="4">
        <v>4.2110000000000003</v>
      </c>
      <c r="J7">
        <f t="shared" si="0"/>
        <v>449.60130000000004</v>
      </c>
      <c r="K7">
        <f t="shared" si="1"/>
        <v>5.8616273000000021</v>
      </c>
      <c r="L7">
        <f t="shared" si="2"/>
        <v>71.8401185281773</v>
      </c>
      <c r="W7">
        <v>2949</v>
      </c>
      <c r="X7" s="1">
        <v>13.53323</v>
      </c>
      <c r="Y7" s="1">
        <v>144.87376</v>
      </c>
      <c r="Z7">
        <v>249.594605</v>
      </c>
      <c r="AA7" t="s">
        <v>4</v>
      </c>
      <c r="AB7" s="3">
        <v>26.15</v>
      </c>
      <c r="AC7" s="3">
        <v>20.9</v>
      </c>
      <c r="AD7" s="4">
        <v>5.9420000000000002</v>
      </c>
      <c r="AF7">
        <f t="shared" si="3"/>
        <v>546.53499999999997</v>
      </c>
      <c r="AG7">
        <f t="shared" si="4"/>
        <v>7.8972350000000002</v>
      </c>
      <c r="AH7" s="9">
        <f t="shared" si="5"/>
        <v>75.241524406960153</v>
      </c>
      <c r="AI7" s="8" t="s">
        <v>22</v>
      </c>
      <c r="AJ7" s="9"/>
      <c r="AK7" t="s">
        <v>33</v>
      </c>
      <c r="AL7">
        <v>2</v>
      </c>
      <c r="AM7">
        <v>3</v>
      </c>
      <c r="AN7">
        <v>1</v>
      </c>
      <c r="AO7">
        <v>3</v>
      </c>
      <c r="AP7">
        <v>0</v>
      </c>
    </row>
    <row r="8" spans="1:42" x14ac:dyDescent="0.25">
      <c r="A8">
        <v>2989</v>
      </c>
      <c r="B8" s="1">
        <v>13.473706999999999</v>
      </c>
      <c r="C8">
        <v>144.711533</v>
      </c>
      <c r="D8">
        <v>401.615342</v>
      </c>
      <c r="E8" t="s">
        <v>4</v>
      </c>
      <c r="F8" s="3">
        <v>24.97</v>
      </c>
      <c r="G8" s="3">
        <v>19.96</v>
      </c>
      <c r="H8" s="4">
        <v>5.3289999999999997</v>
      </c>
      <c r="J8">
        <f t="shared" si="0"/>
        <v>498.40120000000002</v>
      </c>
      <c r="K8">
        <f t="shared" si="1"/>
        <v>6.8864252000000015</v>
      </c>
      <c r="L8">
        <f t="shared" si="2"/>
        <v>77.384126672863573</v>
      </c>
      <c r="W8">
        <v>2980</v>
      </c>
      <c r="X8">
        <v>13.47315</v>
      </c>
      <c r="Y8">
        <v>144.70831000000001</v>
      </c>
      <c r="Z8">
        <v>88.779865999999998</v>
      </c>
      <c r="AA8" t="s">
        <v>4</v>
      </c>
      <c r="AB8" s="3">
        <v>25.96</v>
      </c>
      <c r="AC8" s="3">
        <v>20.97</v>
      </c>
      <c r="AD8" s="4">
        <v>5.9509999999999996</v>
      </c>
      <c r="AF8">
        <f t="shared" si="3"/>
        <v>544.38120000000004</v>
      </c>
      <c r="AG8">
        <f t="shared" si="4"/>
        <v>7.8520052000000007</v>
      </c>
      <c r="AH8" s="9">
        <f t="shared" si="5"/>
        <v>75.789557551490148</v>
      </c>
      <c r="AI8" s="8" t="s">
        <v>22</v>
      </c>
      <c r="AJ8" s="9"/>
    </row>
    <row r="9" spans="1:42" x14ac:dyDescent="0.25">
      <c r="A9">
        <v>2980</v>
      </c>
      <c r="B9">
        <v>13.47315</v>
      </c>
      <c r="C9">
        <v>144.70831000000001</v>
      </c>
      <c r="D9">
        <v>88.779865999999998</v>
      </c>
      <c r="E9" t="s">
        <v>4</v>
      </c>
      <c r="F9" s="3">
        <v>25.96</v>
      </c>
      <c r="G9" s="3">
        <v>20.97</v>
      </c>
      <c r="H9" s="4">
        <v>5.9509999999999996</v>
      </c>
      <c r="J9">
        <f t="shared" si="0"/>
        <v>544.38120000000004</v>
      </c>
      <c r="K9">
        <f t="shared" si="1"/>
        <v>7.8520052000000007</v>
      </c>
      <c r="L9">
        <f t="shared" si="2"/>
        <v>75.789557551490148</v>
      </c>
      <c r="W9">
        <v>2989</v>
      </c>
      <c r="X9" s="1">
        <v>13.473706999999999</v>
      </c>
      <c r="Y9">
        <v>144.711533</v>
      </c>
      <c r="Z9">
        <v>401.615342</v>
      </c>
      <c r="AA9" t="s">
        <v>4</v>
      </c>
      <c r="AB9" s="3">
        <v>24.97</v>
      </c>
      <c r="AC9" s="3">
        <v>19.96</v>
      </c>
      <c r="AD9" s="4">
        <v>5.3289999999999997</v>
      </c>
      <c r="AF9">
        <f t="shared" si="3"/>
        <v>498.40120000000002</v>
      </c>
      <c r="AG9">
        <f t="shared" si="4"/>
        <v>6.8864252000000015</v>
      </c>
      <c r="AH9">
        <f t="shared" si="5"/>
        <v>77.384126672863573</v>
      </c>
      <c r="AI9" s="8" t="s">
        <v>22</v>
      </c>
      <c r="AJ9" s="9"/>
      <c r="AL9" t="s">
        <v>30</v>
      </c>
      <c r="AM9" t="s">
        <v>28</v>
      </c>
      <c r="AN9" t="s">
        <v>29</v>
      </c>
      <c r="AO9" t="s">
        <v>25</v>
      </c>
      <c r="AP9" t="s">
        <v>31</v>
      </c>
    </row>
    <row r="10" spans="1:42" x14ac:dyDescent="0.25">
      <c r="A10">
        <v>2988</v>
      </c>
      <c r="B10">
        <v>13.475751000000001</v>
      </c>
      <c r="C10">
        <v>144.707832</v>
      </c>
      <c r="D10">
        <v>225.07880599999999</v>
      </c>
      <c r="E10" t="s">
        <v>13</v>
      </c>
      <c r="F10" s="3">
        <v>26.41</v>
      </c>
      <c r="G10" s="3">
        <v>21.01</v>
      </c>
      <c r="H10" s="4">
        <v>6.4390000000000001</v>
      </c>
      <c r="J10">
        <f t="shared" si="0"/>
        <v>554.8741</v>
      </c>
      <c r="K10">
        <f t="shared" si="1"/>
        <v>8.0723561000000004</v>
      </c>
      <c r="L10">
        <f t="shared" si="2"/>
        <v>79.766054919207534</v>
      </c>
      <c r="W10">
        <v>2967</v>
      </c>
      <c r="X10" s="1">
        <v>13.47316</v>
      </c>
      <c r="Y10">
        <v>144.70832999999999</v>
      </c>
      <c r="Z10">
        <v>86.850481000000002</v>
      </c>
      <c r="AA10" t="s">
        <v>13</v>
      </c>
      <c r="AB10" s="3">
        <v>23.4</v>
      </c>
      <c r="AC10" s="3">
        <v>18.149999999999999</v>
      </c>
      <c r="AD10" s="4">
        <v>4.2080000000000002</v>
      </c>
      <c r="AF10">
        <f t="shared" si="3"/>
        <v>424.70999999999992</v>
      </c>
      <c r="AG10">
        <f t="shared" si="4"/>
        <v>5.3389099999999985</v>
      </c>
      <c r="AH10" s="9">
        <f t="shared" si="5"/>
        <v>78.817586361261021</v>
      </c>
      <c r="AI10" s="8" t="s">
        <v>22</v>
      </c>
      <c r="AJ10" s="9"/>
      <c r="AK10" t="s">
        <v>12</v>
      </c>
      <c r="AL10">
        <f>AVERAGE(AH11:AH12)</f>
        <v>72.021389457679021</v>
      </c>
      <c r="AM10">
        <f>AVERAGE(AH2:AH10)</f>
        <v>73.654087799487996</v>
      </c>
      <c r="AN10">
        <f>AVERAGE(AH19:AH20)</f>
        <v>81.145543881369917</v>
      </c>
      <c r="AO10">
        <f>AVERAGE(AH13:AH15)</f>
        <v>82.786280322142986</v>
      </c>
      <c r="AP10">
        <f>AVERAGE(AH16:AH18)</f>
        <v>87.881725855018274</v>
      </c>
    </row>
    <row r="11" spans="1:42" x14ac:dyDescent="0.25">
      <c r="A11">
        <v>2962</v>
      </c>
      <c r="B11">
        <v>13.473946</v>
      </c>
      <c r="C11">
        <v>144.708144</v>
      </c>
      <c r="D11">
        <v>52.808954</v>
      </c>
      <c r="E11" t="s">
        <v>4</v>
      </c>
      <c r="F11" s="3">
        <v>26.73</v>
      </c>
      <c r="G11" s="3">
        <v>21.19</v>
      </c>
      <c r="H11" s="4">
        <v>6.0410000000000004</v>
      </c>
      <c r="J11">
        <f t="shared" si="0"/>
        <v>566.40870000000007</v>
      </c>
      <c r="K11">
        <f t="shared" si="1"/>
        <v>8.3145827000000025</v>
      </c>
      <c r="L11">
        <f t="shared" si="2"/>
        <v>72.655480352609857</v>
      </c>
      <c r="W11">
        <v>2964</v>
      </c>
      <c r="X11">
        <v>13.471209999999999</v>
      </c>
      <c r="Y11">
        <v>144.70635999999999</v>
      </c>
      <c r="Z11">
        <v>416.83200199999999</v>
      </c>
      <c r="AA11" t="s">
        <v>13</v>
      </c>
      <c r="AB11" s="3">
        <v>24.03</v>
      </c>
      <c r="AC11" s="3">
        <v>18.71</v>
      </c>
      <c r="AD11" s="4">
        <v>4.2110000000000003</v>
      </c>
      <c r="AF11">
        <f t="shared" si="3"/>
        <v>449.60130000000004</v>
      </c>
      <c r="AG11">
        <f t="shared" si="4"/>
        <v>5.8616273000000021</v>
      </c>
      <c r="AH11" s="9">
        <f t="shared" si="5"/>
        <v>71.8401185281773</v>
      </c>
      <c r="AI11" s="8" t="s">
        <v>23</v>
      </c>
      <c r="AJ11" s="9"/>
      <c r="AL11">
        <f>STDEV(AH11:AH12)/SQRT(2)</f>
        <v>0.18127092950172141</v>
      </c>
      <c r="AM11">
        <f>STDEV(AH2:AH10)/SQRT(COUNT(AH2:AH10))</f>
        <v>1.2931226438855015</v>
      </c>
      <c r="AN11">
        <f>STDEV(AH19:AH20)/SQRT(2)</f>
        <v>1.3794889621623765</v>
      </c>
      <c r="AO11">
        <f>STDEV(AH13:AH15)/SQRT(3)</f>
        <v>6.7466023385451264</v>
      </c>
      <c r="AP11">
        <f>STDEV(AH16:AH18)/SQRT(3)</f>
        <v>3.4773623443334269</v>
      </c>
    </row>
    <row r="12" spans="1:42" x14ac:dyDescent="0.25">
      <c r="D12">
        <v>95.271828999999997</v>
      </c>
      <c r="E12" t="s">
        <v>13</v>
      </c>
      <c r="W12">
        <v>2952</v>
      </c>
      <c r="X12" s="1">
        <v>13.530583</v>
      </c>
      <c r="Y12" s="1">
        <v>144.8724</v>
      </c>
      <c r="Z12">
        <v>95.271828999999997</v>
      </c>
      <c r="AA12" t="s">
        <v>13</v>
      </c>
      <c r="AB12" s="3">
        <v>24.07</v>
      </c>
      <c r="AC12" s="3">
        <v>18.670000000000002</v>
      </c>
      <c r="AD12" s="4">
        <v>4.2290000000000001</v>
      </c>
      <c r="AF12">
        <f t="shared" si="3"/>
        <v>449.38690000000003</v>
      </c>
      <c r="AG12">
        <f t="shared" si="4"/>
        <v>5.8571249000000005</v>
      </c>
      <c r="AH12" s="9">
        <f t="shared" si="5"/>
        <v>72.202660387180742</v>
      </c>
      <c r="AI12" s="8" t="s">
        <v>23</v>
      </c>
      <c r="AJ12" s="9"/>
    </row>
    <row r="13" spans="1:42" x14ac:dyDescent="0.25">
      <c r="D13">
        <v>320.75600500000002</v>
      </c>
      <c r="E13" t="s">
        <v>13</v>
      </c>
      <c r="W13">
        <v>2987</v>
      </c>
      <c r="X13">
        <v>13.474722999999999</v>
      </c>
      <c r="Y13">
        <v>144.70890600000001</v>
      </c>
      <c r="Z13">
        <v>103.197063</v>
      </c>
      <c r="AA13" t="s">
        <v>13</v>
      </c>
      <c r="AB13" s="3">
        <v>23.31</v>
      </c>
      <c r="AC13" s="3">
        <v>18.309999999999999</v>
      </c>
      <c r="AD13" s="4">
        <v>3.758</v>
      </c>
      <c r="AF13">
        <f t="shared" si="3"/>
        <v>426.80609999999996</v>
      </c>
      <c r="AG13">
        <f t="shared" si="4"/>
        <v>5.3829280999999991</v>
      </c>
      <c r="AH13">
        <f t="shared" si="5"/>
        <v>69.813304769944835</v>
      </c>
      <c r="AI13" s="8" t="s">
        <v>27</v>
      </c>
      <c r="AJ13" s="9"/>
      <c r="AL13" t="s">
        <v>34</v>
      </c>
      <c r="AM13" t="s">
        <v>35</v>
      </c>
    </row>
    <row r="14" spans="1:42" x14ac:dyDescent="0.25">
      <c r="D14">
        <v>395.18674800000002</v>
      </c>
      <c r="E14" t="s">
        <v>13</v>
      </c>
      <c r="W14">
        <v>2977</v>
      </c>
      <c r="X14">
        <v>13.474933</v>
      </c>
      <c r="Y14">
        <v>144.70875000000001</v>
      </c>
      <c r="Z14">
        <v>117.35874</v>
      </c>
      <c r="AA14" t="s">
        <v>13</v>
      </c>
      <c r="AB14" s="3">
        <v>21.83</v>
      </c>
      <c r="AC14" s="3">
        <v>16.989999999999998</v>
      </c>
      <c r="AD14" s="4">
        <v>3.6219999999999999</v>
      </c>
      <c r="AF14">
        <f t="shared" si="3"/>
        <v>370.89169999999996</v>
      </c>
      <c r="AG14">
        <f t="shared" si="4"/>
        <v>4.2087256999999996</v>
      </c>
      <c r="AH14" s="9">
        <f t="shared" si="5"/>
        <v>86.05930293817913</v>
      </c>
      <c r="AI14" s="8" t="s">
        <v>25</v>
      </c>
      <c r="AJ14" s="9"/>
      <c r="AK14" t="s">
        <v>12</v>
      </c>
      <c r="AL14">
        <f>AVERAGE(AH11:AH20,AH14)</f>
        <v>82.217926195250982</v>
      </c>
      <c r="AM14">
        <f>AVERAGE(AH2:AH10,AH13:AH14)</f>
        <v>74.43267253668327</v>
      </c>
    </row>
    <row r="15" spans="1:42" ht="15.75" x14ac:dyDescent="0.25">
      <c r="B15" s="2"/>
      <c r="C15" s="1"/>
      <c r="D15">
        <v>249.594605</v>
      </c>
      <c r="E15" t="s">
        <v>4</v>
      </c>
      <c r="W15">
        <v>2983</v>
      </c>
      <c r="X15">
        <v>13.473649999999999</v>
      </c>
      <c r="Y15">
        <v>144.71275</v>
      </c>
      <c r="Z15">
        <v>564.62259100000006</v>
      </c>
      <c r="AA15" t="s">
        <v>13</v>
      </c>
      <c r="AB15" s="3">
        <v>22.07</v>
      </c>
      <c r="AC15" s="3">
        <v>17.350000000000001</v>
      </c>
      <c r="AD15" s="4">
        <v>4.1260000000000003</v>
      </c>
      <c r="AF15">
        <f t="shared" si="3"/>
        <v>382.91450000000003</v>
      </c>
      <c r="AG15">
        <f t="shared" si="4"/>
        <v>4.4612045000000009</v>
      </c>
      <c r="AH15">
        <f t="shared" si="5"/>
        <v>92.486233258305006</v>
      </c>
      <c r="AI15" s="8" t="s">
        <v>27</v>
      </c>
      <c r="AJ15" s="9"/>
      <c r="AL15">
        <f>STDEV(AH15,AH11:AH20)/SQRT(COUNT(AH15,AH11:AH20))</f>
        <v>2.6261804789872878</v>
      </c>
      <c r="AM15">
        <f>STDEV(AH13:AH14,AH2:AH10)/SQRT(COUNT(AH13:AH14,AH2:AH10))</f>
        <v>1.602182616953935</v>
      </c>
    </row>
    <row r="16" spans="1:42" x14ac:dyDescent="0.25">
      <c r="D16">
        <v>373.77048300000001</v>
      </c>
      <c r="E16" t="s">
        <v>4</v>
      </c>
      <c r="W16">
        <v>2970</v>
      </c>
      <c r="X16" s="1">
        <v>13.532249999999999</v>
      </c>
      <c r="Y16" s="1">
        <v>144.870383</v>
      </c>
      <c r="Z16">
        <v>332.458259</v>
      </c>
      <c r="AA16" t="s">
        <v>4</v>
      </c>
      <c r="AB16" s="3">
        <v>21.6</v>
      </c>
      <c r="AC16" s="3">
        <v>17.02</v>
      </c>
      <c r="AD16" s="4">
        <v>3.411</v>
      </c>
      <c r="AF16">
        <f t="shared" si="3"/>
        <v>367.63200000000001</v>
      </c>
      <c r="AG16">
        <f t="shared" si="4"/>
        <v>4.1402720000000004</v>
      </c>
      <c r="AH16" s="9">
        <f t="shared" si="5"/>
        <v>82.385891554950973</v>
      </c>
      <c r="AI16" s="8" t="s">
        <v>24</v>
      </c>
      <c r="AL16">
        <f>TTEST(AH2:AH12,AH13:AH20,2,2)</f>
        <v>6.3463721583722251E-4</v>
      </c>
    </row>
    <row r="17" spans="1:39" x14ac:dyDescent="0.25">
      <c r="D17">
        <v>332.458259</v>
      </c>
      <c r="E17" t="s">
        <v>4</v>
      </c>
      <c r="W17">
        <v>2973</v>
      </c>
      <c r="X17" s="1">
        <v>13.53144</v>
      </c>
      <c r="Y17" s="1">
        <v>144.87161</v>
      </c>
      <c r="Z17">
        <v>152.94149300000001</v>
      </c>
      <c r="AA17" t="s">
        <v>4</v>
      </c>
      <c r="AB17" s="3">
        <v>21.25</v>
      </c>
      <c r="AC17" s="3">
        <v>16.5</v>
      </c>
      <c r="AD17" s="4">
        <v>3.2890000000000001</v>
      </c>
      <c r="AF17">
        <f t="shared" si="3"/>
        <v>350.625</v>
      </c>
      <c r="AG17">
        <f t="shared" si="4"/>
        <v>3.7831250000000001</v>
      </c>
      <c r="AH17" s="9">
        <f t="shared" si="5"/>
        <v>86.938708078638697</v>
      </c>
      <c r="AI17" s="8" t="s">
        <v>24</v>
      </c>
    </row>
    <row r="18" spans="1:39" x14ac:dyDescent="0.25">
      <c r="D18">
        <v>443.82959399999999</v>
      </c>
      <c r="E18" t="s">
        <v>4</v>
      </c>
      <c r="W18">
        <v>2963</v>
      </c>
      <c r="X18" s="1">
        <v>13.529310000000001</v>
      </c>
      <c r="Y18" s="1">
        <v>144.87051199999999</v>
      </c>
      <c r="Z18">
        <v>373.77048300000001</v>
      </c>
      <c r="AA18" t="s">
        <v>4</v>
      </c>
      <c r="AB18" s="3">
        <v>20.329999999999998</v>
      </c>
      <c r="AC18" s="3">
        <v>16.28</v>
      </c>
      <c r="AD18" s="4">
        <v>3.1789999999999998</v>
      </c>
      <c r="AF18">
        <f t="shared" si="3"/>
        <v>330.97239999999999</v>
      </c>
      <c r="AG18">
        <f t="shared" si="4"/>
        <v>3.3704204000000004</v>
      </c>
      <c r="AH18" s="9">
        <f t="shared" si="5"/>
        <v>94.320577931465152</v>
      </c>
      <c r="AI18" s="8" t="s">
        <v>24</v>
      </c>
      <c r="AK18" t="str">
        <f>Z1</f>
        <v>Distance</v>
      </c>
      <c r="AL18">
        <f>AVERAGE(Z2:Z12)</f>
        <v>240.28214472727271</v>
      </c>
      <c r="AM18">
        <f>AVERAGE(Z13:Z20)</f>
        <v>249.08696537500001</v>
      </c>
    </row>
    <row r="19" spans="1:39" x14ac:dyDescent="0.25">
      <c r="D19">
        <v>152.94149300000001</v>
      </c>
      <c r="E19" t="s">
        <v>4</v>
      </c>
      <c r="W19">
        <v>2988</v>
      </c>
      <c r="X19">
        <v>13.475751000000001</v>
      </c>
      <c r="Y19">
        <v>144.707832</v>
      </c>
      <c r="Z19">
        <v>225.07880599999999</v>
      </c>
      <c r="AA19" t="s">
        <v>13</v>
      </c>
      <c r="AB19" s="3">
        <v>26.41</v>
      </c>
      <c r="AC19" s="3">
        <v>21.01</v>
      </c>
      <c r="AD19" s="4">
        <v>6.4390000000000001</v>
      </c>
      <c r="AF19">
        <f t="shared" si="3"/>
        <v>554.8741</v>
      </c>
      <c r="AG19">
        <f t="shared" si="4"/>
        <v>8.0723561000000004</v>
      </c>
      <c r="AH19">
        <f t="shared" si="5"/>
        <v>79.766054919207534</v>
      </c>
      <c r="AI19" s="8" t="s">
        <v>26</v>
      </c>
      <c r="AL19">
        <f>STDEV(Z2:Z12)/SQRT(COUNT(Z2:Z12))</f>
        <v>48.050096496079938</v>
      </c>
      <c r="AM19">
        <f>STDEV(Z13:Z20)/SQRT(COUNT(Z13:Z20))</f>
        <v>57.685470337800915</v>
      </c>
    </row>
    <row r="20" spans="1:39" x14ac:dyDescent="0.25">
      <c r="D20">
        <v>123.268288</v>
      </c>
      <c r="E20" t="s">
        <v>4</v>
      </c>
      <c r="W20">
        <v>2982</v>
      </c>
      <c r="X20" s="1">
        <v>13.532033</v>
      </c>
      <c r="Y20" s="1">
        <v>144.87346700000001</v>
      </c>
      <c r="Z20">
        <v>123.268288</v>
      </c>
      <c r="AA20" t="s">
        <v>4</v>
      </c>
      <c r="AB20" s="3">
        <v>23.47</v>
      </c>
      <c r="AC20" s="3">
        <v>18.75</v>
      </c>
      <c r="AD20" s="4">
        <v>4.6719999999999997</v>
      </c>
      <c r="AF20">
        <f t="shared" si="3"/>
        <v>440.0625</v>
      </c>
      <c r="AG20">
        <f t="shared" si="4"/>
        <v>5.6613125000000011</v>
      </c>
      <c r="AH20">
        <f t="shared" si="5"/>
        <v>82.525032843532287</v>
      </c>
      <c r="AI20" s="8" t="s">
        <v>26</v>
      </c>
      <c r="AL20">
        <f>TTEST(Z2:Z12,Z13:Z20,2,2)</f>
        <v>0.90765288421032253</v>
      </c>
    </row>
    <row r="22" spans="1:39" x14ac:dyDescent="0.25">
      <c r="AK22" s="4" t="str">
        <f>AD1</f>
        <v>Weight</v>
      </c>
      <c r="AL22" s="4">
        <f>AVERAGE(AD2:AD12)</f>
        <v>4.7541818181818183</v>
      </c>
      <c r="AM22" s="4">
        <f>AVERAGE(AD13:AD20)</f>
        <v>4.0619999999999994</v>
      </c>
    </row>
    <row r="23" spans="1:39" x14ac:dyDescent="0.25">
      <c r="AL23">
        <f>STDEV(AD2:AD12)/SQRT(COUNT(AD2:AD12))</f>
        <v>0.29227340308136307</v>
      </c>
      <c r="AM23">
        <f>STDEV(AD13:AD20)/SQRT(COUNT(AD13:AD20))</f>
        <v>0.38063293153828537</v>
      </c>
    </row>
    <row r="24" spans="1:39" x14ac:dyDescent="0.25">
      <c r="B24" t="s">
        <v>19</v>
      </c>
      <c r="C24" t="s">
        <v>20</v>
      </c>
      <c r="F24" t="s">
        <v>14</v>
      </c>
      <c r="G24" t="s">
        <v>15</v>
      </c>
      <c r="I24" t="s">
        <v>3</v>
      </c>
      <c r="J24" t="s">
        <v>11</v>
      </c>
      <c r="K24" t="s">
        <v>8</v>
      </c>
      <c r="L24" t="s">
        <v>12</v>
      </c>
      <c r="Z24">
        <v>1</v>
      </c>
      <c r="AA24">
        <v>66.233577312628924</v>
      </c>
      <c r="AL24">
        <f>TTEST(AD2:AD12,AD13:AD20,2,2)</f>
        <v>0.16041734753603065</v>
      </c>
    </row>
    <row r="25" spans="1:39" x14ac:dyDescent="0.25">
      <c r="A25" t="s">
        <v>16</v>
      </c>
      <c r="B25">
        <f>AVERAGE(D12:D20)</f>
        <v>276.34192266666668</v>
      </c>
      <c r="C25">
        <f>AVERAGE(D2:D11)</f>
        <v>214.87220110000004</v>
      </c>
      <c r="E25" t="s">
        <v>16</v>
      </c>
      <c r="F25">
        <f>AVERAGE(D2:D10)</f>
        <v>232.87922855555558</v>
      </c>
      <c r="G25">
        <f>AVERAGE(D11:D20)</f>
        <v>253.98862579999999</v>
      </c>
      <c r="I25">
        <v>443.82959399999999</v>
      </c>
      <c r="J25">
        <v>4.6607780000000005</v>
      </c>
      <c r="K25">
        <v>3.0870000000000002</v>
      </c>
      <c r="L25">
        <v>66.233577312628924</v>
      </c>
      <c r="Z25">
        <v>2</v>
      </c>
      <c r="AA25">
        <v>69.584768289306339</v>
      </c>
    </row>
    <row r="26" spans="1:39" x14ac:dyDescent="0.25">
      <c r="A26" t="s">
        <v>17</v>
      </c>
      <c r="B26">
        <f>STDEV(D12:D20)/SQRT(COUNT(D12:D20))</f>
        <v>42.32007540648906</v>
      </c>
      <c r="C26">
        <f>STDEV(D2:D11)/SQRT(COUNT(D2:D11))</f>
        <v>57.137770770604781</v>
      </c>
      <c r="E26" t="s">
        <v>17</v>
      </c>
      <c r="F26">
        <f>STDEV(D2:D10)/SQRT(COUNT(D2:D10))</f>
        <v>60.626642357640996</v>
      </c>
      <c r="G26">
        <f>STDEV(D11:D20)/SQRT(COUNT(D11:D20))</f>
        <v>43.959764634698217</v>
      </c>
      <c r="I26">
        <v>91.578165999999996</v>
      </c>
      <c r="J26">
        <v>5.6190458000000003</v>
      </c>
      <c r="K26">
        <v>3.91</v>
      </c>
      <c r="L26">
        <v>69.584768289306339</v>
      </c>
      <c r="Z26">
        <v>3</v>
      </c>
      <c r="AB26">
        <v>69.813304769944835</v>
      </c>
      <c r="AK26" t="s">
        <v>11</v>
      </c>
      <c r="AL26">
        <f>AVERAGE(AG2:AG12)</f>
        <v>6.4583877363636368</v>
      </c>
      <c r="AM26">
        <f>AVERAGE(AG13:AG20)</f>
        <v>4.8850430375</v>
      </c>
    </row>
    <row r="27" spans="1:39" x14ac:dyDescent="0.25">
      <c r="A27" t="s">
        <v>18</v>
      </c>
      <c r="B27">
        <f>TTEST(D12:D20,D2:D11,2,2)</f>
        <v>0.40803031303013426</v>
      </c>
      <c r="E27" t="s">
        <v>18</v>
      </c>
      <c r="F27">
        <f>TTEST(D2:D10,D11:D20,2,2)</f>
        <v>0.77830307292138456</v>
      </c>
      <c r="I27">
        <v>103.197063</v>
      </c>
      <c r="J27">
        <v>5.3829280999999991</v>
      </c>
      <c r="K27">
        <v>3.758</v>
      </c>
      <c r="L27">
        <v>69.813304769944835</v>
      </c>
      <c r="Z27">
        <v>4</v>
      </c>
      <c r="AA27">
        <v>71.8401185281773</v>
      </c>
      <c r="AL27">
        <f>STDEV(AG2:AG12)/SQRT(COUNT(AG2:AG12))</f>
        <v>0.35538983595225548</v>
      </c>
      <c r="AM27">
        <f>STDEV(AG13:AG20)/SQRT(COUNT(AG13:AG20))</f>
        <v>0.52964748406067852</v>
      </c>
    </row>
    <row r="28" spans="1:39" x14ac:dyDescent="0.25">
      <c r="I28">
        <v>416.83200199999999</v>
      </c>
      <c r="J28">
        <v>5.8616273000000021</v>
      </c>
      <c r="K28">
        <v>4.2110000000000003</v>
      </c>
      <c r="L28">
        <v>71.8401185281773</v>
      </c>
      <c r="Z28">
        <v>5</v>
      </c>
      <c r="AA28">
        <v>72.202660387180742</v>
      </c>
      <c r="AL28">
        <f>TTEST(AG2:AG12,AG13:AG20,2,2)</f>
        <v>2.0040834168549623E-2</v>
      </c>
    </row>
    <row r="29" spans="1:39" x14ac:dyDescent="0.25">
      <c r="I29">
        <v>95.271828999999997</v>
      </c>
      <c r="J29">
        <v>5.8571249000000005</v>
      </c>
      <c r="K29">
        <v>4.2290000000000001</v>
      </c>
      <c r="L29">
        <v>72.202660387180742</v>
      </c>
      <c r="Z29">
        <v>6</v>
      </c>
      <c r="AA29">
        <v>72.655480352609857</v>
      </c>
    </row>
    <row r="30" spans="1:39" x14ac:dyDescent="0.25">
      <c r="I30">
        <v>52.808954</v>
      </c>
      <c r="J30">
        <v>8.3145827000000025</v>
      </c>
      <c r="K30">
        <v>6.0410000000000004</v>
      </c>
      <c r="L30">
        <v>72.655480352609857</v>
      </c>
      <c r="Z30">
        <v>7</v>
      </c>
      <c r="AA30">
        <v>73.3533103147887</v>
      </c>
    </row>
    <row r="31" spans="1:39" x14ac:dyDescent="0.25">
      <c r="I31">
        <v>395.18674800000002</v>
      </c>
      <c r="J31">
        <v>5.9697374000000014</v>
      </c>
      <c r="K31">
        <v>4.3789999999999996</v>
      </c>
      <c r="L31">
        <v>73.3533103147887</v>
      </c>
      <c r="Z31">
        <v>8</v>
      </c>
      <c r="AA31">
        <v>73.826858933483237</v>
      </c>
    </row>
    <row r="32" spans="1:39" x14ac:dyDescent="0.25">
      <c r="I32">
        <v>320.75600500000002</v>
      </c>
      <c r="J32">
        <v>6.7847936000000022</v>
      </c>
      <c r="K32">
        <v>5.0090000000000003</v>
      </c>
      <c r="L32">
        <v>73.826858933483237</v>
      </c>
      <c r="Z32">
        <v>9</v>
      </c>
      <c r="AA32">
        <v>75.241524406960153</v>
      </c>
    </row>
    <row r="33" spans="9:28" x14ac:dyDescent="0.25">
      <c r="I33">
        <v>249.594605</v>
      </c>
      <c r="J33">
        <v>7.8972350000000002</v>
      </c>
      <c r="K33">
        <v>5.9420000000000002</v>
      </c>
      <c r="L33">
        <v>75.241524406960153</v>
      </c>
      <c r="Z33">
        <v>10</v>
      </c>
      <c r="AA33">
        <v>75.789557551490148</v>
      </c>
    </row>
    <row r="34" spans="9:28" x14ac:dyDescent="0.25">
      <c r="I34">
        <v>88.779865999999998</v>
      </c>
      <c r="J34">
        <v>7.8520052000000007</v>
      </c>
      <c r="K34">
        <v>5.9509999999999996</v>
      </c>
      <c r="L34">
        <v>75.789557551490148</v>
      </c>
      <c r="Z34">
        <v>11</v>
      </c>
      <c r="AA34">
        <v>77.384126672863573</v>
      </c>
    </row>
    <row r="35" spans="9:28" x14ac:dyDescent="0.25">
      <c r="I35">
        <v>401.615342</v>
      </c>
      <c r="J35">
        <v>6.8864252000000015</v>
      </c>
      <c r="K35">
        <v>5.3289999999999997</v>
      </c>
      <c r="L35">
        <v>77.384126672863573</v>
      </c>
      <c r="Z35">
        <v>12</v>
      </c>
      <c r="AA35">
        <v>78.817586361261021</v>
      </c>
    </row>
    <row r="36" spans="9:28" x14ac:dyDescent="0.25">
      <c r="I36">
        <v>86.850481000000002</v>
      </c>
      <c r="J36">
        <v>5.3389099999999985</v>
      </c>
      <c r="K36">
        <v>4.2080000000000002</v>
      </c>
      <c r="L36">
        <v>78.817586361261021</v>
      </c>
      <c r="Z36">
        <v>13</v>
      </c>
      <c r="AB36">
        <v>79.766054919207534</v>
      </c>
    </row>
    <row r="37" spans="9:28" x14ac:dyDescent="0.25">
      <c r="I37">
        <v>225.07880599999999</v>
      </c>
      <c r="J37">
        <v>8.0723561000000004</v>
      </c>
      <c r="K37">
        <v>6.4390000000000001</v>
      </c>
      <c r="L37">
        <v>79.766054919207534</v>
      </c>
      <c r="Z37">
        <v>14</v>
      </c>
      <c r="AB37">
        <v>82.385891554950973</v>
      </c>
    </row>
    <row r="38" spans="9:28" x14ac:dyDescent="0.25">
      <c r="I38">
        <v>332.458259</v>
      </c>
      <c r="J38">
        <v>4.1402720000000004</v>
      </c>
      <c r="K38">
        <v>3.411</v>
      </c>
      <c r="L38">
        <v>82.385891554950973</v>
      </c>
      <c r="Z38">
        <v>15</v>
      </c>
      <c r="AB38">
        <v>82.525032843532287</v>
      </c>
    </row>
    <row r="39" spans="9:28" x14ac:dyDescent="0.25">
      <c r="I39">
        <v>123.268288</v>
      </c>
      <c r="J39">
        <v>5.6613125000000011</v>
      </c>
      <c r="K39">
        <v>4.6719999999999997</v>
      </c>
      <c r="L39">
        <v>82.525032843532287</v>
      </c>
      <c r="Z39">
        <v>16</v>
      </c>
      <c r="AB39">
        <v>86.05930293817913</v>
      </c>
    </row>
    <row r="40" spans="9:28" x14ac:dyDescent="0.25">
      <c r="I40">
        <v>117.35874</v>
      </c>
      <c r="J40">
        <v>4.2087256999999996</v>
      </c>
      <c r="K40">
        <v>3.6219999999999999</v>
      </c>
      <c r="L40">
        <v>86.05930293817913</v>
      </c>
      <c r="Z40">
        <v>17</v>
      </c>
      <c r="AB40">
        <v>86.938708078638697</v>
      </c>
    </row>
    <row r="41" spans="9:28" x14ac:dyDescent="0.25">
      <c r="I41">
        <v>152.94149300000001</v>
      </c>
      <c r="J41">
        <v>3.7831250000000001</v>
      </c>
      <c r="K41">
        <v>3.2890000000000001</v>
      </c>
      <c r="L41">
        <v>86.938708078638697</v>
      </c>
      <c r="Z41">
        <v>18</v>
      </c>
      <c r="AB41">
        <v>92.486233258305006</v>
      </c>
    </row>
    <row r="42" spans="9:28" x14ac:dyDescent="0.25">
      <c r="I42">
        <v>564.62259100000006</v>
      </c>
      <c r="J42">
        <v>4.4612045000000009</v>
      </c>
      <c r="K42" s="4">
        <v>4.1260000000000003</v>
      </c>
      <c r="L42">
        <v>92.486233258305006</v>
      </c>
      <c r="Z42">
        <v>19</v>
      </c>
      <c r="AB42">
        <v>94.320577931465152</v>
      </c>
    </row>
    <row r="43" spans="9:28" x14ac:dyDescent="0.25">
      <c r="I43">
        <v>373.77048300000001</v>
      </c>
      <c r="J43">
        <v>3.3704204000000004</v>
      </c>
      <c r="K43">
        <v>3.1789999999999998</v>
      </c>
      <c r="L43">
        <v>94.320577931465152</v>
      </c>
    </row>
  </sheetData>
  <sortState ref="AB36:AB42">
    <sortCondition ref="AB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V24" sqref="V24"/>
    </sheetView>
  </sheetViews>
  <sheetFormatPr defaultRowHeight="15" x14ac:dyDescent="0.25"/>
  <cols>
    <col min="5" max="5" width="12.7109375" customWidth="1"/>
    <col min="11" max="11" width="12.42578125" customWidth="1"/>
  </cols>
  <sheetData>
    <row r="1" spans="1:2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22" x14ac:dyDescent="0.25">
      <c r="B2">
        <v>2971</v>
      </c>
      <c r="C2" s="1">
        <v>13.535104</v>
      </c>
      <c r="D2">
        <v>144.87388200000001</v>
      </c>
      <c r="E2">
        <v>443.82959399999999</v>
      </c>
      <c r="F2" t="s">
        <v>4</v>
      </c>
      <c r="G2" s="3">
        <v>22.36</v>
      </c>
      <c r="H2" s="3">
        <v>17.55</v>
      </c>
      <c r="I2" s="4">
        <v>3.0870000000000002</v>
      </c>
      <c r="K2">
        <f>G2*H2</f>
        <v>392.41800000000001</v>
      </c>
      <c r="L2">
        <f>(0.021*K2)-3.58</f>
        <v>4.6607780000000005</v>
      </c>
      <c r="M2" s="9">
        <f>I2/L2*100</f>
        <v>66.233577312628924</v>
      </c>
      <c r="N2" s="8" t="s">
        <v>22</v>
      </c>
    </row>
    <row r="3" spans="1:22" x14ac:dyDescent="0.25">
      <c r="B3">
        <v>2975</v>
      </c>
      <c r="C3">
        <v>13.473145000000001</v>
      </c>
      <c r="D3">
        <v>144.70826400000001</v>
      </c>
      <c r="E3">
        <v>91.578165999999996</v>
      </c>
      <c r="F3" t="s">
        <v>4</v>
      </c>
      <c r="G3" s="3">
        <v>23.82</v>
      </c>
      <c r="H3" s="3">
        <v>18.39</v>
      </c>
      <c r="I3" s="4">
        <v>3.91</v>
      </c>
      <c r="K3">
        <f>G3*H3</f>
        <v>438.0498</v>
      </c>
      <c r="L3">
        <f>(0.021*K3)-3.58</f>
        <v>5.6190458000000003</v>
      </c>
      <c r="M3" s="9">
        <f>I3/L3*100</f>
        <v>69.584768289306339</v>
      </c>
      <c r="N3" s="8" t="s">
        <v>22</v>
      </c>
    </row>
    <row r="4" spans="1:22" x14ac:dyDescent="0.25">
      <c r="B4">
        <v>2987</v>
      </c>
      <c r="C4">
        <v>13.474722999999999</v>
      </c>
      <c r="D4">
        <v>144.70890600000001</v>
      </c>
      <c r="E4">
        <v>103.197063</v>
      </c>
      <c r="F4" t="s">
        <v>13</v>
      </c>
      <c r="G4" s="3">
        <v>23.31</v>
      </c>
      <c r="H4" s="3">
        <v>18.309999999999999</v>
      </c>
      <c r="I4" s="4">
        <v>3.758</v>
      </c>
      <c r="K4">
        <f>G4*H4</f>
        <v>426.80609999999996</v>
      </c>
      <c r="L4">
        <f>(0.021*K4)-3.58</f>
        <v>5.3829280999999991</v>
      </c>
      <c r="M4">
        <f>I4/L4*100</f>
        <v>69.813304769944835</v>
      </c>
      <c r="N4" s="8" t="s">
        <v>27</v>
      </c>
    </row>
    <row r="5" spans="1:22" x14ac:dyDescent="0.25">
      <c r="B5">
        <v>2964</v>
      </c>
      <c r="C5">
        <v>13.471209999999999</v>
      </c>
      <c r="D5">
        <v>144.70635999999999</v>
      </c>
      <c r="E5">
        <v>416.83200199999999</v>
      </c>
      <c r="F5" t="s">
        <v>13</v>
      </c>
      <c r="G5" s="3">
        <v>24.03</v>
      </c>
      <c r="H5" s="3">
        <v>18.71</v>
      </c>
      <c r="I5" s="4">
        <v>4.2110000000000003</v>
      </c>
      <c r="K5">
        <f>G5*H5</f>
        <v>449.60130000000004</v>
      </c>
      <c r="L5">
        <f>(0.021*K5)-3.58</f>
        <v>5.8616273000000021</v>
      </c>
      <c r="M5" s="9">
        <f>I5/L5*100</f>
        <v>71.8401185281773</v>
      </c>
      <c r="N5" s="8" t="s">
        <v>23</v>
      </c>
    </row>
    <row r="6" spans="1:22" x14ac:dyDescent="0.25">
      <c r="B6">
        <v>2952</v>
      </c>
      <c r="C6" s="1">
        <v>13.530583</v>
      </c>
      <c r="D6" s="1">
        <v>144.8724</v>
      </c>
      <c r="E6">
        <v>95.271828999999997</v>
      </c>
      <c r="F6" t="s">
        <v>13</v>
      </c>
      <c r="G6" s="3">
        <v>24.07</v>
      </c>
      <c r="H6" s="3">
        <v>18.670000000000002</v>
      </c>
      <c r="I6" s="4">
        <v>4.2290000000000001</v>
      </c>
      <c r="K6">
        <f>G6*H6</f>
        <v>449.38690000000003</v>
      </c>
      <c r="L6">
        <f>(0.021*K6)-3.58</f>
        <v>5.8571249000000005</v>
      </c>
      <c r="M6" s="9">
        <f>I6/L6*100</f>
        <v>72.202660387180742</v>
      </c>
      <c r="N6" s="8" t="s">
        <v>23</v>
      </c>
    </row>
    <row r="7" spans="1:22" x14ac:dyDescent="0.25">
      <c r="B7">
        <v>2962</v>
      </c>
      <c r="C7">
        <v>13.473946</v>
      </c>
      <c r="D7">
        <v>144.708144</v>
      </c>
      <c r="E7">
        <v>52.808954</v>
      </c>
      <c r="F7" t="s">
        <v>4</v>
      </c>
      <c r="G7" s="3">
        <v>26.73</v>
      </c>
      <c r="H7" s="3">
        <v>21.19</v>
      </c>
      <c r="I7" s="4">
        <v>6.0410000000000004</v>
      </c>
      <c r="K7">
        <f>G7*H7</f>
        <v>566.40870000000007</v>
      </c>
      <c r="L7">
        <f>(0.021*K7)-3.58</f>
        <v>8.3145827000000025</v>
      </c>
      <c r="M7" s="9">
        <f>I7/L7*100</f>
        <v>72.655480352609857</v>
      </c>
      <c r="N7" s="8" t="s">
        <v>22</v>
      </c>
    </row>
    <row r="8" spans="1:22" x14ac:dyDescent="0.25">
      <c r="B8">
        <v>2966</v>
      </c>
      <c r="C8" s="1">
        <v>13.528740000000001</v>
      </c>
      <c r="D8" s="1">
        <v>144.87071800000001</v>
      </c>
      <c r="E8">
        <v>395.18674800000002</v>
      </c>
      <c r="F8" t="s">
        <v>13</v>
      </c>
      <c r="G8" s="3">
        <v>24.01</v>
      </c>
      <c r="H8" s="3">
        <v>18.940000000000001</v>
      </c>
      <c r="I8" s="4">
        <v>4.3789999999999996</v>
      </c>
      <c r="K8">
        <f>G8*H8</f>
        <v>454.74940000000004</v>
      </c>
      <c r="L8">
        <f>(0.021*K8)-3.58</f>
        <v>5.9697374000000014</v>
      </c>
      <c r="M8" s="9">
        <f>I8/L8*100</f>
        <v>73.3533103147887</v>
      </c>
      <c r="N8" s="8" t="s">
        <v>22</v>
      </c>
      <c r="R8" t="s">
        <v>11</v>
      </c>
      <c r="S8" t="s">
        <v>12</v>
      </c>
      <c r="T8" s="7" t="s">
        <v>8</v>
      </c>
      <c r="U8" t="s">
        <v>15</v>
      </c>
      <c r="V8" t="s">
        <v>14</v>
      </c>
    </row>
    <row r="9" spans="1:22" x14ac:dyDescent="0.25">
      <c r="B9">
        <v>2958</v>
      </c>
      <c r="C9" s="1">
        <v>13.530545999999999</v>
      </c>
      <c r="D9" s="1">
        <v>144.870442</v>
      </c>
      <c r="E9">
        <v>320.75600500000002</v>
      </c>
      <c r="F9" t="s">
        <v>13</v>
      </c>
      <c r="G9" s="3">
        <v>25.76</v>
      </c>
      <c r="H9" s="3">
        <v>19.16</v>
      </c>
      <c r="I9" s="4">
        <v>5.0090000000000003</v>
      </c>
      <c r="K9">
        <f>G9*H9</f>
        <v>493.56160000000006</v>
      </c>
      <c r="L9">
        <f>(0.021*K9)-3.58</f>
        <v>6.7847936000000022</v>
      </c>
      <c r="M9" s="9">
        <f>I9/L9*100</f>
        <v>73.826858933483237</v>
      </c>
      <c r="N9" s="8" t="s">
        <v>22</v>
      </c>
      <c r="Q9" t="str">
        <f>A1</f>
        <v>Found</v>
      </c>
      <c r="R9">
        <f>AVERAGE(L2:L20)</f>
        <v>5.7959268105263151</v>
      </c>
      <c r="S9">
        <f>AVERAGE(M2:M20)</f>
        <v>77.959193442367038</v>
      </c>
      <c r="T9" s="4">
        <f>AVERAGE(I2:I20)</f>
        <v>4.4627368421052633</v>
      </c>
      <c r="U9">
        <v>10</v>
      </c>
      <c r="V9">
        <v>9</v>
      </c>
    </row>
    <row r="10" spans="1:22" x14ac:dyDescent="0.25">
      <c r="B10">
        <v>2949</v>
      </c>
      <c r="C10" s="1">
        <v>13.53323</v>
      </c>
      <c r="D10" s="1">
        <v>144.87376</v>
      </c>
      <c r="E10">
        <v>249.594605</v>
      </c>
      <c r="F10" t="s">
        <v>4</v>
      </c>
      <c r="G10" s="3">
        <v>26.15</v>
      </c>
      <c r="H10" s="3">
        <v>20.9</v>
      </c>
      <c r="I10" s="4">
        <v>5.9420000000000002</v>
      </c>
      <c r="K10">
        <f>G10*H10</f>
        <v>546.53499999999997</v>
      </c>
      <c r="L10">
        <f>(0.021*K10)-3.58</f>
        <v>7.8972350000000002</v>
      </c>
      <c r="M10" s="9">
        <f>I10/L10*100</f>
        <v>75.241524406960153</v>
      </c>
      <c r="N10" s="8" t="s">
        <v>22</v>
      </c>
      <c r="Q10" t="str">
        <f>A22</f>
        <v>Lost</v>
      </c>
      <c r="R10">
        <f>AVERAGE(S23:S37)</f>
        <v>5.9016825600000002</v>
      </c>
      <c r="S10">
        <f>AVERAGE(T23:T37)</f>
        <v>71.64687004673759</v>
      </c>
      <c r="T10" s="4">
        <f>AVERAGE(P23:P37)</f>
        <v>4.2336666666666671</v>
      </c>
      <c r="U10">
        <v>7</v>
      </c>
      <c r="V10">
        <v>8</v>
      </c>
    </row>
    <row r="11" spans="1:22" x14ac:dyDescent="0.25">
      <c r="B11">
        <v>2980</v>
      </c>
      <c r="C11">
        <v>13.47315</v>
      </c>
      <c r="D11">
        <v>144.70831000000001</v>
      </c>
      <c r="E11">
        <v>88.779865999999998</v>
      </c>
      <c r="F11" t="s">
        <v>4</v>
      </c>
      <c r="G11" s="3">
        <v>25.96</v>
      </c>
      <c r="H11" s="3">
        <v>20.97</v>
      </c>
      <c r="I11" s="4">
        <v>5.9509999999999996</v>
      </c>
      <c r="K11">
        <f>G11*H11</f>
        <v>544.38120000000004</v>
      </c>
      <c r="L11">
        <f>(0.021*K11)-3.58</f>
        <v>7.8520052000000007</v>
      </c>
      <c r="M11" s="9">
        <f>I11/L11*100</f>
        <v>75.789557551490148</v>
      </c>
      <c r="N11" s="8" t="s">
        <v>22</v>
      </c>
      <c r="R11">
        <f>STDEV(L2:L20)/SQRT(COUNT(L2:L20))</f>
        <v>0.3465273326696176</v>
      </c>
      <c r="S11">
        <f t="shared" ref="S11" si="0">STDEV(M2:M20)/SQRT(COUNT(M2:M20))</f>
        <v>1.7875611205512982</v>
      </c>
      <c r="T11">
        <f>STDEV(I2:I20)/SQRT(COUNT(I2:I20))</f>
        <v>0.24018166664999158</v>
      </c>
    </row>
    <row r="12" spans="1:22" x14ac:dyDescent="0.25">
      <c r="B12">
        <v>2989</v>
      </c>
      <c r="C12" s="1">
        <v>13.473706999999999</v>
      </c>
      <c r="D12">
        <v>144.711533</v>
      </c>
      <c r="E12">
        <v>401.615342</v>
      </c>
      <c r="F12" t="s">
        <v>4</v>
      </c>
      <c r="G12" s="3">
        <v>24.97</v>
      </c>
      <c r="H12" s="3">
        <v>19.96</v>
      </c>
      <c r="I12" s="4">
        <v>5.3289999999999997</v>
      </c>
      <c r="K12">
        <f>G12*H12</f>
        <v>498.40120000000002</v>
      </c>
      <c r="L12">
        <f>(0.021*K12)-3.58</f>
        <v>6.8864252000000015</v>
      </c>
      <c r="M12">
        <f>I12/L12*100</f>
        <v>77.384126672863573</v>
      </c>
      <c r="N12" s="8" t="s">
        <v>22</v>
      </c>
      <c r="R12">
        <f>STDEV(S23:S37)/SQRT(COUNT(S23:S37))</f>
        <v>0.28844948356052913</v>
      </c>
      <c r="S12">
        <f>STDEV(T23:T37)/SQRT(COUNT(T23:T37))</f>
        <v>1.8707930984730217</v>
      </c>
      <c r="T12">
        <f>STDEV(P23:P37)/SQRT(COUNT(P23:P37))</f>
        <v>0.23906441982318585</v>
      </c>
    </row>
    <row r="13" spans="1:22" x14ac:dyDescent="0.25">
      <c r="B13">
        <v>2967</v>
      </c>
      <c r="C13" s="1">
        <v>13.47316</v>
      </c>
      <c r="D13">
        <v>144.70832999999999</v>
      </c>
      <c r="E13">
        <v>86.850481000000002</v>
      </c>
      <c r="F13" t="s">
        <v>13</v>
      </c>
      <c r="G13" s="3">
        <v>23.4</v>
      </c>
      <c r="H13" s="3">
        <v>18.149999999999999</v>
      </c>
      <c r="I13" s="4">
        <v>4.2080000000000002</v>
      </c>
      <c r="K13">
        <f>G13*H13</f>
        <v>424.70999999999992</v>
      </c>
      <c r="L13">
        <f>(0.021*K13)-3.58</f>
        <v>5.3389099999999985</v>
      </c>
      <c r="M13" s="9">
        <f>I13/L13*100</f>
        <v>78.817586361261021</v>
      </c>
      <c r="N13" s="8" t="s">
        <v>22</v>
      </c>
    </row>
    <row r="14" spans="1:22" x14ac:dyDescent="0.25">
      <c r="B14">
        <v>2988</v>
      </c>
      <c r="C14">
        <v>13.475751000000001</v>
      </c>
      <c r="D14">
        <v>144.707832</v>
      </c>
      <c r="E14">
        <v>225.07880599999999</v>
      </c>
      <c r="F14" t="s">
        <v>13</v>
      </c>
      <c r="G14" s="3">
        <v>26.41</v>
      </c>
      <c r="H14" s="3">
        <v>21.01</v>
      </c>
      <c r="I14" s="4">
        <v>6.4390000000000001</v>
      </c>
      <c r="K14">
        <f>G14*H14</f>
        <v>554.8741</v>
      </c>
      <c r="L14">
        <f>(0.021*K14)-3.58</f>
        <v>8.0723561000000004</v>
      </c>
      <c r="M14">
        <f>I14/L14*100</f>
        <v>79.766054919207534</v>
      </c>
      <c r="N14" s="8" t="s">
        <v>26</v>
      </c>
      <c r="Q14" t="s">
        <v>71</v>
      </c>
      <c r="R14">
        <f>TTEST(L2:L20,S23:S37,2,2)</f>
        <v>0.82234734765314987</v>
      </c>
      <c r="S14">
        <f>TTEST(M2:M20,T23:T37,2,2)</f>
        <v>2.1467590150530975E-2</v>
      </c>
      <c r="T14">
        <f>TTEST(I2:I20,P23:P37,2,2)</f>
        <v>0.51017342763099061</v>
      </c>
    </row>
    <row r="15" spans="1:22" x14ac:dyDescent="0.25">
      <c r="B15">
        <v>2970</v>
      </c>
      <c r="C15" s="1">
        <v>13.532249999999999</v>
      </c>
      <c r="D15" s="1">
        <v>144.870383</v>
      </c>
      <c r="E15">
        <v>332.458259</v>
      </c>
      <c r="F15" t="s">
        <v>4</v>
      </c>
      <c r="G15" s="3">
        <v>21.6</v>
      </c>
      <c r="H15" s="3">
        <v>17.02</v>
      </c>
      <c r="I15" s="4">
        <v>3.411</v>
      </c>
      <c r="K15">
        <f>G15*H15</f>
        <v>367.63200000000001</v>
      </c>
      <c r="L15">
        <f>(0.021*K15)-3.58</f>
        <v>4.1402720000000004</v>
      </c>
      <c r="M15" s="9">
        <f>I15/L15*100</f>
        <v>82.385891554950973</v>
      </c>
      <c r="N15" s="8" t="s">
        <v>24</v>
      </c>
    </row>
    <row r="16" spans="1:22" x14ac:dyDescent="0.25">
      <c r="B16">
        <v>2982</v>
      </c>
      <c r="C16" s="1">
        <v>13.532033</v>
      </c>
      <c r="D16" s="1">
        <v>144.87346700000001</v>
      </c>
      <c r="E16">
        <v>123.268288</v>
      </c>
      <c r="F16" t="s">
        <v>4</v>
      </c>
      <c r="G16" s="3">
        <v>23.47</v>
      </c>
      <c r="H16" s="3">
        <v>18.75</v>
      </c>
      <c r="I16" s="4">
        <v>4.6719999999999997</v>
      </c>
      <c r="K16">
        <f>G16*H16</f>
        <v>440.0625</v>
      </c>
      <c r="L16">
        <f>(0.021*K16)-3.58</f>
        <v>5.6613125000000011</v>
      </c>
      <c r="M16">
        <f>I16/L16*100</f>
        <v>82.525032843532287</v>
      </c>
      <c r="N16" s="8" t="s">
        <v>26</v>
      </c>
    </row>
    <row r="17" spans="1:20" x14ac:dyDescent="0.25">
      <c r="B17">
        <v>2977</v>
      </c>
      <c r="C17">
        <v>13.474933</v>
      </c>
      <c r="D17">
        <v>144.70875000000001</v>
      </c>
      <c r="E17">
        <v>117.35874</v>
      </c>
      <c r="F17" t="s">
        <v>13</v>
      </c>
      <c r="G17" s="3">
        <v>21.83</v>
      </c>
      <c r="H17" s="3">
        <v>16.989999999999998</v>
      </c>
      <c r="I17" s="4">
        <v>3.6219999999999999</v>
      </c>
      <c r="K17">
        <f>G17*H17</f>
        <v>370.89169999999996</v>
      </c>
      <c r="L17">
        <f>(0.021*K17)-3.58</f>
        <v>4.2087256999999996</v>
      </c>
      <c r="M17" s="9">
        <f>I17/L17*100</f>
        <v>86.05930293817913</v>
      </c>
      <c r="N17" s="8" t="s">
        <v>25</v>
      </c>
    </row>
    <row r="18" spans="1:20" x14ac:dyDescent="0.25">
      <c r="B18">
        <v>2973</v>
      </c>
      <c r="C18" s="1">
        <v>13.53144</v>
      </c>
      <c r="D18" s="1">
        <v>144.87161</v>
      </c>
      <c r="E18">
        <v>152.94149300000001</v>
      </c>
      <c r="F18" t="s">
        <v>4</v>
      </c>
      <c r="G18" s="3">
        <v>21.25</v>
      </c>
      <c r="H18" s="3">
        <v>16.5</v>
      </c>
      <c r="I18" s="4">
        <v>3.2890000000000001</v>
      </c>
      <c r="K18">
        <f>G18*H18</f>
        <v>350.625</v>
      </c>
      <c r="L18">
        <f>(0.021*K18)-3.58</f>
        <v>3.7831250000000001</v>
      </c>
      <c r="M18" s="9">
        <f>I18/L18*100</f>
        <v>86.938708078638697</v>
      </c>
      <c r="N18" s="8" t="s">
        <v>24</v>
      </c>
    </row>
    <row r="19" spans="1:20" x14ac:dyDescent="0.25">
      <c r="B19">
        <v>2983</v>
      </c>
      <c r="C19">
        <v>13.473649999999999</v>
      </c>
      <c r="D19">
        <v>144.71275</v>
      </c>
      <c r="E19">
        <v>564.62259100000006</v>
      </c>
      <c r="F19" t="s">
        <v>13</v>
      </c>
      <c r="G19" s="3">
        <v>22.07</v>
      </c>
      <c r="H19" s="3">
        <v>17.350000000000001</v>
      </c>
      <c r="I19" s="4">
        <v>4.1260000000000003</v>
      </c>
      <c r="K19">
        <f>G19*H19</f>
        <v>382.91450000000003</v>
      </c>
      <c r="L19">
        <f>(0.021*K19)-3.58</f>
        <v>4.4612045000000009</v>
      </c>
      <c r="M19">
        <f>I19/L19*100</f>
        <v>92.486233258305006</v>
      </c>
      <c r="N19" s="8" t="s">
        <v>27</v>
      </c>
    </row>
    <row r="20" spans="1:20" x14ac:dyDescent="0.25">
      <c r="B20">
        <v>2963</v>
      </c>
      <c r="C20" s="1">
        <v>13.529310000000001</v>
      </c>
      <c r="D20" s="1">
        <v>144.87051199999999</v>
      </c>
      <c r="E20">
        <v>373.77048300000001</v>
      </c>
      <c r="F20" t="s">
        <v>4</v>
      </c>
      <c r="G20" s="3">
        <v>20.329999999999998</v>
      </c>
      <c r="H20" s="3">
        <v>16.28</v>
      </c>
      <c r="I20" s="4">
        <v>3.1789999999999998</v>
      </c>
      <c r="K20">
        <f>G20*H20</f>
        <v>330.97239999999999</v>
      </c>
      <c r="L20">
        <f>(0.021*K20)-3.58</f>
        <v>3.3704204000000004</v>
      </c>
      <c r="M20" s="9">
        <f>I20/L20*100</f>
        <v>94.320577931465152</v>
      </c>
      <c r="N20" s="8" t="s">
        <v>24</v>
      </c>
    </row>
    <row r="22" spans="1:20" x14ac:dyDescent="0.25">
      <c r="A22" t="s">
        <v>37</v>
      </c>
      <c r="B22" s="10" t="s">
        <v>38</v>
      </c>
      <c r="C22" s="11" t="s">
        <v>39</v>
      </c>
      <c r="D22" s="11" t="s">
        <v>40</v>
      </c>
      <c r="E22" s="11" t="s">
        <v>41</v>
      </c>
      <c r="F22" s="11" t="s">
        <v>42</v>
      </c>
      <c r="G22" s="11" t="s">
        <v>43</v>
      </c>
      <c r="H22" s="11" t="s">
        <v>44</v>
      </c>
      <c r="I22" s="11" t="s">
        <v>45</v>
      </c>
      <c r="J22" s="10" t="s">
        <v>46</v>
      </c>
      <c r="K22" s="12" t="s">
        <v>47</v>
      </c>
      <c r="L22" s="5" t="s">
        <v>38</v>
      </c>
      <c r="M22" s="5" t="s">
        <v>5</v>
      </c>
      <c r="N22" s="6" t="s">
        <v>6</v>
      </c>
      <c r="O22" s="6" t="s">
        <v>7</v>
      </c>
      <c r="P22" s="7" t="s">
        <v>8</v>
      </c>
      <c r="Q22" s="7" t="s">
        <v>9</v>
      </c>
      <c r="R22" t="s">
        <v>10</v>
      </c>
      <c r="S22" t="s">
        <v>11</v>
      </c>
      <c r="T22" t="s">
        <v>12</v>
      </c>
    </row>
    <row r="23" spans="1:20" x14ac:dyDescent="0.25">
      <c r="B23" s="13">
        <v>2944</v>
      </c>
      <c r="C23" s="13">
        <v>164.38200000000001</v>
      </c>
      <c r="D23" s="13"/>
      <c r="E23" s="13"/>
      <c r="F23" s="13"/>
      <c r="G23" s="13"/>
      <c r="H23" s="13"/>
      <c r="I23" s="13" t="s">
        <v>52</v>
      </c>
      <c r="J23" s="13" t="s">
        <v>20</v>
      </c>
      <c r="K23" s="15">
        <v>42221</v>
      </c>
      <c r="L23">
        <v>2944</v>
      </c>
      <c r="M23" t="s">
        <v>4</v>
      </c>
      <c r="N23" s="3">
        <v>22.93</v>
      </c>
      <c r="O23" s="3">
        <v>17.73</v>
      </c>
      <c r="P23" s="4">
        <v>2.8809999999999998</v>
      </c>
      <c r="R23">
        <f>N23*O23</f>
        <v>406.5489</v>
      </c>
      <c r="S23">
        <f>(0.021*R23)-3.58</f>
        <v>4.9575269000000013</v>
      </c>
      <c r="T23">
        <f>P23/S23*100</f>
        <v>58.113653402465637</v>
      </c>
    </row>
    <row r="24" spans="1:20" x14ac:dyDescent="0.25">
      <c r="B24" s="13">
        <v>2929</v>
      </c>
      <c r="C24" s="13">
        <v>148.75200000000001</v>
      </c>
      <c r="D24" s="13"/>
      <c r="E24" s="14">
        <v>42226</v>
      </c>
      <c r="F24" s="13"/>
      <c r="G24" s="13"/>
      <c r="H24" s="13"/>
      <c r="I24" s="13" t="s">
        <v>48</v>
      </c>
      <c r="J24" s="13"/>
      <c r="K24" s="15">
        <v>42221</v>
      </c>
      <c r="L24">
        <v>2929</v>
      </c>
      <c r="M24" t="s">
        <v>13</v>
      </c>
      <c r="N24" s="3">
        <v>25.41</v>
      </c>
      <c r="O24" s="3">
        <v>20.29</v>
      </c>
      <c r="P24" s="4">
        <v>4.22</v>
      </c>
      <c r="R24">
        <f>N24*O24</f>
        <v>515.56889999999999</v>
      </c>
      <c r="S24">
        <f>(0.021*R24)-3.58</f>
        <v>7.2469469000000011</v>
      </c>
      <c r="T24">
        <f>P24/S24*100</f>
        <v>58.231418806173387</v>
      </c>
    </row>
    <row r="25" spans="1:20" x14ac:dyDescent="0.25">
      <c r="B25" s="13">
        <v>2972</v>
      </c>
      <c r="C25" s="13">
        <v>164.13200000000001</v>
      </c>
      <c r="D25" s="13" t="s">
        <v>58</v>
      </c>
      <c r="E25" s="14">
        <v>42228</v>
      </c>
      <c r="F25" s="18">
        <v>0.46319444444444446</v>
      </c>
      <c r="G25" s="13" t="s">
        <v>59</v>
      </c>
      <c r="H25" s="13"/>
      <c r="I25" s="13" t="s">
        <v>60</v>
      </c>
      <c r="J25" s="13" t="s">
        <v>51</v>
      </c>
      <c r="K25" s="15">
        <v>42226</v>
      </c>
      <c r="L25">
        <v>2972</v>
      </c>
      <c r="M25" t="s">
        <v>13</v>
      </c>
      <c r="N25" s="3">
        <v>25.31</v>
      </c>
      <c r="O25" s="3">
        <v>19.82</v>
      </c>
      <c r="P25" s="4">
        <v>4.4329999999999998</v>
      </c>
      <c r="R25">
        <f>N25*O25</f>
        <v>501.64419999999996</v>
      </c>
      <c r="S25">
        <f>(0.021*R25)-3.58</f>
        <v>6.9545282000000004</v>
      </c>
      <c r="T25">
        <f>P25/S25*100</f>
        <v>63.742641808541364</v>
      </c>
    </row>
    <row r="26" spans="1:20" x14ac:dyDescent="0.25">
      <c r="B26" s="13">
        <v>2965</v>
      </c>
      <c r="C26" s="13">
        <v>164.357</v>
      </c>
      <c r="D26" s="13"/>
      <c r="E26" s="14"/>
      <c r="F26" s="13"/>
      <c r="G26" s="13"/>
      <c r="H26" s="13"/>
      <c r="I26" s="13"/>
      <c r="J26" s="13"/>
      <c r="K26" s="15">
        <v>42226</v>
      </c>
      <c r="L26">
        <v>2965</v>
      </c>
      <c r="M26" t="s">
        <v>13</v>
      </c>
      <c r="N26" s="3">
        <v>22.13</v>
      </c>
      <c r="O26" s="3">
        <v>17.13</v>
      </c>
      <c r="P26" s="4">
        <v>2.9889999999999999</v>
      </c>
      <c r="R26">
        <f>N26*O26</f>
        <v>379.08689999999996</v>
      </c>
      <c r="S26">
        <f>(0.021*R26)-3.58</f>
        <v>4.3808248999999995</v>
      </c>
      <c r="T26">
        <f>P26/S26*100</f>
        <v>68.229159307417191</v>
      </c>
    </row>
    <row r="27" spans="1:20" x14ac:dyDescent="0.25">
      <c r="B27" s="13">
        <v>2976</v>
      </c>
      <c r="C27" s="13">
        <v>148.97200000000001</v>
      </c>
      <c r="D27" s="13"/>
      <c r="E27" s="14"/>
      <c r="F27" s="18"/>
      <c r="G27" s="13"/>
      <c r="H27" s="13"/>
      <c r="I27" s="13" t="s">
        <v>65</v>
      </c>
      <c r="J27" s="13" t="s">
        <v>20</v>
      </c>
      <c r="K27" s="15">
        <v>42226</v>
      </c>
      <c r="L27">
        <v>2976</v>
      </c>
      <c r="M27" t="s">
        <v>4</v>
      </c>
      <c r="N27" s="3">
        <v>23.63</v>
      </c>
      <c r="O27" s="3">
        <v>18.399999999999999</v>
      </c>
      <c r="P27" s="4">
        <v>3.8029999999999999</v>
      </c>
      <c r="R27">
        <f>N27*O27</f>
        <v>434.79199999999997</v>
      </c>
      <c r="S27">
        <f>(0.021*R27)-3.58</f>
        <v>5.5506320000000002</v>
      </c>
      <c r="T27">
        <f>P27/S27*100</f>
        <v>68.514720485883402</v>
      </c>
    </row>
    <row r="28" spans="1:20" x14ac:dyDescent="0.25">
      <c r="B28" s="13">
        <v>2968</v>
      </c>
      <c r="C28" s="13">
        <v>148.64099999999999</v>
      </c>
      <c r="D28" s="13" t="s">
        <v>54</v>
      </c>
      <c r="E28" s="14">
        <v>42227</v>
      </c>
      <c r="F28" s="18">
        <v>0.38750000000000001</v>
      </c>
      <c r="G28" s="13" t="s">
        <v>55</v>
      </c>
      <c r="H28" s="13" t="s">
        <v>56</v>
      </c>
      <c r="I28" s="13" t="s">
        <v>57</v>
      </c>
      <c r="J28" s="13"/>
      <c r="K28" s="15">
        <v>42226</v>
      </c>
      <c r="L28">
        <v>2968</v>
      </c>
      <c r="M28" t="s">
        <v>13</v>
      </c>
      <c r="N28" s="3">
        <v>21.17</v>
      </c>
      <c r="O28" s="3">
        <v>16.47</v>
      </c>
      <c r="P28" s="4">
        <v>2.641</v>
      </c>
      <c r="R28">
        <f>N28*O28</f>
        <v>348.66989999999998</v>
      </c>
      <c r="S28">
        <f>(0.021*R28)-3.58</f>
        <v>3.7420679000000003</v>
      </c>
      <c r="T28">
        <f>P28/S28*100</f>
        <v>70.575950799823801</v>
      </c>
    </row>
    <row r="29" spans="1:20" x14ac:dyDescent="0.25">
      <c r="B29" s="13">
        <v>2974</v>
      </c>
      <c r="C29" s="13">
        <v>148.96299999999999</v>
      </c>
      <c r="D29" s="13" t="s">
        <v>61</v>
      </c>
      <c r="E29" s="14">
        <v>42227</v>
      </c>
      <c r="F29" s="18">
        <v>0.81319444444444444</v>
      </c>
      <c r="G29" s="13" t="s">
        <v>62</v>
      </c>
      <c r="H29" s="13" t="s">
        <v>63</v>
      </c>
      <c r="I29" s="13" t="s">
        <v>64</v>
      </c>
      <c r="J29" s="13"/>
      <c r="K29" s="15">
        <v>42226</v>
      </c>
      <c r="L29">
        <v>2974</v>
      </c>
      <c r="M29" t="s">
        <v>4</v>
      </c>
      <c r="N29" s="3">
        <v>22.59</v>
      </c>
      <c r="O29" s="3">
        <v>17.97</v>
      </c>
      <c r="P29" s="4">
        <v>3.5619999999999998</v>
      </c>
      <c r="R29">
        <f>N29*O29</f>
        <v>405.94229999999999</v>
      </c>
      <c r="S29">
        <f>(0.021*R29)-3.58</f>
        <v>4.9447883000000008</v>
      </c>
      <c r="T29">
        <f>P29/S29*100</f>
        <v>72.035439818525688</v>
      </c>
    </row>
    <row r="30" spans="1:20" x14ac:dyDescent="0.25">
      <c r="B30" s="13">
        <v>2978</v>
      </c>
      <c r="C30" s="20">
        <v>148.82</v>
      </c>
      <c r="D30" s="13" t="s">
        <v>66</v>
      </c>
      <c r="E30" s="14">
        <v>42227</v>
      </c>
      <c r="F30" s="18">
        <v>0.87361111111111101</v>
      </c>
      <c r="G30" s="13"/>
      <c r="H30" s="13" t="s">
        <v>63</v>
      </c>
      <c r="I30" s="13" t="s">
        <v>67</v>
      </c>
      <c r="J30" s="13" t="s">
        <v>51</v>
      </c>
      <c r="K30" s="15">
        <v>42226</v>
      </c>
      <c r="L30">
        <v>2978</v>
      </c>
      <c r="M30" t="s">
        <v>4</v>
      </c>
      <c r="N30" s="3">
        <v>25.22</v>
      </c>
      <c r="O30" s="3">
        <v>20.149999999999999</v>
      </c>
      <c r="P30" s="4">
        <v>5.2130000000000001</v>
      </c>
      <c r="R30">
        <f>N30*O30</f>
        <v>508.18299999999994</v>
      </c>
      <c r="S30">
        <f>(0.021*R30)-3.58</f>
        <v>7.091842999999999</v>
      </c>
      <c r="T30">
        <f>P30/S30*100</f>
        <v>73.506985419727997</v>
      </c>
    </row>
    <row r="31" spans="1:20" x14ac:dyDescent="0.25">
      <c r="B31" s="13">
        <v>2931</v>
      </c>
      <c r="C31" s="13">
        <v>148.90199999999999</v>
      </c>
      <c r="D31" s="13"/>
      <c r="E31" s="14">
        <v>42223</v>
      </c>
      <c r="F31" s="13"/>
      <c r="G31" s="13"/>
      <c r="H31" s="13" t="s">
        <v>49</v>
      </c>
      <c r="I31" s="13" t="s">
        <v>50</v>
      </c>
      <c r="J31" s="13" t="s">
        <v>51</v>
      </c>
      <c r="K31" s="15">
        <v>42221</v>
      </c>
      <c r="L31">
        <v>2931</v>
      </c>
      <c r="M31" t="s">
        <v>4</v>
      </c>
      <c r="N31" s="3">
        <v>24.36</v>
      </c>
      <c r="O31" s="3">
        <v>18.600000000000001</v>
      </c>
      <c r="P31" s="4">
        <v>4.367</v>
      </c>
      <c r="R31">
        <f>N31*O31</f>
        <v>453.096</v>
      </c>
      <c r="S31">
        <f>(0.021*R31)-3.58</f>
        <v>5.935016000000001</v>
      </c>
      <c r="T31">
        <f>P31/S31*100</f>
        <v>73.580256565441431</v>
      </c>
    </row>
    <row r="32" spans="1:20" x14ac:dyDescent="0.25">
      <c r="B32" s="9">
        <v>2979</v>
      </c>
      <c r="C32" s="9">
        <v>164.232</v>
      </c>
      <c r="D32" s="9" t="s">
        <v>68</v>
      </c>
      <c r="E32" s="19">
        <v>42226</v>
      </c>
      <c r="F32" s="9"/>
      <c r="G32" s="9"/>
      <c r="H32" s="9"/>
      <c r="I32" s="9" t="s">
        <v>69</v>
      </c>
      <c r="J32" s="9"/>
      <c r="K32" s="15">
        <v>42226</v>
      </c>
      <c r="L32">
        <v>2979</v>
      </c>
      <c r="M32" t="s">
        <v>4</v>
      </c>
      <c r="N32" s="3">
        <v>24.31</v>
      </c>
      <c r="O32" s="3">
        <v>19.010000000000002</v>
      </c>
      <c r="P32" s="4">
        <v>4.5629999999999997</v>
      </c>
      <c r="R32">
        <f>N32*O32</f>
        <v>462.13310000000001</v>
      </c>
      <c r="S32">
        <f>(0.021*R32)-3.58</f>
        <v>6.1247951</v>
      </c>
      <c r="T32">
        <f>P32/S32*100</f>
        <v>74.500451451837137</v>
      </c>
    </row>
    <row r="33" spans="2:20" x14ac:dyDescent="0.25">
      <c r="B33" s="13">
        <v>2991</v>
      </c>
      <c r="C33" s="13">
        <v>148.69300000000001</v>
      </c>
      <c r="D33" s="13"/>
      <c r="E33" s="14"/>
      <c r="F33" s="18"/>
      <c r="G33" s="13"/>
      <c r="H33" s="13"/>
      <c r="I33" s="13" t="s">
        <v>70</v>
      </c>
      <c r="J33" s="13" t="s">
        <v>20</v>
      </c>
      <c r="K33" s="15">
        <v>42227</v>
      </c>
      <c r="L33">
        <v>2991</v>
      </c>
      <c r="M33" t="s">
        <v>4</v>
      </c>
      <c r="N33" s="3">
        <v>25.86</v>
      </c>
      <c r="O33" s="3">
        <v>20.63</v>
      </c>
      <c r="P33" s="4">
        <v>5.774</v>
      </c>
      <c r="R33">
        <f>N33*O33</f>
        <v>533.49180000000001</v>
      </c>
      <c r="S33">
        <f>(0.021*R33)-3.58</f>
        <v>7.6233278000000002</v>
      </c>
      <c r="T33">
        <f>P33/S33*100</f>
        <v>75.74120058171971</v>
      </c>
    </row>
    <row r="34" spans="2:20" x14ac:dyDescent="0.25">
      <c r="B34" s="16">
        <v>2951</v>
      </c>
      <c r="C34" s="16">
        <v>164.08199999999999</v>
      </c>
      <c r="D34" s="13"/>
      <c r="E34" s="13"/>
      <c r="F34" s="13"/>
      <c r="G34" s="13"/>
      <c r="H34" s="13"/>
      <c r="I34" s="17" t="s">
        <v>53</v>
      </c>
      <c r="J34" s="13" t="s">
        <v>51</v>
      </c>
      <c r="K34" s="15">
        <v>42221</v>
      </c>
      <c r="L34">
        <v>2951</v>
      </c>
      <c r="M34" t="s">
        <v>13</v>
      </c>
      <c r="N34" s="3">
        <v>24.9</v>
      </c>
      <c r="O34" s="3">
        <v>19.14</v>
      </c>
      <c r="P34" s="4">
        <v>5.0250000000000004</v>
      </c>
      <c r="R34">
        <f>N34*O34</f>
        <v>476.58600000000001</v>
      </c>
      <c r="S34">
        <f>(0.021*R34)-3.58</f>
        <v>6.428306000000001</v>
      </c>
      <c r="T34">
        <f>P34/S34*100</f>
        <v>78.169894214743351</v>
      </c>
    </row>
    <row r="35" spans="2:20" x14ac:dyDescent="0.25">
      <c r="B35" s="13">
        <v>2969</v>
      </c>
      <c r="C35" s="13">
        <v>164.30699999999999</v>
      </c>
      <c r="D35" s="13"/>
      <c r="E35" s="14"/>
      <c r="F35" s="13"/>
      <c r="G35" s="13"/>
      <c r="H35" s="13"/>
      <c r="I35" s="13"/>
      <c r="J35" s="13"/>
      <c r="K35" s="15">
        <v>42226</v>
      </c>
      <c r="L35">
        <v>2969</v>
      </c>
      <c r="M35" t="s">
        <v>13</v>
      </c>
      <c r="N35" s="3">
        <v>24.19</v>
      </c>
      <c r="O35" s="3">
        <v>19.100000000000001</v>
      </c>
      <c r="P35" s="4">
        <v>4.8109999999999999</v>
      </c>
      <c r="R35">
        <f>N35*O35</f>
        <v>462.02900000000005</v>
      </c>
      <c r="S35">
        <f>(0.021*R35)-3.58</f>
        <v>6.1226090000000024</v>
      </c>
      <c r="T35">
        <f>P35/S35*100</f>
        <v>78.577612909790545</v>
      </c>
    </row>
    <row r="36" spans="2:20" x14ac:dyDescent="0.25">
      <c r="B36" s="13">
        <v>2985</v>
      </c>
      <c r="C36" s="13">
        <v>148.76400000000001</v>
      </c>
      <c r="D36" s="13"/>
      <c r="E36" s="14">
        <v>42226</v>
      </c>
      <c r="F36" s="13"/>
      <c r="G36" s="13"/>
      <c r="H36" s="13" t="s">
        <v>63</v>
      </c>
      <c r="I36" s="13" t="s">
        <v>37</v>
      </c>
      <c r="J36" s="13"/>
      <c r="K36" s="15">
        <v>42226</v>
      </c>
      <c r="L36">
        <v>2985</v>
      </c>
      <c r="M36" t="s">
        <v>13</v>
      </c>
      <c r="N36" s="3">
        <v>22.8</v>
      </c>
      <c r="O36" s="3">
        <v>18.07</v>
      </c>
      <c r="P36" s="4">
        <v>4.0170000000000003</v>
      </c>
      <c r="R36">
        <f>N36*O36</f>
        <v>411.99600000000004</v>
      </c>
      <c r="S36">
        <f>(0.021*R36)-3.58</f>
        <v>5.0719160000000016</v>
      </c>
      <c r="T36">
        <f>P36/S36*100</f>
        <v>79.200838499691216</v>
      </c>
    </row>
    <row r="37" spans="2:20" x14ac:dyDescent="0.25">
      <c r="B37" s="13">
        <v>2981</v>
      </c>
      <c r="C37" s="13">
        <v>148.703</v>
      </c>
      <c r="D37" s="13"/>
      <c r="E37" s="14"/>
      <c r="F37" s="13"/>
      <c r="G37" s="13"/>
      <c r="H37" s="13"/>
      <c r="I37" s="13" t="s">
        <v>70</v>
      </c>
      <c r="J37" s="13" t="s">
        <v>20</v>
      </c>
      <c r="K37" s="15">
        <v>42226</v>
      </c>
      <c r="L37">
        <v>2981</v>
      </c>
      <c r="M37" t="s">
        <v>13</v>
      </c>
      <c r="N37" s="3">
        <v>24.94</v>
      </c>
      <c r="O37" s="3">
        <v>18.96</v>
      </c>
      <c r="P37" s="4">
        <v>5.2060000000000004</v>
      </c>
      <c r="R37">
        <f>N37*O37</f>
        <v>472.86240000000004</v>
      </c>
      <c r="S37">
        <f>(0.021*R37)-3.58</f>
        <v>6.3501104000000019</v>
      </c>
      <c r="T37">
        <f>P37/S37*100</f>
        <v>81.982826629281888</v>
      </c>
    </row>
  </sheetData>
  <sortState ref="A23:T37">
    <sortCondition ref="T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Eastern Mennonite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ms826</cp:lastModifiedBy>
  <dcterms:created xsi:type="dcterms:W3CDTF">2015-10-06T13:07:51Z</dcterms:created>
  <dcterms:modified xsi:type="dcterms:W3CDTF">2015-10-27T12:36:22Z</dcterms:modified>
</cp:coreProperties>
</file>