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ink/ink1.xml" ContentType="application/inkml+xml"/>
  <Override PartName="/xl/ink/ink2.xml" ContentType="application/inkml+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cac847e9161acb79/Desktop/Data Science/Excel/"/>
    </mc:Choice>
  </mc:AlternateContent>
  <xr:revisionPtr revIDLastSave="5251" documentId="8_{4E16D24D-3E49-4A47-8864-9D3BBE62A731}" xr6:coauthVersionLast="47" xr6:coauthVersionMax="47" xr10:uidLastSave="{FC39CE79-C49E-4853-A9FD-68BC12D16873}"/>
  <bookViews>
    <workbookView xWindow="8610" yWindow="2850" windowWidth="13620" windowHeight="10665" activeTab="1" xr2:uid="{95C2BFBA-F572-4C22-97CF-A1ACD8A92F40}"/>
  </bookViews>
  <sheets>
    <sheet name="Budget" sheetId="1" r:id="rId1"/>
    <sheet name="NCAA T-Shirt Vendor" sheetId="2" r:id="rId2"/>
    <sheet name="Woodworks Bookshelf Co." sheetId="3" r:id="rId3"/>
    <sheet name="Quality Sweater Company" sheetId="4" r:id="rId4"/>
    <sheet name="B&amp;N Bookstore" sheetId="5" r:id="rId5"/>
    <sheet name="The 19th Hole" sheetId="6" r:id="rId6"/>
    <sheet name="Gopher Drugs" sheetId="7" r:id="rId7"/>
    <sheet name="Linear Programming" sheetId="9" r:id="rId8"/>
    <sheet name="PC Tech Company" sheetId="10" r:id="rId9"/>
    <sheet name="Investment Allocation" sheetId="11" r:id="rId10"/>
    <sheet name="Busing Problem" sheetId="13" r:id="rId11"/>
    <sheet name="Transportation Problem Template" sheetId="14" r:id="rId12"/>
    <sheet name="New Hire" sheetId="15" r:id="rId13"/>
    <sheet name="MLB Umpire" sheetId="16" r:id="rId14"/>
    <sheet name="Princess Bride" sheetId="17" r:id="rId15"/>
    <sheet name="Art posters" sheetId="22" r:id="rId16"/>
    <sheet name="Horizon Wireless " sheetId="23" r:id="rId17"/>
    <sheet name="Bolsa de Cafe" sheetId="18" r:id="rId18"/>
    <sheet name="Non-Linear Template" sheetId="19" r:id="rId19"/>
    <sheet name="Motorcross Snowmobiles" sheetId="20" r:id="rId20"/>
    <sheet name="Binary Investment Decision" sheetId="21" r:id="rId21"/>
  </sheets>
  <definedNames>
    <definedName name="solver_adj" localSheetId="15" hidden="1">'Art posters'!$B$4:$C$4</definedName>
    <definedName name="solver_adj" localSheetId="20" hidden="1">'Binary Investment Decision'!$G$11:$M$11</definedName>
    <definedName name="solver_adj" localSheetId="17" hidden="1">'Bolsa de Cafe'!$B$10:$C$10</definedName>
    <definedName name="solver_adj" localSheetId="10" hidden="1">'Busing Problem'!$B$14:$P$14</definedName>
    <definedName name="solver_adj" localSheetId="9" hidden="1">'Investment Allocation'!$B$11:$F$11</definedName>
    <definedName name="solver_adj" localSheetId="7" hidden="1">'Linear Programming'!$B$2:$C$2</definedName>
    <definedName name="solver_adj" localSheetId="13" hidden="1">'MLB Umpire'!$B$13:$E$16</definedName>
    <definedName name="solver_adj" localSheetId="19" hidden="1">'Motorcross Snowmobiles'!$B$4:$C$4</definedName>
    <definedName name="solver_adj" localSheetId="12" hidden="1">'New Hire'!$B$13:$E$15</definedName>
    <definedName name="solver_adj" localSheetId="18" hidden="1">'Non-Linear Template'!$B$4:$C$4</definedName>
    <definedName name="solver_adj" localSheetId="8" hidden="1">'PC Tech Company'!$B$2:$C$2</definedName>
    <definedName name="solver_adj" localSheetId="14" hidden="1">'Princess Bride'!$B$4:$C$4</definedName>
    <definedName name="solver_adj" localSheetId="11" hidden="1">'Transportation Problem Template'!$C$11:$E$13</definedName>
    <definedName name="solver_cvg" localSheetId="15" hidden="1">0.0001</definedName>
    <definedName name="solver_cvg" localSheetId="20" hidden="1">0.0001</definedName>
    <definedName name="solver_cvg" localSheetId="17" hidden="1">0.0001</definedName>
    <definedName name="solver_cvg" localSheetId="10" hidden="1">0.0001</definedName>
    <definedName name="solver_cvg" localSheetId="9" hidden="1">0.0001</definedName>
    <definedName name="solver_cvg" localSheetId="7" hidden="1">0.0001</definedName>
    <definedName name="solver_cvg" localSheetId="13" hidden="1">0.0001</definedName>
    <definedName name="solver_cvg" localSheetId="19" hidden="1">0.0001</definedName>
    <definedName name="solver_cvg" localSheetId="12" hidden="1">0.0001</definedName>
    <definedName name="solver_cvg" localSheetId="18" hidden="1">0.0001</definedName>
    <definedName name="solver_cvg" localSheetId="8" hidden="1">0.0001</definedName>
    <definedName name="solver_cvg" localSheetId="14" hidden="1">0.0001</definedName>
    <definedName name="solver_cvg" localSheetId="11" hidden="1">0.0001</definedName>
    <definedName name="solver_drv" localSheetId="15" hidden="1">1</definedName>
    <definedName name="solver_drv" localSheetId="20" hidden="1">1</definedName>
    <definedName name="solver_drv" localSheetId="17" hidden="1">1</definedName>
    <definedName name="solver_drv" localSheetId="10" hidden="1">1</definedName>
    <definedName name="solver_drv" localSheetId="9" hidden="1">1</definedName>
    <definedName name="solver_drv" localSheetId="7" hidden="1">1</definedName>
    <definedName name="solver_drv" localSheetId="13" hidden="1">1</definedName>
    <definedName name="solver_drv" localSheetId="19" hidden="1">1</definedName>
    <definedName name="solver_drv" localSheetId="12" hidden="1">2</definedName>
    <definedName name="solver_drv" localSheetId="18" hidden="1">1</definedName>
    <definedName name="solver_drv" localSheetId="8" hidden="1">2</definedName>
    <definedName name="solver_drv" localSheetId="14" hidden="1">1</definedName>
    <definedName name="solver_drv" localSheetId="11" hidden="1">1</definedName>
    <definedName name="solver_eng" localSheetId="15" hidden="1">2</definedName>
    <definedName name="solver_eng" localSheetId="20" hidden="1">2</definedName>
    <definedName name="solver_eng" localSheetId="17" hidden="1">2</definedName>
    <definedName name="solver_eng" localSheetId="10" hidden="1">2</definedName>
    <definedName name="solver_eng" localSheetId="9" hidden="1">2</definedName>
    <definedName name="solver_eng" localSheetId="7" hidden="1">2</definedName>
    <definedName name="solver_eng" localSheetId="13" hidden="1">2</definedName>
    <definedName name="solver_eng" localSheetId="19" hidden="1">1</definedName>
    <definedName name="solver_eng" localSheetId="12" hidden="1">2</definedName>
    <definedName name="solver_eng" localSheetId="18" hidden="1">1</definedName>
    <definedName name="solver_eng" localSheetId="8" hidden="1">2</definedName>
    <definedName name="solver_eng" localSheetId="14" hidden="1">2</definedName>
    <definedName name="solver_eng" localSheetId="11" hidden="1">2</definedName>
    <definedName name="solver_est" localSheetId="15" hidden="1">1</definedName>
    <definedName name="solver_est" localSheetId="20" hidden="1">1</definedName>
    <definedName name="solver_est" localSheetId="17" hidden="1">1</definedName>
    <definedName name="solver_est" localSheetId="10" hidden="1">1</definedName>
    <definedName name="solver_est" localSheetId="9" hidden="1">1</definedName>
    <definedName name="solver_est" localSheetId="7" hidden="1">1</definedName>
    <definedName name="solver_est" localSheetId="13" hidden="1">1</definedName>
    <definedName name="solver_est" localSheetId="19" hidden="1">1</definedName>
    <definedName name="solver_est" localSheetId="12" hidden="1">1</definedName>
    <definedName name="solver_est" localSheetId="18" hidden="1">1</definedName>
    <definedName name="solver_est" localSheetId="8" hidden="1">1</definedName>
    <definedName name="solver_est" localSheetId="14" hidden="1">1</definedName>
    <definedName name="solver_est" localSheetId="11" hidden="1">1</definedName>
    <definedName name="solver_itr" localSheetId="15" hidden="1">2147483647</definedName>
    <definedName name="solver_itr" localSheetId="20" hidden="1">2147483647</definedName>
    <definedName name="solver_itr" localSheetId="17" hidden="1">2147483647</definedName>
    <definedName name="solver_itr" localSheetId="10" hidden="1">2147483647</definedName>
    <definedName name="solver_itr" localSheetId="9" hidden="1">2147483647</definedName>
    <definedName name="solver_itr" localSheetId="7" hidden="1">2147483647</definedName>
    <definedName name="solver_itr" localSheetId="13" hidden="1">2147483647</definedName>
    <definedName name="solver_itr" localSheetId="19" hidden="1">2147483647</definedName>
    <definedName name="solver_itr" localSheetId="12" hidden="1">2147483647</definedName>
    <definedName name="solver_itr" localSheetId="18" hidden="1">2147483647</definedName>
    <definedName name="solver_itr" localSheetId="8" hidden="1">2147483647</definedName>
    <definedName name="solver_itr" localSheetId="14" hidden="1">2147483647</definedName>
    <definedName name="solver_itr" localSheetId="11" hidden="1">2147483647</definedName>
    <definedName name="solver_lhs1" localSheetId="15" hidden="1">'Art posters'!$D$14:$D$16</definedName>
    <definedName name="solver_lhs1" localSheetId="20" hidden="1">'Binary Investment Decision'!$G$11:$M$11</definedName>
    <definedName name="solver_lhs1" localSheetId="17" hidden="1">'Bolsa de Cafe'!$B$10</definedName>
    <definedName name="solver_lhs1" localSheetId="10" hidden="1">'Busing Problem'!$Q$21:$Q$23</definedName>
    <definedName name="solver_lhs1" localSheetId="9" hidden="1">'Investment Allocation'!$G$21</definedName>
    <definedName name="solver_lhs1" localSheetId="7" hidden="1">'Linear Programming'!$D$14</definedName>
    <definedName name="solver_lhs1" localSheetId="13" hidden="1">'MLB Umpire'!$B$17:$E$17</definedName>
    <definedName name="solver_lhs1" localSheetId="19" hidden="1">'Motorcross Snowmobiles'!$B$4:$C$4</definedName>
    <definedName name="solver_lhs1" localSheetId="12" hidden="1">'New Hire'!$B$16:$E$16</definedName>
    <definedName name="solver_lhs1" localSheetId="18" hidden="1">'Non-Linear Template'!$D$22</definedName>
    <definedName name="solver_lhs1" localSheetId="8" hidden="1">'PC Tech Company'!$D$16:$D$19</definedName>
    <definedName name="solver_lhs1" localSheetId="14" hidden="1">'Princess Bride'!$B$4:$C$4</definedName>
    <definedName name="solver_lhs1" localSheetId="11" hidden="1">'Transportation Problem Template'!$C$14:$E$14</definedName>
    <definedName name="solver_lhs2" localSheetId="20" hidden="1">'Binary Investment Decision'!$N$19</definedName>
    <definedName name="solver_lhs2" localSheetId="17" hidden="1">'Bolsa de Cafe'!$D$17:$D$19</definedName>
    <definedName name="solver_lhs2" localSheetId="10" hidden="1">'Busing Problem'!$Q$24:$Q$28</definedName>
    <definedName name="solver_lhs2" localSheetId="9" hidden="1">'Investment Allocation'!$G$22:$G$23</definedName>
    <definedName name="solver_lhs2" localSheetId="7" hidden="1">'Linear Programming'!$D$15</definedName>
    <definedName name="solver_lhs2" localSheetId="13" hidden="1">'MLB Umpire'!$E$15</definedName>
    <definedName name="solver_lhs2" localSheetId="19" hidden="1">'Motorcross Snowmobiles'!$D$11</definedName>
    <definedName name="solver_lhs2" localSheetId="12" hidden="1">'New Hire'!$F$13:$F$15</definedName>
    <definedName name="solver_lhs2" localSheetId="18" hidden="1">'Non-Linear Template'!$D$23</definedName>
    <definedName name="solver_lhs2" localSheetId="14" hidden="1">'Princess Bride'!$D$13:$D$14</definedName>
    <definedName name="solver_lhs2" localSheetId="11" hidden="1">'Transportation Problem Template'!$F$11:$F$13</definedName>
    <definedName name="solver_lhs3" localSheetId="20" hidden="1">'Binary Investment Decision'!$N$20</definedName>
    <definedName name="solver_lhs3" localSheetId="9" hidden="1">'Investment Allocation'!$G$24</definedName>
    <definedName name="solver_lhs3" localSheetId="7" hidden="1">'Linear Programming'!$D$16</definedName>
    <definedName name="solver_lhs3" localSheetId="13" hidden="1">'MLB Umpire'!$F$13:$F$16</definedName>
    <definedName name="solver_lhs3" localSheetId="14" hidden="1">'Princess Bride'!$D$15</definedName>
    <definedName name="solver_lhs4" localSheetId="20" hidden="1">'Binary Investment Decision'!$N$21</definedName>
    <definedName name="solver_lhs4" localSheetId="7" hidden="1">'Linear Programming'!$D$17</definedName>
    <definedName name="solver_lhs5" localSheetId="20" hidden="1">'Binary Investment Decision'!$N$22</definedName>
    <definedName name="solver_mip" localSheetId="15" hidden="1">2147483647</definedName>
    <definedName name="solver_mip" localSheetId="20" hidden="1">2147483647</definedName>
    <definedName name="solver_mip" localSheetId="17" hidden="1">2147483647</definedName>
    <definedName name="solver_mip" localSheetId="10" hidden="1">2147483647</definedName>
    <definedName name="solver_mip" localSheetId="9" hidden="1">2147483647</definedName>
    <definedName name="solver_mip" localSheetId="7" hidden="1">2147483647</definedName>
    <definedName name="solver_mip" localSheetId="13" hidden="1">2147483647</definedName>
    <definedName name="solver_mip" localSheetId="19" hidden="1">2147483647</definedName>
    <definedName name="solver_mip" localSheetId="12" hidden="1">2147483647</definedName>
    <definedName name="solver_mip" localSheetId="18" hidden="1">2147483647</definedName>
    <definedName name="solver_mip" localSheetId="8" hidden="1">2147483647</definedName>
    <definedName name="solver_mip" localSheetId="14" hidden="1">2147483647</definedName>
    <definedName name="solver_mip" localSheetId="11" hidden="1">2147483647</definedName>
    <definedName name="solver_mni" localSheetId="15" hidden="1">30</definedName>
    <definedName name="solver_mni" localSheetId="20" hidden="1">30</definedName>
    <definedName name="solver_mni" localSheetId="17" hidden="1">30</definedName>
    <definedName name="solver_mni" localSheetId="10" hidden="1">30</definedName>
    <definedName name="solver_mni" localSheetId="9" hidden="1">30</definedName>
    <definedName name="solver_mni" localSheetId="7" hidden="1">30</definedName>
    <definedName name="solver_mni" localSheetId="13" hidden="1">30</definedName>
    <definedName name="solver_mni" localSheetId="19" hidden="1">30</definedName>
    <definedName name="solver_mni" localSheetId="12" hidden="1">30</definedName>
    <definedName name="solver_mni" localSheetId="18" hidden="1">30</definedName>
    <definedName name="solver_mni" localSheetId="8" hidden="1">30</definedName>
    <definedName name="solver_mni" localSheetId="14" hidden="1">30</definedName>
    <definedName name="solver_mni" localSheetId="11" hidden="1">30</definedName>
    <definedName name="solver_mrt" localSheetId="15" hidden="1">0.075</definedName>
    <definedName name="solver_mrt" localSheetId="20" hidden="1">0.075</definedName>
    <definedName name="solver_mrt" localSheetId="17" hidden="1">0.075</definedName>
    <definedName name="solver_mrt" localSheetId="10" hidden="1">0.075</definedName>
    <definedName name="solver_mrt" localSheetId="9" hidden="1">0.075</definedName>
    <definedName name="solver_mrt" localSheetId="7" hidden="1">0.075</definedName>
    <definedName name="solver_mrt" localSheetId="13" hidden="1">0.075</definedName>
    <definedName name="solver_mrt" localSheetId="19" hidden="1">0.075</definedName>
    <definedName name="solver_mrt" localSheetId="12" hidden="1">0.075</definedName>
    <definedName name="solver_mrt" localSheetId="18" hidden="1">0.075</definedName>
    <definedName name="solver_mrt" localSheetId="8" hidden="1">0.075</definedName>
    <definedName name="solver_mrt" localSheetId="14" hidden="1">0.075</definedName>
    <definedName name="solver_mrt" localSheetId="11" hidden="1">0.075</definedName>
    <definedName name="solver_msl" localSheetId="15" hidden="1">2</definedName>
    <definedName name="solver_msl" localSheetId="20" hidden="1">2</definedName>
    <definedName name="solver_msl" localSheetId="17" hidden="1">2</definedName>
    <definedName name="solver_msl" localSheetId="10" hidden="1">2</definedName>
    <definedName name="solver_msl" localSheetId="9" hidden="1">2</definedName>
    <definedName name="solver_msl" localSheetId="7" hidden="1">2</definedName>
    <definedName name="solver_msl" localSheetId="13" hidden="1">2</definedName>
    <definedName name="solver_msl" localSheetId="19" hidden="1">2</definedName>
    <definedName name="solver_msl" localSheetId="12" hidden="1">2</definedName>
    <definedName name="solver_msl" localSheetId="18" hidden="1">2</definedName>
    <definedName name="solver_msl" localSheetId="8" hidden="1">2</definedName>
    <definedName name="solver_msl" localSheetId="14" hidden="1">2</definedName>
    <definedName name="solver_msl" localSheetId="11" hidden="1">2</definedName>
    <definedName name="solver_neg" localSheetId="15" hidden="1">1</definedName>
    <definedName name="solver_neg" localSheetId="20" hidden="1">1</definedName>
    <definedName name="solver_neg" localSheetId="17" hidden="1">1</definedName>
    <definedName name="solver_neg" localSheetId="10" hidden="1">1</definedName>
    <definedName name="solver_neg" localSheetId="9" hidden="1">1</definedName>
    <definedName name="solver_neg" localSheetId="7" hidden="1">1</definedName>
    <definedName name="solver_neg" localSheetId="13" hidden="1">1</definedName>
    <definedName name="solver_neg" localSheetId="19" hidden="1">1</definedName>
    <definedName name="solver_neg" localSheetId="12" hidden="1">1</definedName>
    <definedName name="solver_neg" localSheetId="18" hidden="1">1</definedName>
    <definedName name="solver_neg" localSheetId="8" hidden="1">1</definedName>
    <definedName name="solver_neg" localSheetId="14" hidden="1">1</definedName>
    <definedName name="solver_neg" localSheetId="11" hidden="1">1</definedName>
    <definedName name="solver_nod" localSheetId="15" hidden="1">2147483647</definedName>
    <definedName name="solver_nod" localSheetId="20" hidden="1">2147483647</definedName>
    <definedName name="solver_nod" localSheetId="17" hidden="1">2147483647</definedName>
    <definedName name="solver_nod" localSheetId="10" hidden="1">2147483647</definedName>
    <definedName name="solver_nod" localSheetId="9" hidden="1">2147483647</definedName>
    <definedName name="solver_nod" localSheetId="7" hidden="1">2147483647</definedName>
    <definedName name="solver_nod" localSheetId="13" hidden="1">2147483647</definedName>
    <definedName name="solver_nod" localSheetId="19" hidden="1">2147483647</definedName>
    <definedName name="solver_nod" localSheetId="12" hidden="1">2147483647</definedName>
    <definedName name="solver_nod" localSheetId="18" hidden="1">2147483647</definedName>
    <definedName name="solver_nod" localSheetId="8" hidden="1">2147483647</definedName>
    <definedName name="solver_nod" localSheetId="14" hidden="1">2147483647</definedName>
    <definedName name="solver_nod" localSheetId="11" hidden="1">2147483647</definedName>
    <definedName name="solver_num" localSheetId="15" hidden="1">1</definedName>
    <definedName name="solver_num" localSheetId="20" hidden="1">5</definedName>
    <definedName name="solver_num" localSheetId="17" hidden="1">2</definedName>
    <definedName name="solver_num" localSheetId="10" hidden="1">2</definedName>
    <definedName name="solver_num" localSheetId="9" hidden="1">3</definedName>
    <definedName name="solver_num" localSheetId="7" hidden="1">4</definedName>
    <definedName name="solver_num" localSheetId="13" hidden="1">3</definedName>
    <definedName name="solver_num" localSheetId="19" hidden="1">2</definedName>
    <definedName name="solver_num" localSheetId="12" hidden="1">2</definedName>
    <definedName name="solver_num" localSheetId="18" hidden="1">2</definedName>
    <definedName name="solver_num" localSheetId="8" hidden="1">1</definedName>
    <definedName name="solver_num" localSheetId="14" hidden="1">3</definedName>
    <definedName name="solver_num" localSheetId="11" hidden="1">2</definedName>
    <definedName name="solver_nwt" localSheetId="15" hidden="1">1</definedName>
    <definedName name="solver_nwt" localSheetId="20" hidden="1">1</definedName>
    <definedName name="solver_nwt" localSheetId="17" hidden="1">1</definedName>
    <definedName name="solver_nwt" localSheetId="10" hidden="1">1</definedName>
    <definedName name="solver_nwt" localSheetId="9" hidden="1">1</definedName>
    <definedName name="solver_nwt" localSheetId="7" hidden="1">1</definedName>
    <definedName name="solver_nwt" localSheetId="13" hidden="1">1</definedName>
    <definedName name="solver_nwt" localSheetId="19" hidden="1">1</definedName>
    <definedName name="solver_nwt" localSheetId="12" hidden="1">1</definedName>
    <definedName name="solver_nwt" localSheetId="18" hidden="1">1</definedName>
    <definedName name="solver_nwt" localSheetId="8" hidden="1">1</definedName>
    <definedName name="solver_nwt" localSheetId="14" hidden="1">1</definedName>
    <definedName name="solver_nwt" localSheetId="11" hidden="1">1</definedName>
    <definedName name="solver_opt" localSheetId="15" hidden="1">'Art posters'!$B$9</definedName>
    <definedName name="solver_opt" localSheetId="20" hidden="1">'Binary Investment Decision'!$G$15</definedName>
    <definedName name="solver_opt" localSheetId="17" hidden="1">'Bolsa de Cafe'!$B$14</definedName>
    <definedName name="solver_opt" localSheetId="10" hidden="1">'Busing Problem'!$B$17</definedName>
    <definedName name="solver_opt" localSheetId="9" hidden="1">'Investment Allocation'!$B$15</definedName>
    <definedName name="solver_opt" localSheetId="7" hidden="1">'Linear Programming'!$B$7</definedName>
    <definedName name="solver_opt" localSheetId="13" hidden="1">'MLB Umpire'!$B$24</definedName>
    <definedName name="solver_opt" localSheetId="19" hidden="1">'Motorcross Snowmobiles'!$B$7</definedName>
    <definedName name="solver_opt" localSheetId="12" hidden="1">'New Hire'!$B$21</definedName>
    <definedName name="solver_opt" localSheetId="18" hidden="1">'Non-Linear Template'!$B$17</definedName>
    <definedName name="solver_opt" localSheetId="8" hidden="1">'PC Tech Company'!$D$10</definedName>
    <definedName name="solver_opt" localSheetId="14" hidden="1">'Princess Bride'!$B$8</definedName>
    <definedName name="solver_opt" localSheetId="11" hidden="1">'Transportation Problem Template'!$B$18</definedName>
    <definedName name="solver_pre" localSheetId="15" hidden="1">0.000001</definedName>
    <definedName name="solver_pre" localSheetId="20" hidden="1">0.000001</definedName>
    <definedName name="solver_pre" localSheetId="17" hidden="1">0.000001</definedName>
    <definedName name="solver_pre" localSheetId="10" hidden="1">0.000001</definedName>
    <definedName name="solver_pre" localSheetId="9" hidden="1">0.000001</definedName>
    <definedName name="solver_pre" localSheetId="7" hidden="1">0.000001</definedName>
    <definedName name="solver_pre" localSheetId="13" hidden="1">0.000001</definedName>
    <definedName name="solver_pre" localSheetId="19" hidden="1">0.000001</definedName>
    <definedName name="solver_pre" localSheetId="12" hidden="1">0.000001</definedName>
    <definedName name="solver_pre" localSheetId="18" hidden="1">0.000001</definedName>
    <definedName name="solver_pre" localSheetId="8" hidden="1">0.000001</definedName>
    <definedName name="solver_pre" localSheetId="14" hidden="1">0.000001</definedName>
    <definedName name="solver_pre" localSheetId="11" hidden="1">0.000001</definedName>
    <definedName name="solver_rbv" localSheetId="15" hidden="1">1</definedName>
    <definedName name="solver_rbv" localSheetId="20" hidden="1">1</definedName>
    <definedName name="solver_rbv" localSheetId="17" hidden="1">1</definedName>
    <definedName name="solver_rbv" localSheetId="10" hidden="1">1</definedName>
    <definedName name="solver_rbv" localSheetId="9" hidden="1">1</definedName>
    <definedName name="solver_rbv" localSheetId="7" hidden="1">1</definedName>
    <definedName name="solver_rbv" localSheetId="13" hidden="1">1</definedName>
    <definedName name="solver_rbv" localSheetId="19" hidden="1">1</definedName>
    <definedName name="solver_rbv" localSheetId="12" hidden="1">2</definedName>
    <definedName name="solver_rbv" localSheetId="18" hidden="1">1</definedName>
    <definedName name="solver_rbv" localSheetId="8" hidden="1">2</definedName>
    <definedName name="solver_rbv" localSheetId="14" hidden="1">1</definedName>
    <definedName name="solver_rbv" localSheetId="11" hidden="1">1</definedName>
    <definedName name="solver_rel1" localSheetId="15" hidden="1">1</definedName>
    <definedName name="solver_rel1" localSheetId="20" hidden="1">5</definedName>
    <definedName name="solver_rel1" localSheetId="17" hidden="1">4</definedName>
    <definedName name="solver_rel1" localSheetId="10" hidden="1">1</definedName>
    <definedName name="solver_rel1" localSheetId="9" hidden="1">1</definedName>
    <definedName name="solver_rel1" localSheetId="7" hidden="1">1</definedName>
    <definedName name="solver_rel1" localSheetId="13" hidden="1">1</definedName>
    <definedName name="solver_rel1" localSheetId="19" hidden="1">4</definedName>
    <definedName name="solver_rel1" localSheetId="12" hidden="1">1</definedName>
    <definedName name="solver_rel1" localSheetId="18" hidden="1">2</definedName>
    <definedName name="solver_rel1" localSheetId="8" hidden="1">1</definedName>
    <definedName name="solver_rel1" localSheetId="14" hidden="1">4</definedName>
    <definedName name="solver_rel1" localSheetId="11" hidden="1">2</definedName>
    <definedName name="solver_rel2" localSheetId="20" hidden="1">3</definedName>
    <definedName name="solver_rel2" localSheetId="17" hidden="1">1</definedName>
    <definedName name="solver_rel2" localSheetId="10" hidden="1">2</definedName>
    <definedName name="solver_rel2" localSheetId="9" hidden="1">3</definedName>
    <definedName name="solver_rel2" localSheetId="7" hidden="1">3</definedName>
    <definedName name="solver_rel2" localSheetId="13" hidden="1">2</definedName>
    <definedName name="solver_rel2" localSheetId="19" hidden="1">1</definedName>
    <definedName name="solver_rel2" localSheetId="12" hidden="1">2</definedName>
    <definedName name="solver_rel2" localSheetId="18" hidden="1">3</definedName>
    <definedName name="solver_rel2" localSheetId="14" hidden="1">1</definedName>
    <definedName name="solver_rel2" localSheetId="11" hidden="1">1</definedName>
    <definedName name="solver_rel3" localSheetId="20" hidden="1">1</definedName>
    <definedName name="solver_rel3" localSheetId="9" hidden="1">1</definedName>
    <definedName name="solver_rel3" localSheetId="7" hidden="1">3</definedName>
    <definedName name="solver_rel3" localSheetId="13" hidden="1">2</definedName>
    <definedName name="solver_rel3" localSheetId="14" hidden="1">3</definedName>
    <definedName name="solver_rel4" localSheetId="20" hidden="1">2</definedName>
    <definedName name="solver_rel4" localSheetId="7" hidden="1">3</definedName>
    <definedName name="solver_rel5" localSheetId="20" hidden="1">1</definedName>
    <definedName name="solver_rhs1" localSheetId="15" hidden="1">'Art posters'!$F$14:$F$16</definedName>
    <definedName name="solver_rhs1" localSheetId="20" hidden="1">"binary"</definedName>
    <definedName name="solver_rhs1" localSheetId="17" hidden="1">"integer"</definedName>
    <definedName name="solver_rhs1" localSheetId="10" hidden="1">'Busing Problem'!$S$21:$S$23</definedName>
    <definedName name="solver_rhs1" localSheetId="9" hidden="1">'Investment Allocation'!$I$21</definedName>
    <definedName name="solver_rhs1" localSheetId="7" hidden="1">'Linear Programming'!$F$14</definedName>
    <definedName name="solver_rhs1" localSheetId="13" hidden="1">'MLB Umpire'!$B$19:$E$19</definedName>
    <definedName name="solver_rhs1" localSheetId="19" hidden="1">"integer"</definedName>
    <definedName name="solver_rhs1" localSheetId="12" hidden="1">'New Hire'!$B$18:$E$18</definedName>
    <definedName name="solver_rhs1" localSheetId="18" hidden="1">'Non-Linear Template'!$F$22</definedName>
    <definedName name="solver_rhs1" localSheetId="8" hidden="1">'PC Tech Company'!$F$16:$F$19</definedName>
    <definedName name="solver_rhs1" localSheetId="14" hidden="1">"integer"</definedName>
    <definedName name="solver_rhs1" localSheetId="11" hidden="1">'Transportation Problem Template'!$C$7:$E$7</definedName>
    <definedName name="solver_rhs2" localSheetId="20" hidden="1">'Binary Investment Decision'!$P$19</definedName>
    <definedName name="solver_rhs2" localSheetId="17" hidden="1">'Bolsa de Cafe'!$F$17:$F$19</definedName>
    <definedName name="solver_rhs2" localSheetId="10" hidden="1">'Busing Problem'!$S$24:$S$28</definedName>
    <definedName name="solver_rhs2" localSheetId="9" hidden="1">'Investment Allocation'!$I$22:$I$23</definedName>
    <definedName name="solver_rhs2" localSheetId="7" hidden="1">'Linear Programming'!$F$15</definedName>
    <definedName name="solver_rhs2" localSheetId="13" hidden="1">0</definedName>
    <definedName name="solver_rhs2" localSheetId="19" hidden="1">'Motorcross Snowmobiles'!$F$11</definedName>
    <definedName name="solver_rhs2" localSheetId="12" hidden="1">'New Hire'!$H$13:$H$15</definedName>
    <definedName name="solver_rhs2" localSheetId="18" hidden="1">'Non-Linear Template'!$F$23</definedName>
    <definedName name="solver_rhs2" localSheetId="14" hidden="1">'Princess Bride'!$F$13:$F$14</definedName>
    <definedName name="solver_rhs2" localSheetId="11" hidden="1">'Transportation Problem Template'!$F$4:$F$6</definedName>
    <definedName name="solver_rhs3" localSheetId="20" hidden="1">'Binary Investment Decision'!$P$20</definedName>
    <definedName name="solver_rhs3" localSheetId="9" hidden="1">'Investment Allocation'!$I$24</definedName>
    <definedName name="solver_rhs3" localSheetId="7" hidden="1">'Linear Programming'!$F$16</definedName>
    <definedName name="solver_rhs3" localSheetId="13" hidden="1">'MLB Umpire'!$H$13:$H$16</definedName>
    <definedName name="solver_rhs3" localSheetId="14" hidden="1">'Princess Bride'!$F$15</definedName>
    <definedName name="solver_rhs4" localSheetId="20" hidden="1">'Binary Investment Decision'!$P$21</definedName>
    <definedName name="solver_rhs4" localSheetId="7" hidden="1">'Linear Programming'!$F$17</definedName>
    <definedName name="solver_rhs5" localSheetId="20" hidden="1">'Binary Investment Decision'!$P$22</definedName>
    <definedName name="solver_rlx" localSheetId="15" hidden="1">2</definedName>
    <definedName name="solver_rlx" localSheetId="20" hidden="1">2</definedName>
    <definedName name="solver_rlx" localSheetId="17" hidden="1">2</definedName>
    <definedName name="solver_rlx" localSheetId="10" hidden="1">2</definedName>
    <definedName name="solver_rlx" localSheetId="9" hidden="1">2</definedName>
    <definedName name="solver_rlx" localSheetId="7" hidden="1">2</definedName>
    <definedName name="solver_rlx" localSheetId="13" hidden="1">2</definedName>
    <definedName name="solver_rlx" localSheetId="19" hidden="1">2</definedName>
    <definedName name="solver_rlx" localSheetId="12" hidden="1">2</definedName>
    <definedName name="solver_rlx" localSheetId="18" hidden="1">2</definedName>
    <definedName name="solver_rlx" localSheetId="8" hidden="1">2</definedName>
    <definedName name="solver_rlx" localSheetId="14" hidden="1">2</definedName>
    <definedName name="solver_rlx" localSheetId="11" hidden="1">2</definedName>
    <definedName name="solver_rsd" localSheetId="15" hidden="1">0</definedName>
    <definedName name="solver_rsd" localSheetId="20" hidden="1">0</definedName>
    <definedName name="solver_rsd" localSheetId="17" hidden="1">0</definedName>
    <definedName name="solver_rsd" localSheetId="10" hidden="1">0</definedName>
    <definedName name="solver_rsd" localSheetId="9" hidden="1">0</definedName>
    <definedName name="solver_rsd" localSheetId="7" hidden="1">0</definedName>
    <definedName name="solver_rsd" localSheetId="13" hidden="1">0</definedName>
    <definedName name="solver_rsd" localSheetId="19" hidden="1">0</definedName>
    <definedName name="solver_rsd" localSheetId="12" hidden="1">0</definedName>
    <definedName name="solver_rsd" localSheetId="18" hidden="1">0</definedName>
    <definedName name="solver_rsd" localSheetId="8" hidden="1">0</definedName>
    <definedName name="solver_rsd" localSheetId="14" hidden="1">0</definedName>
    <definedName name="solver_rsd" localSheetId="11" hidden="1">0</definedName>
    <definedName name="solver_scl" localSheetId="15" hidden="1">1</definedName>
    <definedName name="solver_scl" localSheetId="20" hidden="1">1</definedName>
    <definedName name="solver_scl" localSheetId="17" hidden="1">1</definedName>
    <definedName name="solver_scl" localSheetId="10" hidden="1">1</definedName>
    <definedName name="solver_scl" localSheetId="9" hidden="1">1</definedName>
    <definedName name="solver_scl" localSheetId="7" hidden="1">1</definedName>
    <definedName name="solver_scl" localSheetId="13" hidden="1">1</definedName>
    <definedName name="solver_scl" localSheetId="19" hidden="1">1</definedName>
    <definedName name="solver_scl" localSheetId="12" hidden="1">2</definedName>
    <definedName name="solver_scl" localSheetId="18" hidden="1">1</definedName>
    <definedName name="solver_scl" localSheetId="8" hidden="1">2</definedName>
    <definedName name="solver_scl" localSheetId="14" hidden="1">1</definedName>
    <definedName name="solver_scl" localSheetId="11" hidden="1">1</definedName>
    <definedName name="solver_sho" localSheetId="15" hidden="1">2</definedName>
    <definedName name="solver_sho" localSheetId="20" hidden="1">2</definedName>
    <definedName name="solver_sho" localSheetId="17" hidden="1">2</definedName>
    <definedName name="solver_sho" localSheetId="10" hidden="1">2</definedName>
    <definedName name="solver_sho" localSheetId="9" hidden="1">2</definedName>
    <definedName name="solver_sho" localSheetId="7" hidden="1">2</definedName>
    <definedName name="solver_sho" localSheetId="13" hidden="1">2</definedName>
    <definedName name="solver_sho" localSheetId="19" hidden="1">2</definedName>
    <definedName name="solver_sho" localSheetId="12" hidden="1">2</definedName>
    <definedName name="solver_sho" localSheetId="18" hidden="1">2</definedName>
    <definedName name="solver_sho" localSheetId="8" hidden="1">2</definedName>
    <definedName name="solver_sho" localSheetId="14" hidden="1">2</definedName>
    <definedName name="solver_sho" localSheetId="11" hidden="1">2</definedName>
    <definedName name="solver_ssz" localSheetId="15" hidden="1">100</definedName>
    <definedName name="solver_ssz" localSheetId="20" hidden="1">100</definedName>
    <definedName name="solver_ssz" localSheetId="17" hidden="1">100</definedName>
    <definedName name="solver_ssz" localSheetId="10" hidden="1">100</definedName>
    <definedName name="solver_ssz" localSheetId="9" hidden="1">100</definedName>
    <definedName name="solver_ssz" localSheetId="7" hidden="1">100</definedName>
    <definedName name="solver_ssz" localSheetId="13" hidden="1">100</definedName>
    <definedName name="solver_ssz" localSheetId="19" hidden="1">100</definedName>
    <definedName name="solver_ssz" localSheetId="12" hidden="1">100</definedName>
    <definedName name="solver_ssz" localSheetId="18" hidden="1">100</definedName>
    <definedName name="solver_ssz" localSheetId="8" hidden="1">100</definedName>
    <definedName name="solver_ssz" localSheetId="14" hidden="1">100</definedName>
    <definedName name="solver_ssz" localSheetId="11" hidden="1">100</definedName>
    <definedName name="solver_tim" localSheetId="15" hidden="1">2147483647</definedName>
    <definedName name="solver_tim" localSheetId="20" hidden="1">2147483647</definedName>
    <definedName name="solver_tim" localSheetId="17" hidden="1">2147483647</definedName>
    <definedName name="solver_tim" localSheetId="10" hidden="1">2147483647</definedName>
    <definedName name="solver_tim" localSheetId="9" hidden="1">2147483647</definedName>
    <definedName name="solver_tim" localSheetId="7" hidden="1">2147483647</definedName>
    <definedName name="solver_tim" localSheetId="13" hidden="1">2147483647</definedName>
    <definedName name="solver_tim" localSheetId="19" hidden="1">2147483647</definedName>
    <definedName name="solver_tim" localSheetId="12" hidden="1">2147483647</definedName>
    <definedName name="solver_tim" localSheetId="18" hidden="1">2147483647</definedName>
    <definedName name="solver_tim" localSheetId="8" hidden="1">2147483647</definedName>
    <definedName name="solver_tim" localSheetId="14" hidden="1">2147483647</definedName>
    <definedName name="solver_tim" localSheetId="11" hidden="1">2147483647</definedName>
    <definedName name="solver_tol" localSheetId="15" hidden="1">0.01</definedName>
    <definedName name="solver_tol" localSheetId="20" hidden="1">0.01</definedName>
    <definedName name="solver_tol" localSheetId="17" hidden="1">0.01</definedName>
    <definedName name="solver_tol" localSheetId="10" hidden="1">0.01</definedName>
    <definedName name="solver_tol" localSheetId="9" hidden="1">0.01</definedName>
    <definedName name="solver_tol" localSheetId="7" hidden="1">0.01</definedName>
    <definedName name="solver_tol" localSheetId="13" hidden="1">0.01</definedName>
    <definedName name="solver_tol" localSheetId="19" hidden="1">0.01</definedName>
    <definedName name="solver_tol" localSheetId="12" hidden="1">0.01</definedName>
    <definedName name="solver_tol" localSheetId="18" hidden="1">0.01</definedName>
    <definedName name="solver_tol" localSheetId="8" hidden="1">0.01</definedName>
    <definedName name="solver_tol" localSheetId="14" hidden="1">0.01</definedName>
    <definedName name="solver_tol" localSheetId="11" hidden="1">0.01</definedName>
    <definedName name="solver_typ" localSheetId="15" hidden="1">1</definedName>
    <definedName name="solver_typ" localSheetId="20" hidden="1">1</definedName>
    <definedName name="solver_typ" localSheetId="17" hidden="1">1</definedName>
    <definedName name="solver_typ" localSheetId="10" hidden="1">2</definedName>
    <definedName name="solver_typ" localSheetId="9" hidden="1">1</definedName>
    <definedName name="solver_typ" localSheetId="7" hidden="1">1</definedName>
    <definedName name="solver_typ" localSheetId="13" hidden="1">2</definedName>
    <definedName name="solver_typ" localSheetId="19" hidden="1">1</definedName>
    <definedName name="solver_typ" localSheetId="12" hidden="1">2</definedName>
    <definedName name="solver_typ" localSheetId="18" hidden="1">2</definedName>
    <definedName name="solver_typ" localSheetId="8" hidden="1">1</definedName>
    <definedName name="solver_typ" localSheetId="14" hidden="1">1</definedName>
    <definedName name="solver_typ" localSheetId="11" hidden="1">2</definedName>
    <definedName name="solver_val" localSheetId="15" hidden="1">0</definedName>
    <definedName name="solver_val" localSheetId="20" hidden="1">0</definedName>
    <definedName name="solver_val" localSheetId="17" hidden="1">0</definedName>
    <definedName name="solver_val" localSheetId="10" hidden="1">0</definedName>
    <definedName name="solver_val" localSheetId="9" hidden="1">0</definedName>
    <definedName name="solver_val" localSheetId="7" hidden="1">0</definedName>
    <definedName name="solver_val" localSheetId="13" hidden="1">0</definedName>
    <definedName name="solver_val" localSheetId="19" hidden="1">0</definedName>
    <definedName name="solver_val" localSheetId="12" hidden="1">0</definedName>
    <definedName name="solver_val" localSheetId="18" hidden="1">0</definedName>
    <definedName name="solver_val" localSheetId="8" hidden="1">0</definedName>
    <definedName name="solver_val" localSheetId="14" hidden="1">0</definedName>
    <definedName name="solver_val" localSheetId="11" hidden="1">0</definedName>
    <definedName name="solver_ver" localSheetId="15" hidden="1">3</definedName>
    <definedName name="solver_ver" localSheetId="20" hidden="1">3</definedName>
    <definedName name="solver_ver" localSheetId="17" hidden="1">3</definedName>
    <definedName name="solver_ver" localSheetId="10" hidden="1">3</definedName>
    <definedName name="solver_ver" localSheetId="9" hidden="1">3</definedName>
    <definedName name="solver_ver" localSheetId="7" hidden="1">3</definedName>
    <definedName name="solver_ver" localSheetId="13" hidden="1">3</definedName>
    <definedName name="solver_ver" localSheetId="19" hidden="1">3</definedName>
    <definedName name="solver_ver" localSheetId="12" hidden="1">3</definedName>
    <definedName name="solver_ver" localSheetId="18" hidden="1">3</definedName>
    <definedName name="solver_ver" localSheetId="8" hidden="1">3</definedName>
    <definedName name="solver_ver" localSheetId="14" hidden="1">3</definedName>
    <definedName name="solver_ver" localSheetId="1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 i="22" l="1"/>
  <c r="D16" i="22"/>
  <c r="D14" i="22"/>
  <c r="B9" i="22"/>
  <c r="D11" i="20"/>
  <c r="E4" i="20"/>
  <c r="D4" i="20"/>
  <c r="N20" i="21"/>
  <c r="N21" i="21"/>
  <c r="N22" i="21"/>
  <c r="N19" i="21"/>
  <c r="G15" i="21"/>
  <c r="D23" i="19"/>
  <c r="D22" i="19"/>
  <c r="D9" i="19"/>
  <c r="C9" i="19"/>
  <c r="B9" i="19"/>
  <c r="D18" i="18"/>
  <c r="D19" i="18"/>
  <c r="D17" i="18"/>
  <c r="B14" i="18"/>
  <c r="D14" i="17"/>
  <c r="D15" i="17"/>
  <c r="D13" i="17"/>
  <c r="B8" i="17"/>
  <c r="B13" i="17"/>
  <c r="B24" i="16"/>
  <c r="F14" i="16"/>
  <c r="F15" i="16"/>
  <c r="F16" i="16"/>
  <c r="F13" i="16"/>
  <c r="C17" i="16"/>
  <c r="D17" i="16"/>
  <c r="E17" i="16"/>
  <c r="B17" i="16"/>
  <c r="F14" i="15"/>
  <c r="F15" i="15"/>
  <c r="B21" i="15"/>
  <c r="C16" i="15"/>
  <c r="D16" i="15"/>
  <c r="E16" i="15"/>
  <c r="B16" i="15"/>
  <c r="F13" i="15"/>
  <c r="B18" i="14"/>
  <c r="D14" i="14"/>
  <c r="E14" i="14"/>
  <c r="C14" i="14"/>
  <c r="F12" i="14"/>
  <c r="F13" i="14"/>
  <c r="F11" i="14"/>
  <c r="Q24" i="13"/>
  <c r="Q25" i="13"/>
  <c r="Q26" i="13"/>
  <c r="Q27" i="13"/>
  <c r="Q28" i="13"/>
  <c r="Q22" i="13"/>
  <c r="Q23" i="13"/>
  <c r="Q21" i="13"/>
  <c r="B17" i="13"/>
  <c r="G22" i="11"/>
  <c r="G23" i="11"/>
  <c r="G24" i="11"/>
  <c r="I23" i="11"/>
  <c r="I22" i="11"/>
  <c r="G21" i="11"/>
  <c r="B15" i="11"/>
  <c r="D17" i="10"/>
  <c r="D18" i="10"/>
  <c r="D19" i="10"/>
  <c r="D16" i="10"/>
  <c r="D9" i="10"/>
  <c r="D8" i="10"/>
  <c r="D7" i="10"/>
  <c r="D5" i="10"/>
  <c r="D17" i="9"/>
  <c r="D15" i="9"/>
  <c r="D16" i="9"/>
  <c r="D14" i="9"/>
  <c r="B7" i="9"/>
  <c r="B14" i="7"/>
  <c r="B13" i="7"/>
  <c r="B12" i="7"/>
  <c r="G5" i="7"/>
  <c r="G6" i="7" s="1"/>
  <c r="G7" i="7" s="1"/>
  <c r="G8" i="7" s="1"/>
  <c r="G9" i="7" s="1"/>
  <c r="G10" i="7" s="1"/>
  <c r="G11" i="7" s="1"/>
  <c r="G12" i="7" s="1"/>
  <c r="G13" i="7" s="1"/>
  <c r="G14" i="7" s="1"/>
  <c r="G15" i="7" s="1"/>
  <c r="G16" i="7" s="1"/>
  <c r="G17" i="7" s="1"/>
  <c r="G18" i="7" s="1"/>
  <c r="G19" i="7" s="1"/>
  <c r="G20" i="7" s="1"/>
  <c r="G21" i="7" s="1"/>
  <c r="G22" i="7" s="1"/>
  <c r="G23" i="7" s="1"/>
  <c r="G4" i="7"/>
  <c r="B40" i="6"/>
  <c r="B41" i="6" s="1"/>
  <c r="H26" i="6"/>
  <c r="H29" i="6"/>
  <c r="H33" i="6"/>
  <c r="H22" i="6"/>
  <c r="G23" i="6"/>
  <c r="G25" i="6"/>
  <c r="G29" i="6"/>
  <c r="G30" i="6"/>
  <c r="G31" i="6"/>
  <c r="G33" i="6"/>
  <c r="F25" i="6"/>
  <c r="F26" i="6"/>
  <c r="F27" i="6"/>
  <c r="F28" i="6"/>
  <c r="F33" i="6"/>
  <c r="F22" i="6"/>
  <c r="D23" i="6"/>
  <c r="H23" i="6" s="1"/>
  <c r="D24" i="6"/>
  <c r="H24" i="6" s="1"/>
  <c r="D25" i="6"/>
  <c r="H25" i="6" s="1"/>
  <c r="D26" i="6"/>
  <c r="D27" i="6"/>
  <c r="H27" i="6" s="1"/>
  <c r="D28" i="6"/>
  <c r="H28" i="6" s="1"/>
  <c r="D29" i="6"/>
  <c r="D30" i="6"/>
  <c r="H30" i="6" s="1"/>
  <c r="D31" i="6"/>
  <c r="H31" i="6" s="1"/>
  <c r="D32" i="6"/>
  <c r="H32" i="6" s="1"/>
  <c r="D33" i="6"/>
  <c r="D22" i="6"/>
  <c r="C23" i="6"/>
  <c r="C24" i="6"/>
  <c r="G24" i="6" s="1"/>
  <c r="C25" i="6"/>
  <c r="C26" i="6"/>
  <c r="G26" i="6" s="1"/>
  <c r="C27" i="6"/>
  <c r="G27" i="6" s="1"/>
  <c r="C28" i="6"/>
  <c r="G28" i="6" s="1"/>
  <c r="C29" i="6"/>
  <c r="C30" i="6"/>
  <c r="C31" i="6"/>
  <c r="C32" i="6"/>
  <c r="G32" i="6" s="1"/>
  <c r="C33" i="6"/>
  <c r="C22" i="6"/>
  <c r="G22" i="6" s="1"/>
  <c r="B23" i="6"/>
  <c r="F23" i="6" s="1"/>
  <c r="B24" i="6"/>
  <c r="F24" i="6" s="1"/>
  <c r="B25" i="6"/>
  <c r="B26" i="6"/>
  <c r="B27" i="6"/>
  <c r="B28" i="6"/>
  <c r="B29" i="6"/>
  <c r="F29" i="6" s="1"/>
  <c r="B30" i="6"/>
  <c r="F30" i="6" s="1"/>
  <c r="B31" i="6"/>
  <c r="F31" i="6" s="1"/>
  <c r="B32" i="6"/>
  <c r="F32" i="6" s="1"/>
  <c r="B33" i="6"/>
  <c r="B22" i="6"/>
  <c r="B15" i="5"/>
  <c r="B13" i="5"/>
  <c r="B12" i="5"/>
  <c r="B17" i="5" s="1"/>
  <c r="B16" i="4"/>
  <c r="B20" i="4" s="1"/>
  <c r="F20" i="3"/>
  <c r="F21" i="3"/>
  <c r="F22" i="3"/>
  <c r="F23" i="3"/>
  <c r="E20" i="3"/>
  <c r="E21" i="3"/>
  <c r="E22" i="3"/>
  <c r="E23" i="3"/>
  <c r="D20" i="3"/>
  <c r="D21" i="3"/>
  <c r="D22" i="3" s="1"/>
  <c r="D23" i="3" s="1"/>
  <c r="C20" i="3"/>
  <c r="C21" i="3"/>
  <c r="C22" i="3" s="1"/>
  <c r="C23" i="3" s="1"/>
  <c r="E19" i="3"/>
  <c r="D19" i="3"/>
  <c r="C19" i="3"/>
  <c r="B20" i="3"/>
  <c r="B21" i="3" s="1"/>
  <c r="B22" i="3" s="1"/>
  <c r="B23" i="3" s="1"/>
  <c r="B19" i="3"/>
  <c r="F19" i="3"/>
  <c r="F18" i="3"/>
  <c r="E18" i="3"/>
  <c r="D18" i="3"/>
  <c r="C18" i="3"/>
  <c r="B18" i="3"/>
  <c r="C11" i="3"/>
  <c r="B11" i="3"/>
  <c r="C6" i="3"/>
  <c r="B6" i="3"/>
  <c r="B17" i="2"/>
  <c r="B15" i="2"/>
  <c r="B14" i="2"/>
  <c r="B18" i="2" s="1"/>
  <c r="B19" i="2" s="1"/>
  <c r="B22" i="1"/>
  <c r="B21" i="1"/>
  <c r="B12" i="1"/>
  <c r="B9" i="1"/>
  <c r="B5" i="1"/>
  <c r="C9" i="22"/>
  <c r="G18" i="18"/>
  <c r="E45" i="6"/>
  <c r="C17" i="5"/>
  <c r="C15" i="2"/>
  <c r="C15" i="14"/>
  <c r="C13" i="5"/>
  <c r="G11" i="14"/>
  <c r="Q19" i="13"/>
  <c r="M15" i="21"/>
  <c r="G23" i="19"/>
  <c r="G22" i="19"/>
  <c r="C17" i="19"/>
  <c r="D10" i="19"/>
  <c r="C8" i="17"/>
  <c r="G10" i="10"/>
  <c r="C19" i="2"/>
  <c r="G5" i="10"/>
  <c r="D7" i="9"/>
  <c r="G15" i="9"/>
  <c r="E40" i="6"/>
  <c r="G7" i="10"/>
  <c r="C15" i="5"/>
  <c r="C14" i="2"/>
  <c r="C21" i="15"/>
  <c r="C17" i="2"/>
  <c r="C12" i="5"/>
  <c r="C18" i="14"/>
  <c r="G17" i="9"/>
  <c r="C5" i="1"/>
  <c r="G14" i="9"/>
  <c r="C18" i="2"/>
  <c r="C20" i="4"/>
  <c r="C11" i="4"/>
  <c r="G19" i="10"/>
  <c r="C10" i="19"/>
  <c r="C24" i="16"/>
  <c r="G9" i="10"/>
  <c r="C12" i="7"/>
  <c r="C15" i="11"/>
  <c r="E44" i="6"/>
  <c r="F11" i="15"/>
  <c r="G17" i="10"/>
  <c r="C16" i="4"/>
  <c r="G16" i="9"/>
  <c r="C19" i="5"/>
  <c r="G19" i="18"/>
  <c r="G16" i="10"/>
  <c r="G17" i="18"/>
  <c r="E46" i="6"/>
  <c r="E41" i="6"/>
  <c r="C14" i="18"/>
  <c r="G18" i="10"/>
  <c r="G8" i="10"/>
  <c r="C9" i="1"/>
  <c r="B10" i="19"/>
  <c r="D11" i="17"/>
  <c r="B7" i="20" l="1"/>
  <c r="B17" i="19"/>
  <c r="D10" i="10"/>
  <c r="G34" i="6"/>
  <c r="H34" i="6"/>
  <c r="F34" i="6"/>
  <c r="B45" i="6"/>
  <c r="B44" i="6"/>
  <c r="B19" i="5"/>
  <c r="G25" i="5" s="1"/>
  <c r="B11" i="4"/>
  <c r="B21" i="4" s="1"/>
  <c r="H5" i="4" s="1"/>
  <c r="B46" i="6" l="1"/>
  <c r="H38" i="6" l="1"/>
  <c r="G89" i="6"/>
</calcChain>
</file>

<file path=xl/sharedStrings.xml><?xml version="1.0" encoding="utf-8"?>
<sst xmlns="http://schemas.openxmlformats.org/spreadsheetml/2006/main" count="542" uniqueCount="357">
  <si>
    <t>Budget</t>
  </si>
  <si>
    <t>Salary:</t>
  </si>
  <si>
    <t>Income:</t>
  </si>
  <si>
    <t>Medical:</t>
  </si>
  <si>
    <t>Dental:</t>
  </si>
  <si>
    <t>Retirement:</t>
  </si>
  <si>
    <t>Net Income:</t>
  </si>
  <si>
    <t>Expenses:</t>
  </si>
  <si>
    <t>Taxes(22%):</t>
  </si>
  <si>
    <t>Rent:</t>
  </si>
  <si>
    <t>Food:</t>
  </si>
  <si>
    <t>Car/Transportation:</t>
  </si>
  <si>
    <t>Travel:</t>
  </si>
  <si>
    <t>Apt. Items:</t>
  </si>
  <si>
    <t>Pet:</t>
  </si>
  <si>
    <t>Gifts:</t>
  </si>
  <si>
    <t>Savings:</t>
  </si>
  <si>
    <t>Loans:</t>
  </si>
  <si>
    <t>Total Expenses:</t>
  </si>
  <si>
    <t>Net Savings:</t>
  </si>
  <si>
    <t>NCAA T-Shirt Vendor</t>
  </si>
  <si>
    <t>Givens:</t>
  </si>
  <si>
    <t>Costs:</t>
  </si>
  <si>
    <t>Fixed:</t>
  </si>
  <si>
    <t>Variable:</t>
  </si>
  <si>
    <t>per shirt</t>
  </si>
  <si>
    <t>Number of Shirts Ordered:</t>
  </si>
  <si>
    <t>Total Cost:</t>
  </si>
  <si>
    <t>Revenue:</t>
  </si>
  <si>
    <t>Full Price:</t>
  </si>
  <si>
    <t>Reduced Price:</t>
  </si>
  <si>
    <t>Number of Shirts Sold (FP):</t>
  </si>
  <si>
    <t>Number of Shirts Sold (Reduced):</t>
  </si>
  <si>
    <t>Total Revenue:</t>
  </si>
  <si>
    <t>Total Profit:</t>
  </si>
  <si>
    <t>Demand:</t>
  </si>
  <si>
    <t>Woodworks Bookshelf Co.</t>
  </si>
  <si>
    <t xml:space="preserve">Cherry </t>
  </si>
  <si>
    <t>Oak</t>
  </si>
  <si>
    <t>Unity Cost:</t>
  </si>
  <si>
    <t>Material Cost:</t>
  </si>
  <si>
    <t>Board Feet :</t>
  </si>
  <si>
    <t>Labor Rate:</t>
  </si>
  <si>
    <t>Labor Req'd:</t>
  </si>
  <si>
    <t xml:space="preserve">Labor Cost: </t>
  </si>
  <si>
    <t>Cost Increases:</t>
  </si>
  <si>
    <t xml:space="preserve">Year </t>
  </si>
  <si>
    <t xml:space="preserve">Oak </t>
  </si>
  <si>
    <t>Labor</t>
  </si>
  <si>
    <t xml:space="preserve">Total Cherry </t>
  </si>
  <si>
    <t>Total Oak</t>
  </si>
  <si>
    <t xml:space="preserve">The Quality Sweater Company </t>
  </si>
  <si>
    <t>Inputs:</t>
  </si>
  <si>
    <t>Printing:</t>
  </si>
  <si>
    <t>Variable</t>
  </si>
  <si>
    <t>per catalog</t>
  </si>
  <si>
    <t>Mailing:</t>
  </si>
  <si>
    <t>Reply envelopes:</t>
  </si>
  <si>
    <t>per order</t>
  </si>
  <si>
    <t>Labor &amp; Materials:</t>
  </si>
  <si>
    <t>Catalogs Ordered:</t>
  </si>
  <si>
    <t>Average Customer Order:</t>
  </si>
  <si>
    <t xml:space="preserve">Response Rate: </t>
  </si>
  <si>
    <t>Total Orders:</t>
  </si>
  <si>
    <t>Total Costs:</t>
  </si>
  <si>
    <t>a) Data Table</t>
  </si>
  <si>
    <t>Response Rate:</t>
  </si>
  <si>
    <t>Profit:</t>
  </si>
  <si>
    <t>&lt;-- break even value</t>
  </si>
  <si>
    <t>BN Bookstore</t>
  </si>
  <si>
    <t>Regular Price:</t>
  </si>
  <si>
    <t>Ordered</t>
  </si>
  <si>
    <t xml:space="preserve">Order: </t>
  </si>
  <si>
    <t>at least</t>
  </si>
  <si>
    <t>Unit Cost</t>
  </si>
  <si>
    <t>Demand</t>
  </si>
  <si>
    <t>(500-4500)</t>
  </si>
  <si>
    <t xml:space="preserve">Surplus: </t>
  </si>
  <si>
    <t>Way #2:</t>
  </si>
  <si>
    <t>Sale Price:</t>
  </si>
  <si>
    <t>Cost:</t>
  </si>
  <si>
    <t>Order:</t>
  </si>
  <si>
    <t>Month</t>
  </si>
  <si>
    <t xml:space="preserve">Price </t>
  </si>
  <si>
    <t>Demand (00s)</t>
  </si>
  <si>
    <t>Intercept (b):</t>
  </si>
  <si>
    <t>Slope(m):</t>
  </si>
  <si>
    <t>Power:  y = ax^b</t>
  </si>
  <si>
    <t>Constant a:</t>
  </si>
  <si>
    <t>Exponent b:</t>
  </si>
  <si>
    <t>Exponential: y = ae^(bx)</t>
  </si>
  <si>
    <t>Constant (a):</t>
  </si>
  <si>
    <t>Exponent(b):</t>
  </si>
  <si>
    <t>Prediction Based on Models</t>
  </si>
  <si>
    <t>Linear</t>
  </si>
  <si>
    <t>Power</t>
  </si>
  <si>
    <t>Exponential</t>
  </si>
  <si>
    <t>Linear: y = mx + b</t>
  </si>
  <si>
    <t>Absolute Percent Error</t>
  </si>
  <si>
    <t>Average:</t>
  </si>
  <si>
    <t>&lt;-- Use the model with the smallest error</t>
  </si>
  <si>
    <t>Model the Business:</t>
  </si>
  <si>
    <t>Unit Cost:</t>
  </si>
  <si>
    <t>per set of clubs</t>
  </si>
  <si>
    <t>Sale Price</t>
  </si>
  <si>
    <t>&lt;-- multiple of 10</t>
  </si>
  <si>
    <t>&lt;-- from power model</t>
  </si>
  <si>
    <t>Actual Demand:</t>
  </si>
  <si>
    <t>Demand(00):</t>
  </si>
  <si>
    <t>Price</t>
  </si>
  <si>
    <t>Profit</t>
  </si>
  <si>
    <t>a. We would sell at $530 for a profit of $1,042,213</t>
  </si>
  <si>
    <t>Development Cost</t>
  </si>
  <si>
    <t>Gopher Drugs</t>
  </si>
  <si>
    <t xml:space="preserve">Lifetime: </t>
  </si>
  <si>
    <t>Year 1 margin</t>
  </si>
  <si>
    <t>millions</t>
  </si>
  <si>
    <t>years</t>
  </si>
  <si>
    <t xml:space="preserve">Inc through year: </t>
  </si>
  <si>
    <t>Rate of increase</t>
  </si>
  <si>
    <t>Rate of decrease</t>
  </si>
  <si>
    <t>Discount Rate</t>
  </si>
  <si>
    <t>Cash Flows:</t>
  </si>
  <si>
    <t>End of Year</t>
  </si>
  <si>
    <t>Gross Margine($M)</t>
  </si>
  <si>
    <t>(Net) Present Value:</t>
  </si>
  <si>
    <t>Net Present Value:</t>
  </si>
  <si>
    <t>million</t>
  </si>
  <si>
    <t>Variables:</t>
  </si>
  <si>
    <t>No. of Radio Ads</t>
  </si>
  <si>
    <t>No. of TV Ads</t>
  </si>
  <si>
    <t>&lt;-- dummy numbers</t>
  </si>
  <si>
    <t>Constraint Table:</t>
  </si>
  <si>
    <t>Objective: (max)</t>
  </si>
  <si>
    <t>Budget:</t>
  </si>
  <si>
    <t>LHS</t>
  </si>
  <si>
    <t>Sign</t>
  </si>
  <si>
    <t>RHS</t>
  </si>
  <si>
    <t>(formula)</t>
  </si>
  <si>
    <t>&lt;=</t>
  </si>
  <si>
    <t>&lt;-- coeff for objects</t>
  </si>
  <si>
    <t>No. of People Reached:</t>
  </si>
  <si>
    <t>at least 10 Radio</t>
  </si>
  <si>
    <t>at least 10 TV</t>
  </si>
  <si>
    <t>&gt;=</t>
  </si>
  <si>
    <t>R &gt;= T</t>
  </si>
  <si>
    <t>(LHS formula)</t>
  </si>
  <si>
    <t>Summary Sentence:</t>
  </si>
  <si>
    <t>Purchase 175 Radio ads, 10 TV ads, to reach a maximum of 595,000 people.</t>
  </si>
  <si>
    <t>Variables?</t>
  </si>
  <si>
    <t>Constraints:</t>
  </si>
  <si>
    <t>Objective? (max/min)</t>
  </si>
  <si>
    <t>No. Basics</t>
  </si>
  <si>
    <t>No. of XPs</t>
  </si>
  <si>
    <t>&lt;-- enter dummy numbers</t>
  </si>
  <si>
    <t>at most 600 Basics</t>
  </si>
  <si>
    <t>at most 1200 XPs</t>
  </si>
  <si>
    <t>(LHS Formula)</t>
  </si>
  <si>
    <t>Objective: (Max)</t>
  </si>
  <si>
    <t>Total:</t>
  </si>
  <si>
    <t>Parts:</t>
  </si>
  <si>
    <t>Assembly Hours</t>
  </si>
  <si>
    <t>Testing Hours</t>
  </si>
  <si>
    <t>Labor/Testing:</t>
  </si>
  <si>
    <t>Labor/Assembly:</t>
  </si>
  <si>
    <t>for assembly</t>
  </si>
  <si>
    <t>labor</t>
  </si>
  <si>
    <t>Summary:</t>
  </si>
  <si>
    <t>Product 560 Basic computers, 1200 XP computers for max. net profit of $199,600</t>
  </si>
  <si>
    <t>Investment Allocation</t>
  </si>
  <si>
    <t>Investment</t>
  </si>
  <si>
    <t>Rate of return(%)</t>
  </si>
  <si>
    <t>L.A. Municipal Bond</t>
  </si>
  <si>
    <t>Thompson Electronics, Inc.</t>
  </si>
  <si>
    <t>United Aerospace Corp.</t>
  </si>
  <si>
    <t>Palmer Technologies</t>
  </si>
  <si>
    <t>HDN Stock (high risk)</t>
  </si>
  <si>
    <t>Objective:(max)</t>
  </si>
  <si>
    <t>X1</t>
  </si>
  <si>
    <t xml:space="preserve">X2 </t>
  </si>
  <si>
    <t>X3</t>
  </si>
  <si>
    <t>X4</t>
  </si>
  <si>
    <t>X5</t>
  </si>
  <si>
    <t>X2</t>
  </si>
  <si>
    <t>Municipal 20%</t>
  </si>
  <si>
    <t>40% in tech</t>
  </si>
  <si>
    <t>no more 50% in high risk</t>
  </si>
  <si>
    <t>Actual Return:</t>
  </si>
  <si>
    <t>X5 &lt;= 50%*X1</t>
  </si>
  <si>
    <t>X5 - 50%X1 &lt;= 0</t>
  </si>
  <si>
    <t>Busing Problem</t>
  </si>
  <si>
    <t xml:space="preserve">Sector </t>
  </si>
  <si>
    <t>Number of Students</t>
  </si>
  <si>
    <t>Distance (Miles) From Sector To School</t>
  </si>
  <si>
    <t>Kyoko HS     (in Sector B)</t>
  </si>
  <si>
    <t>Devon HS        (in Sector C)</t>
  </si>
  <si>
    <t>Manny HS (in Sector E)</t>
  </si>
  <si>
    <t>A</t>
  </si>
  <si>
    <t>B</t>
  </si>
  <si>
    <t>C</t>
  </si>
  <si>
    <t>E</t>
  </si>
  <si>
    <t>D</t>
  </si>
  <si>
    <t>Objective(min):</t>
  </si>
  <si>
    <t>student bus miles:</t>
  </si>
  <si>
    <t>AB</t>
  </si>
  <si>
    <t>AC</t>
  </si>
  <si>
    <t>AE</t>
  </si>
  <si>
    <t>BB</t>
  </si>
  <si>
    <t>BC</t>
  </si>
  <si>
    <t>BE</t>
  </si>
  <si>
    <t>CB</t>
  </si>
  <si>
    <t>CC</t>
  </si>
  <si>
    <t>CE</t>
  </si>
  <si>
    <t>DB</t>
  </si>
  <si>
    <t>DC</t>
  </si>
  <si>
    <t>DE</t>
  </si>
  <si>
    <t>EB</t>
  </si>
  <si>
    <t>EC</t>
  </si>
  <si>
    <t>EE</t>
  </si>
  <si>
    <t>&lt;-- dummy number</t>
  </si>
  <si>
    <t>&lt;-- miles travelled</t>
  </si>
  <si>
    <t>900 in school B</t>
  </si>
  <si>
    <t>900 in school C</t>
  </si>
  <si>
    <t>900 in school E</t>
  </si>
  <si>
    <t>700 in A</t>
  </si>
  <si>
    <t>500 in B</t>
  </si>
  <si>
    <t>100 in C</t>
  </si>
  <si>
    <t>800 in D</t>
  </si>
  <si>
    <t xml:space="preserve">400 in E </t>
  </si>
  <si>
    <t>=</t>
  </si>
  <si>
    <t>Transportation Example</t>
  </si>
  <si>
    <t>Data Table:</t>
  </si>
  <si>
    <t>Des Moine</t>
  </si>
  <si>
    <t>Evanston</t>
  </si>
  <si>
    <t>Ft Lauderdale</t>
  </si>
  <si>
    <t>Albany</t>
  </si>
  <si>
    <t xml:space="preserve">Boston </t>
  </si>
  <si>
    <t>Cleveland</t>
  </si>
  <si>
    <t>Factories in Des Moines, Evanston, Ft Lauderdale</t>
  </si>
  <si>
    <t>Stores in : Albany, Boston, Cleveland</t>
  </si>
  <si>
    <t>Shipping Costs:</t>
  </si>
  <si>
    <t>Destinations</t>
  </si>
  <si>
    <t>Sources</t>
  </si>
  <si>
    <t>Output:</t>
  </si>
  <si>
    <t>Objective: (min)</t>
  </si>
  <si>
    <t>Ship 100 units from D to A;  200 units fro E to B, 100 units from E to C; 200 units from Ft to A and 100 units from Ft to C</t>
  </si>
  <si>
    <t>Names</t>
  </si>
  <si>
    <t>Omaha</t>
  </si>
  <si>
    <t>Miami</t>
  </si>
  <si>
    <t>Dallas</t>
  </si>
  <si>
    <t>Jones</t>
  </si>
  <si>
    <t>Smith</t>
  </si>
  <si>
    <t>Wilson</t>
  </si>
  <si>
    <t>Assingment Problem Template</t>
  </si>
  <si>
    <t>Cost Table (Given):</t>
  </si>
  <si>
    <t>Relocation:</t>
  </si>
  <si>
    <t>NY</t>
  </si>
  <si>
    <t>Assignment Table</t>
  </si>
  <si>
    <t>Total</t>
  </si>
  <si>
    <t>"Each candidate gets assigned an office"</t>
  </si>
  <si>
    <t>Objective :(min)</t>
  </si>
  <si>
    <t>Relocation Cost:</t>
  </si>
  <si>
    <t xml:space="preserve">Summary: </t>
  </si>
  <si>
    <t>Send Jones to Miami, Smith to New York and Wilson to Omaha for a total relocation cost of $2400</t>
  </si>
  <si>
    <t>Distance (mi)</t>
  </si>
  <si>
    <t>To:</t>
  </si>
  <si>
    <t>From:</t>
  </si>
  <si>
    <t>Seattle</t>
  </si>
  <si>
    <t>Arlington</t>
  </si>
  <si>
    <t>Oakland</t>
  </si>
  <si>
    <t>Baltimore</t>
  </si>
  <si>
    <t xml:space="preserve">Kansas City </t>
  </si>
  <si>
    <t>Chicago</t>
  </si>
  <si>
    <t>Ditroit</t>
  </si>
  <si>
    <t>Toronto</t>
  </si>
  <si>
    <t>x</t>
  </si>
  <si>
    <t>Assignments:</t>
  </si>
  <si>
    <t>Totals:</t>
  </si>
  <si>
    <t>Objective: min</t>
  </si>
  <si>
    <t>Integer Programming Example</t>
  </si>
  <si>
    <t xml:space="preserve">Peak </t>
  </si>
  <si>
    <t>Off Peak</t>
  </si>
  <si>
    <t>&lt;-- dummy variables</t>
  </si>
  <si>
    <t>&lt;-- objective function here</t>
  </si>
  <si>
    <t>objective: (max)</t>
  </si>
  <si>
    <t>People Reached:</t>
  </si>
  <si>
    <t>No more than 6 OP</t>
  </si>
  <si>
    <t>Atleast 2 Peak</t>
  </si>
  <si>
    <t xml:space="preserve">Recommend 2 peak ads and 4.25 off peak ads    </t>
  </si>
  <si>
    <t>&lt;-- PROBLEM</t>
  </si>
  <si>
    <t>Reach: 38075</t>
  </si>
  <si>
    <t>Warning: DO NOT ROUND THE ANSWER</t>
  </si>
  <si>
    <t>If 2 Peak, 4 Off Peak --&gt; 36,800 people reached</t>
  </si>
  <si>
    <t>Add integer Constraints to Solver!</t>
  </si>
  <si>
    <t xml:space="preserve">Correct Answer: </t>
  </si>
  <si>
    <t>Buy 4 peak and 1 off peak to reach the maximum audience of 37900</t>
  </si>
  <si>
    <t xml:space="preserve">Bean </t>
  </si>
  <si>
    <t>Unit per 20 lb bag</t>
  </si>
  <si>
    <t>Unit per lb</t>
  </si>
  <si>
    <t>Amount available(lbs)</t>
  </si>
  <si>
    <t>Mixed Integer Example: Bolsa de Café</t>
  </si>
  <si>
    <t>Variables</t>
  </si>
  <si>
    <t>No. of 20lb bags</t>
  </si>
  <si>
    <t>lbs of grinded beans</t>
  </si>
  <si>
    <t>Constraints :</t>
  </si>
  <si>
    <t>No. of 20lb bags must be an integer</t>
  </si>
  <si>
    <t>Recommed producing 44 20lb bags and 20lb of grinded bean for a max profit of $3770.00</t>
  </si>
  <si>
    <t>Non-Linear Variance</t>
  </si>
  <si>
    <t>X</t>
  </si>
  <si>
    <t>Y</t>
  </si>
  <si>
    <t>Constraint:</t>
  </si>
  <si>
    <t>Variance = risk</t>
  </si>
  <si>
    <t>Non-linear Vars:</t>
  </si>
  <si>
    <t>X^2</t>
  </si>
  <si>
    <t>XY</t>
  </si>
  <si>
    <t>Y^2</t>
  </si>
  <si>
    <t>Formulas:</t>
  </si>
  <si>
    <t>Variance:</t>
  </si>
  <si>
    <t>all funds invested:</t>
  </si>
  <si>
    <t>Exp. Return 9%</t>
  </si>
  <si>
    <t>Binary Investment Decision</t>
  </si>
  <si>
    <t>Expected Annual Return ($1000)</t>
  </si>
  <si>
    <t>Cost for Block of Shares (1000$)</t>
  </si>
  <si>
    <t>Trans-Texas Oil</t>
  </si>
  <si>
    <t>British Petroleum (BP)</t>
  </si>
  <si>
    <t>Dutch Shell</t>
  </si>
  <si>
    <t>Houston Drilling</t>
  </si>
  <si>
    <t>Texas Petroleum</t>
  </si>
  <si>
    <t>San Diego Oil</t>
  </si>
  <si>
    <t>California Petro.</t>
  </si>
  <si>
    <t>Binary = 0 or 1</t>
  </si>
  <si>
    <t>0 = no</t>
  </si>
  <si>
    <t>1 = yes</t>
  </si>
  <si>
    <t>X6</t>
  </si>
  <si>
    <t>X7</t>
  </si>
  <si>
    <t xml:space="preserve">Return </t>
  </si>
  <si>
    <t>(000s)</t>
  </si>
  <si>
    <t>Constraints</t>
  </si>
  <si>
    <t>Atleast 2 TX</t>
  </si>
  <si>
    <t xml:space="preserve">&gt;= </t>
  </si>
  <si>
    <t>no more than 1 foreign</t>
  </si>
  <si>
    <t xml:space="preserve">CA </t>
  </si>
  <si>
    <t>Purchase X3 through x7 for a maximum return of $360,000</t>
  </si>
  <si>
    <t>Motorcross Snowmobiles</t>
  </si>
  <si>
    <t>Hours</t>
  </si>
  <si>
    <t>X=XJ6</t>
  </si>
  <si>
    <t>Y=XJ8</t>
  </si>
  <si>
    <t>4-.1X</t>
  </si>
  <si>
    <t>5-.02Y</t>
  </si>
  <si>
    <t>Product 10 XJ6 and 15 XJ8 for a maximum revenue of $100,500</t>
  </si>
  <si>
    <t>Art Posters</t>
  </si>
  <si>
    <t>Large Posters</t>
  </si>
  <si>
    <t>Small Posters</t>
  </si>
  <si>
    <t>profit:</t>
  </si>
  <si>
    <t>up to 4 L posters</t>
  </si>
  <si>
    <t>up to 6 small posters</t>
  </si>
  <si>
    <t>up to 15 hours/week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</si>
</sst>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Red]\-&quot;$&quot;#,##0.00"/>
    <numFmt numFmtId="44" formatCode="_-&quot;$&quot;* #,##0.00_-;\-&quot;$&quot;* #,##0.00_-;_-&quot;$&quot;* &quot;-&quot;??_-;_-@_-"/>
    <numFmt numFmtId="164" formatCode="&quot;$&quot;#,##0"/>
    <numFmt numFmtId="165" formatCode="#,##0;[Red]#,##0"/>
    <numFmt numFmtId="166" formatCode="&quot;$&quot;#,##0.00"/>
    <numFmt numFmtId="167" formatCode="&quot;$&quot;#,##0.00;[Red]&quot;$&quot;#,##0.00"/>
    <numFmt numFmtId="168" formatCode="0.0"/>
    <numFmt numFmtId="169" formatCode="0.0%"/>
    <numFmt numFmtId="170" formatCode="&quot;$&quot;#,##0;[Red]&quot;$&quot;#,##0"/>
  </numFmts>
  <fonts count="17" x14ac:knownFonts="1">
    <font>
      <sz val="11"/>
      <color theme="1"/>
      <name val="Aptos Narrow"/>
      <family val="2"/>
      <scheme val="minor"/>
    </font>
    <font>
      <sz val="11"/>
      <color theme="1"/>
      <name val="Aptos Narrow"/>
      <family val="2"/>
      <scheme val="minor"/>
    </font>
    <font>
      <b/>
      <sz val="15"/>
      <color theme="3"/>
      <name val="Aptos Narrow"/>
      <family val="2"/>
      <scheme val="minor"/>
    </font>
    <font>
      <sz val="11"/>
      <color rgb="FF3F3F76"/>
      <name val="Aptos Narrow"/>
      <family val="2"/>
      <scheme val="minor"/>
    </font>
    <font>
      <b/>
      <sz val="11"/>
      <color theme="1"/>
      <name val="Aptos Narrow"/>
      <family val="2"/>
      <scheme val="minor"/>
    </font>
    <font>
      <b/>
      <sz val="14"/>
      <color rgb="FF3F3F76"/>
      <name val="Aptos Narrow"/>
      <family val="2"/>
      <scheme val="minor"/>
    </font>
    <font>
      <sz val="16"/>
      <color theme="1"/>
      <name val="Aptos Narrow"/>
      <family val="2"/>
      <scheme val="minor"/>
    </font>
    <font>
      <b/>
      <sz val="16"/>
      <color theme="1"/>
      <name val="Aptos Narrow"/>
      <family val="2"/>
      <scheme val="minor"/>
    </font>
    <font>
      <sz val="11"/>
      <color theme="0" tint="-4.9989318521683403E-2"/>
      <name val="Aptos Narrow"/>
      <family val="2"/>
      <scheme val="minor"/>
    </font>
    <font>
      <sz val="11"/>
      <color theme="2" tint="-9.9978637043366805E-2"/>
      <name val="Aptos Narrow"/>
      <family val="2"/>
      <scheme val="minor"/>
    </font>
    <font>
      <sz val="11"/>
      <color theme="3" tint="0.499984740745262"/>
      <name val="Aptos Narrow"/>
      <family val="2"/>
      <scheme val="minor"/>
    </font>
    <font>
      <b/>
      <sz val="11"/>
      <color theme="3" tint="0.499984740745262"/>
      <name val="Aptos Narrow"/>
      <family val="2"/>
      <scheme val="minor"/>
    </font>
    <font>
      <sz val="11"/>
      <name val="Aptos Narrow"/>
      <family val="2"/>
      <scheme val="minor"/>
    </font>
    <font>
      <sz val="11"/>
      <color theme="1" tint="0.34998626667073579"/>
      <name val="Aptos Narrow"/>
      <family val="2"/>
      <scheme val="minor"/>
    </font>
    <font>
      <sz val="11"/>
      <color rgb="FF000000"/>
      <name val="Aptos Narrow"/>
      <family val="2"/>
      <scheme val="minor"/>
    </font>
    <font>
      <b/>
      <sz val="18"/>
      <color theme="3"/>
      <name val="Aptos Narrow"/>
      <family val="2"/>
      <scheme val="minor"/>
    </font>
    <font>
      <b/>
      <sz val="11"/>
      <color rgb="FFFF0000"/>
      <name val="Aptos Narrow"/>
      <family val="2"/>
      <scheme val="minor"/>
    </font>
  </fonts>
  <fills count="11">
    <fill>
      <patternFill patternType="none"/>
    </fill>
    <fill>
      <patternFill patternType="gray125"/>
    </fill>
    <fill>
      <patternFill patternType="solid">
        <fgColor rgb="FFFFCC99"/>
      </patternFill>
    </fill>
    <fill>
      <patternFill patternType="solid">
        <fgColor theme="5" tint="0.79998168889431442"/>
        <bgColor indexed="65"/>
      </patternFill>
    </fill>
    <fill>
      <patternFill patternType="solid">
        <fgColor theme="9" tint="0.59999389629810485"/>
        <bgColor indexed="64"/>
      </patternFill>
    </fill>
    <fill>
      <patternFill patternType="solid">
        <fgColor theme="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2" tint="-9.9978637043366805E-2"/>
        <bgColor indexed="64"/>
      </patternFill>
    </fill>
  </fills>
  <borders count="2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thin">
        <color theme="1"/>
      </left>
      <right style="thin">
        <color theme="1"/>
      </right>
      <top style="thin">
        <color theme="1"/>
      </top>
      <bottom style="thin">
        <color theme="1"/>
      </bottom>
      <diagonal/>
    </border>
    <border>
      <left style="thin">
        <color theme="1" tint="4.9989318521683403E-2"/>
      </left>
      <right style="thin">
        <color theme="1" tint="4.9989318521683403E-2"/>
      </right>
      <top style="medium">
        <color theme="1"/>
      </top>
      <bottom style="thin">
        <color theme="1" tint="4.9989318521683403E-2"/>
      </bottom>
      <diagonal/>
    </border>
    <border>
      <left style="thin">
        <color theme="1" tint="4.9989318521683403E-2"/>
      </left>
      <right style="thin">
        <color theme="1" tint="4.9989318521683403E-2"/>
      </right>
      <top style="thin">
        <color theme="1" tint="4.9989318521683403E-2"/>
      </top>
      <bottom style="medium">
        <color theme="1"/>
      </bottom>
      <diagonal/>
    </border>
    <border>
      <left/>
      <right style="thin">
        <color theme="1" tint="4.9989318521683403E-2"/>
      </right>
      <top style="medium">
        <color theme="1"/>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medium">
        <color theme="1"/>
      </bottom>
      <diagonal/>
    </border>
    <border>
      <left style="thin">
        <color theme="1"/>
      </left>
      <right style="thin">
        <color theme="1"/>
      </right>
      <top style="thin">
        <color theme="1"/>
      </top>
      <bottom style="thin">
        <color theme="3" tint="0.749992370372631"/>
      </bottom>
      <diagonal/>
    </border>
    <border>
      <left style="thin">
        <color theme="1"/>
      </left>
      <right style="thin">
        <color theme="1"/>
      </right>
      <top style="thin">
        <color theme="3" tint="0.749992370372631"/>
      </top>
      <bottom style="thin">
        <color theme="3" tint="0.749992370372631"/>
      </bottom>
      <diagonal/>
    </border>
    <border>
      <left style="thin">
        <color theme="1"/>
      </left>
      <right style="thin">
        <color theme="1"/>
      </right>
      <top style="thin">
        <color theme="3" tint="0.749992370372631"/>
      </top>
      <bottom style="thin">
        <color theme="1"/>
      </bottom>
      <diagonal/>
    </border>
    <border>
      <left style="thin">
        <color theme="1" tint="4.9989318521683403E-2"/>
      </left>
      <right/>
      <top style="medium">
        <color theme="1"/>
      </top>
      <bottom style="thin">
        <color theme="1" tint="4.9989318521683403E-2"/>
      </bottom>
      <diagonal/>
    </border>
    <border>
      <left style="thin">
        <color theme="1" tint="4.9989318521683403E-2"/>
      </left>
      <right/>
      <top style="thin">
        <color theme="1" tint="4.9989318521683403E-2"/>
      </top>
      <bottom style="thin">
        <color theme="1" tint="4.9989318521683403E-2"/>
      </bottom>
      <diagonal/>
    </border>
    <border>
      <left style="thin">
        <color theme="1" tint="4.9989318521683403E-2"/>
      </left>
      <right/>
      <top style="thin">
        <color theme="1" tint="4.9989318521683403E-2"/>
      </top>
      <bottom style="medium">
        <color theme="1"/>
      </bottom>
      <diagonal/>
    </border>
    <border>
      <left style="thin">
        <color theme="1"/>
      </left>
      <right style="thin">
        <color theme="1"/>
      </right>
      <top style="thin">
        <color theme="1"/>
      </top>
      <bottom style="thin">
        <color theme="3" tint="0.499984740745262"/>
      </bottom>
      <diagonal/>
    </border>
    <border>
      <left style="thin">
        <color theme="1"/>
      </left>
      <right style="thin">
        <color theme="1"/>
      </right>
      <top style="thin">
        <color theme="3" tint="0.499984740745262"/>
      </top>
      <bottom style="thin">
        <color theme="3" tint="0.499984740745262"/>
      </bottom>
      <diagonal/>
    </border>
    <border>
      <left style="thin">
        <color theme="1"/>
      </left>
      <right style="thin">
        <color theme="1"/>
      </right>
      <top style="thin">
        <color theme="3" tint="0.499984740745262"/>
      </top>
      <bottom style="thin">
        <color theme="1"/>
      </bottom>
      <diagonal/>
    </border>
    <border>
      <left style="thin">
        <color theme="1"/>
      </left>
      <right style="thin">
        <color theme="1"/>
      </right>
      <top/>
      <bottom/>
      <diagonal/>
    </border>
    <border>
      <left/>
      <right style="thin">
        <color indexed="64"/>
      </right>
      <top/>
      <bottom/>
      <diagonal/>
    </border>
  </borders>
  <cellStyleXfs count="6">
    <xf numFmtId="0" fontId="0" fillId="0" borderId="0"/>
    <xf numFmtId="44"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xf numFmtId="9" fontId="1" fillId="0" borderId="0" applyFont="0" applyFill="0" applyBorder="0" applyAlignment="0" applyProtection="0"/>
  </cellStyleXfs>
  <cellXfs count="153">
    <xf numFmtId="0" fontId="0" fillId="0" borderId="0" xfId="0"/>
    <xf numFmtId="44" fontId="0" fillId="0" borderId="0" xfId="1" applyFont="1"/>
    <xf numFmtId="164" fontId="0" fillId="0" borderId="0" xfId="1" applyNumberFormat="1" applyFont="1"/>
    <xf numFmtId="0" fontId="4" fillId="0" borderId="0" xfId="0" applyFont="1"/>
    <xf numFmtId="0" fontId="0" fillId="0" borderId="0" xfId="0" applyAlignment="1">
      <alignment horizontal="center"/>
    </xf>
    <xf numFmtId="0" fontId="4" fillId="0" borderId="0" xfId="0" applyFont="1" applyAlignment="1">
      <alignment horizontal="center"/>
    </xf>
    <xf numFmtId="0" fontId="1" fillId="3" borderId="0" xfId="4"/>
    <xf numFmtId="164" fontId="1" fillId="3" borderId="0" xfId="4" applyNumberFormat="1"/>
    <xf numFmtId="165" fontId="1" fillId="3" borderId="0" xfId="4" applyNumberFormat="1"/>
    <xf numFmtId="0" fontId="4" fillId="3" borderId="0" xfId="4" applyFont="1"/>
    <xf numFmtId="0" fontId="4" fillId="3" borderId="0" xfId="4" applyFont="1" applyAlignment="1">
      <alignment horizontal="left"/>
    </xf>
    <xf numFmtId="0" fontId="4" fillId="3" borderId="0" xfId="4" applyFont="1" applyAlignment="1">
      <alignment horizontal="left" vertical="top"/>
    </xf>
    <xf numFmtId="1" fontId="0" fillId="0" borderId="0" xfId="1" applyNumberFormat="1" applyFont="1"/>
    <xf numFmtId="0" fontId="6" fillId="0" borderId="0" xfId="0" applyFont="1" applyAlignment="1">
      <alignment horizontal="left"/>
    </xf>
    <xf numFmtId="0" fontId="1" fillId="3" borderId="0" xfId="4" applyAlignment="1">
      <alignment horizontal="left" indent="1"/>
    </xf>
    <xf numFmtId="0" fontId="0" fillId="0" borderId="0" xfId="0" applyAlignment="1">
      <alignment horizontal="left" vertical="top" indent="1"/>
    </xf>
    <xf numFmtId="0" fontId="0" fillId="0" borderId="0" xfId="0" applyAlignment="1">
      <alignment horizontal="left" vertical="center" indent="1"/>
    </xf>
    <xf numFmtId="0" fontId="0" fillId="4" borderId="0" xfId="1" applyNumberFormat="1" applyFont="1" applyFill="1"/>
    <xf numFmtId="10" fontId="0" fillId="0" borderId="0" xfId="0" applyNumberFormat="1"/>
    <xf numFmtId="166" fontId="0" fillId="0" borderId="0" xfId="0" applyNumberFormat="1"/>
    <xf numFmtId="0" fontId="0" fillId="0" borderId="3" xfId="0" applyBorder="1"/>
    <xf numFmtId="0" fontId="4" fillId="0" borderId="3" xfId="0" applyFont="1" applyBorder="1" applyAlignment="1">
      <alignment horizontal="center"/>
    </xf>
    <xf numFmtId="0" fontId="0" fillId="0" borderId="3" xfId="0" applyBorder="1" applyAlignment="1">
      <alignment horizontal="center"/>
    </xf>
    <xf numFmtId="10" fontId="0" fillId="4" borderId="0" xfId="0" applyNumberFormat="1" applyFill="1"/>
    <xf numFmtId="166" fontId="0" fillId="0" borderId="3" xfId="0" applyNumberFormat="1" applyBorder="1" applyAlignment="1">
      <alignment horizontal="center"/>
    </xf>
    <xf numFmtId="166" fontId="0" fillId="0" borderId="0" xfId="0" applyNumberFormat="1" applyAlignment="1">
      <alignment horizontal="center"/>
    </xf>
    <xf numFmtId="10" fontId="0" fillId="4" borderId="0" xfId="0" applyNumberFormat="1" applyFill="1" applyAlignment="1">
      <alignment horizontal="center"/>
    </xf>
    <xf numFmtId="0" fontId="0" fillId="0" borderId="0" xfId="0" applyAlignment="1">
      <alignment horizontal="left" indent="1"/>
    </xf>
    <xf numFmtId="167" fontId="0" fillId="0" borderId="0" xfId="0" applyNumberFormat="1"/>
    <xf numFmtId="9" fontId="0" fillId="0" borderId="0" xfId="0" applyNumberFormat="1"/>
    <xf numFmtId="167" fontId="0" fillId="0" borderId="0" xfId="1" applyNumberFormat="1" applyFont="1"/>
    <xf numFmtId="167" fontId="8" fillId="5" borderId="0" xfId="1" applyNumberFormat="1" applyFont="1" applyFill="1"/>
    <xf numFmtId="1" fontId="0" fillId="0" borderId="0" xfId="0" applyNumberFormat="1"/>
    <xf numFmtId="44" fontId="0" fillId="0" borderId="3" xfId="1" applyFont="1" applyBorder="1"/>
    <xf numFmtId="0" fontId="0" fillId="6" borderId="0" xfId="0" applyFill="1"/>
    <xf numFmtId="44" fontId="0" fillId="0" borderId="0" xfId="0" applyNumberFormat="1"/>
    <xf numFmtId="0" fontId="7" fillId="0" borderId="0" xfId="0" applyFont="1"/>
    <xf numFmtId="0" fontId="2" fillId="0" borderId="1" xfId="2" applyAlignment="1">
      <alignment horizontal="left"/>
    </xf>
    <xf numFmtId="0" fontId="9" fillId="0" borderId="3" xfId="0" applyFont="1" applyBorder="1"/>
    <xf numFmtId="167" fontId="0" fillId="0" borderId="3" xfId="1" applyNumberFormat="1" applyFont="1" applyBorder="1"/>
    <xf numFmtId="0" fontId="0" fillId="0" borderId="3" xfId="0" applyBorder="1" applyAlignment="1">
      <alignment horizontal="right"/>
    </xf>
    <xf numFmtId="2" fontId="0" fillId="0" borderId="0" xfId="0" applyNumberFormat="1"/>
    <xf numFmtId="168" fontId="0" fillId="0" borderId="10" xfId="0" applyNumberFormat="1" applyBorder="1"/>
    <xf numFmtId="0" fontId="10" fillId="0" borderId="11" xfId="0" applyFont="1" applyBorder="1" applyAlignment="1">
      <alignment horizontal="right"/>
    </xf>
    <xf numFmtId="168" fontId="0" fillId="0" borderId="14" xfId="0" applyNumberFormat="1" applyBorder="1"/>
    <xf numFmtId="169" fontId="0" fillId="0" borderId="0" xfId="5" applyNumberFormat="1" applyFont="1"/>
    <xf numFmtId="0" fontId="0" fillId="0" borderId="12" xfId="0" applyBorder="1"/>
    <xf numFmtId="9" fontId="0" fillId="0" borderId="12" xfId="5" applyFont="1" applyBorder="1"/>
    <xf numFmtId="169" fontId="0" fillId="0" borderId="12" xfId="5" applyNumberFormat="1" applyFont="1" applyBorder="1"/>
    <xf numFmtId="169" fontId="0" fillId="7" borderId="12" xfId="5" applyNumberFormat="1" applyFont="1" applyFill="1" applyBorder="1"/>
    <xf numFmtId="168" fontId="0" fillId="0" borderId="16" xfId="0" applyNumberFormat="1" applyBorder="1"/>
    <xf numFmtId="168" fontId="0" fillId="0" borderId="17" xfId="0" applyNumberFormat="1" applyBorder="1"/>
    <xf numFmtId="0" fontId="10" fillId="0" borderId="19" xfId="0" applyFont="1" applyBorder="1" applyAlignment="1">
      <alignment horizontal="right"/>
    </xf>
    <xf numFmtId="0" fontId="10" fillId="0" borderId="20" xfId="0" applyFont="1" applyBorder="1" applyAlignment="1">
      <alignment horizontal="right"/>
    </xf>
    <xf numFmtId="2" fontId="0" fillId="0" borderId="22" xfId="0" applyNumberFormat="1" applyBorder="1"/>
    <xf numFmtId="2" fontId="0" fillId="0" borderId="23" xfId="0" applyNumberFormat="1" applyBorder="1"/>
    <xf numFmtId="0" fontId="11" fillId="0" borderId="24" xfId="0" applyFont="1" applyBorder="1" applyAlignment="1">
      <alignment vertical="center"/>
    </xf>
    <xf numFmtId="0" fontId="10" fillId="0" borderId="25" xfId="0" applyFont="1" applyBorder="1" applyAlignment="1">
      <alignment horizontal="right"/>
    </xf>
    <xf numFmtId="0" fontId="10" fillId="0" borderId="26" xfId="0" applyFont="1" applyBorder="1" applyAlignment="1">
      <alignment horizontal="right"/>
    </xf>
    <xf numFmtId="0" fontId="4" fillId="0" borderId="15" xfId="0" applyFont="1" applyBorder="1"/>
    <xf numFmtId="0" fontId="4" fillId="0" borderId="13" xfId="0" applyFont="1" applyBorder="1"/>
    <xf numFmtId="0" fontId="4" fillId="0" borderId="21" xfId="0" applyFont="1" applyBorder="1"/>
    <xf numFmtId="0" fontId="4" fillId="0" borderId="12" xfId="0" applyFont="1" applyBorder="1"/>
    <xf numFmtId="0" fontId="11" fillId="0" borderId="18" xfId="0" applyFont="1" applyBorder="1" applyAlignment="1">
      <alignment vertical="center"/>
    </xf>
    <xf numFmtId="166" fontId="0" fillId="0" borderId="0" xfId="1" applyNumberFormat="1" applyFont="1"/>
    <xf numFmtId="164" fontId="0" fillId="0" borderId="0" xfId="0" applyNumberFormat="1"/>
    <xf numFmtId="164" fontId="9" fillId="0" borderId="0" xfId="0" applyNumberFormat="1" applyFont="1"/>
    <xf numFmtId="164" fontId="0" fillId="7" borderId="0" xfId="1" applyNumberFormat="1" applyFont="1" applyFill="1"/>
    <xf numFmtId="164" fontId="4" fillId="0" borderId="0" xfId="0" applyNumberFormat="1" applyFont="1"/>
    <xf numFmtId="164" fontId="0" fillId="8" borderId="0" xfId="0" applyNumberFormat="1" applyFill="1"/>
    <xf numFmtId="0" fontId="0" fillId="0" borderId="0" xfId="0" applyAlignment="1">
      <alignment vertical="center"/>
    </xf>
    <xf numFmtId="170" fontId="0" fillId="0" borderId="0" xfId="0" applyNumberFormat="1"/>
    <xf numFmtId="0" fontId="2" fillId="0" borderId="1" xfId="2"/>
    <xf numFmtId="0" fontId="2" fillId="0" borderId="0" xfId="2" applyBorder="1" applyAlignment="1"/>
    <xf numFmtId="0" fontId="2" fillId="0" borderId="1" xfId="2" applyAlignment="1"/>
    <xf numFmtId="9" fontId="0" fillId="0" borderId="12" xfId="0" applyNumberFormat="1" applyBorder="1"/>
    <xf numFmtId="2" fontId="0" fillId="0" borderId="12" xfId="0" applyNumberFormat="1" applyBorder="1"/>
    <xf numFmtId="8" fontId="0" fillId="0" borderId="0" xfId="0" applyNumberFormat="1"/>
    <xf numFmtId="166" fontId="0" fillId="0" borderId="12" xfId="0" applyNumberFormat="1" applyBorder="1"/>
    <xf numFmtId="0" fontId="0" fillId="7" borderId="0" xfId="0" applyFill="1" applyAlignment="1">
      <alignment horizontal="center"/>
    </xf>
    <xf numFmtId="0" fontId="0" fillId="0" borderId="12" xfId="0" applyBorder="1" applyAlignment="1">
      <alignment horizontal="center"/>
    </xf>
    <xf numFmtId="0" fontId="0" fillId="0" borderId="27" xfId="0" applyBorder="1"/>
    <xf numFmtId="0" fontId="12" fillId="0" borderId="0" xfId="0" applyFont="1"/>
    <xf numFmtId="1" fontId="12" fillId="9" borderId="0" xfId="0" applyNumberFormat="1" applyFont="1" applyFill="1" applyAlignment="1">
      <alignment horizontal="center"/>
    </xf>
    <xf numFmtId="0" fontId="0" fillId="9" borderId="0" xfId="0" applyFill="1"/>
    <xf numFmtId="164" fontId="0" fillId="9" borderId="0" xfId="0" applyNumberFormat="1" applyFill="1"/>
    <xf numFmtId="0" fontId="4" fillId="0" borderId="12" xfId="0" applyFont="1" applyBorder="1" applyAlignment="1">
      <alignment horizontal="left"/>
    </xf>
    <xf numFmtId="0" fontId="13" fillId="0" borderId="12" xfId="0" applyFont="1" applyBorder="1"/>
    <xf numFmtId="0" fontId="13" fillId="0" borderId="12" xfId="0" applyFont="1" applyBorder="1" applyAlignment="1">
      <alignment horizontal="center"/>
    </xf>
    <xf numFmtId="166" fontId="0" fillId="7" borderId="0" xfId="0" applyNumberFormat="1" applyFill="1"/>
    <xf numFmtId="0" fontId="12" fillId="0" borderId="12" xfId="0" applyFont="1" applyBorder="1"/>
    <xf numFmtId="0" fontId="12" fillId="0" borderId="12" xfId="0" applyFont="1" applyBorder="1" applyAlignment="1">
      <alignment vertical="center"/>
    </xf>
    <xf numFmtId="9" fontId="0" fillId="0" borderId="12" xfId="0" applyNumberFormat="1" applyBorder="1" applyAlignment="1">
      <alignment horizontal="center"/>
    </xf>
    <xf numFmtId="0" fontId="14" fillId="0" borderId="0" xfId="0" applyFont="1"/>
    <xf numFmtId="0" fontId="15" fillId="0" borderId="1" xfId="2" applyFont="1"/>
    <xf numFmtId="0" fontId="0" fillId="0" borderId="0" xfId="0" applyAlignment="1">
      <alignment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top" wrapText="1"/>
    </xf>
    <xf numFmtId="0" fontId="0" fillId="0" borderId="3" xfId="0" quotePrefix="1" applyBorder="1"/>
    <xf numFmtId="0" fontId="0" fillId="0" borderId="3" xfId="0" quotePrefix="1" applyBorder="1" applyAlignment="1">
      <alignment horizontal="center"/>
    </xf>
    <xf numFmtId="0" fontId="0" fillId="0" borderId="7" xfId="1" applyNumberFormat="1" applyFont="1" applyFill="1" applyBorder="1" applyAlignment="1">
      <alignment horizontal="center"/>
    </xf>
    <xf numFmtId="1" fontId="0" fillId="7" borderId="3" xfId="1" applyNumberFormat="1" applyFont="1" applyFill="1" applyBorder="1" applyAlignment="1">
      <alignment horizontal="center"/>
    </xf>
    <xf numFmtId="1" fontId="0" fillId="0" borderId="7" xfId="1" applyNumberFormat="1" applyFont="1" applyFill="1" applyBorder="1" applyAlignment="1">
      <alignment horizontal="center"/>
    </xf>
    <xf numFmtId="0" fontId="4" fillId="0" borderId="3" xfId="0" applyFont="1" applyBorder="1"/>
    <xf numFmtId="0" fontId="4" fillId="0" borderId="28" xfId="0" applyFont="1" applyBorder="1"/>
    <xf numFmtId="166" fontId="0" fillId="9" borderId="0" xfId="0" applyNumberFormat="1" applyFill="1"/>
    <xf numFmtId="164" fontId="0" fillId="0" borderId="3" xfId="1" applyNumberFormat="1" applyFont="1" applyBorder="1" applyAlignment="1">
      <alignment horizontal="center"/>
    </xf>
    <xf numFmtId="164" fontId="0" fillId="0" borderId="3" xfId="0" applyNumberFormat="1" applyBorder="1" applyAlignment="1">
      <alignment horizontal="center"/>
    </xf>
    <xf numFmtId="164" fontId="0" fillId="0" borderId="7" xfId="0" applyNumberFormat="1"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left" vertical="top"/>
    </xf>
    <xf numFmtId="1" fontId="0" fillId="4" borderId="3" xfId="0" applyNumberFormat="1" applyFill="1" applyBorder="1" applyAlignment="1">
      <alignment horizontal="center"/>
    </xf>
    <xf numFmtId="1"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center" vertical="top"/>
    </xf>
    <xf numFmtId="0" fontId="0" fillId="0" borderId="0" xfId="0" applyAlignment="1">
      <alignment horizontal="right"/>
    </xf>
    <xf numFmtId="0" fontId="0" fillId="4" borderId="3" xfId="0" applyFill="1" applyBorder="1" applyAlignment="1">
      <alignment horizontal="center"/>
    </xf>
    <xf numFmtId="0" fontId="0" fillId="0" borderId="7" xfId="0" applyBorder="1"/>
    <xf numFmtId="0" fontId="0" fillId="0" borderId="7" xfId="0" applyBorder="1" applyAlignment="1">
      <alignment horizontal="right"/>
    </xf>
    <xf numFmtId="0" fontId="0" fillId="4" borderId="0" xfId="0" applyFill="1"/>
    <xf numFmtId="0" fontId="0" fillId="10" borderId="0" xfId="0" applyFill="1"/>
    <xf numFmtId="0" fontId="16" fillId="0" borderId="0" xfId="0" applyFont="1"/>
    <xf numFmtId="0" fontId="0" fillId="0" borderId="3" xfId="0" applyBorder="1" applyAlignment="1">
      <alignment horizontal="center" vertical="center"/>
    </xf>
    <xf numFmtId="0" fontId="0" fillId="0" borderId="0" xfId="0" applyAlignment="1">
      <alignment horizontal="center" vertical="center"/>
    </xf>
    <xf numFmtId="1" fontId="0" fillId="4" borderId="0" xfId="0" applyNumberFormat="1" applyFill="1"/>
    <xf numFmtId="0" fontId="0" fillId="4" borderId="0" xfId="0" applyFill="1" applyAlignment="1">
      <alignment horizontal="center"/>
    </xf>
    <xf numFmtId="2" fontId="0" fillId="4" borderId="0" xfId="0" applyNumberFormat="1" applyFill="1" applyAlignment="1">
      <alignment horizontal="center"/>
    </xf>
    <xf numFmtId="166" fontId="0" fillId="0" borderId="0" xfId="1" applyNumberFormat="1" applyFont="1" applyAlignment="1">
      <alignment horizontal="center"/>
    </xf>
    <xf numFmtId="0" fontId="0" fillId="0" borderId="0" xfId="0" applyAlignment="1">
      <alignment horizontal="left" vertical="top"/>
    </xf>
    <xf numFmtId="0" fontId="0" fillId="0" borderId="3" xfId="0" applyBorder="1" applyAlignment="1">
      <alignment horizontal="left" vertical="top"/>
    </xf>
    <xf numFmtId="9" fontId="0" fillId="0" borderId="3" xfId="0" applyNumberFormat="1" applyBorder="1"/>
    <xf numFmtId="9" fontId="0" fillId="4" borderId="0" xfId="0" applyNumberFormat="1" applyFill="1" applyAlignment="1">
      <alignment horizontal="center"/>
    </xf>
    <xf numFmtId="9" fontId="0" fillId="0" borderId="3" xfId="5" applyFont="1" applyBorder="1"/>
    <xf numFmtId="0" fontId="4" fillId="0" borderId="3" xfId="0" applyFont="1" applyBorder="1" applyAlignment="1">
      <alignment horizontal="center" vertical="center"/>
    </xf>
    <xf numFmtId="0" fontId="0" fillId="9" borderId="0" xfId="0" applyFill="1" applyAlignment="1">
      <alignment horizontal="center"/>
    </xf>
    <xf numFmtId="166" fontId="0" fillId="10" borderId="0" xfId="0" applyNumberFormat="1" applyFill="1"/>
    <xf numFmtId="0" fontId="5" fillId="2" borderId="2" xfId="3" applyFont="1" applyAlignment="1">
      <alignment horizontal="center"/>
    </xf>
    <xf numFmtId="0" fontId="2" fillId="0" borderId="0" xfId="2" applyBorder="1" applyAlignment="1">
      <alignment horizontal="center"/>
    </xf>
    <xf numFmtId="0" fontId="0" fillId="0" borderId="4" xfId="0" applyBorder="1" applyAlignment="1">
      <alignment horizontal="center"/>
    </xf>
    <xf numFmtId="0" fontId="4" fillId="0" borderId="6" xfId="0" applyFont="1" applyBorder="1" applyAlignment="1">
      <alignment horizontal="center" vertical="center" textRotation="90"/>
    </xf>
    <xf numFmtId="0" fontId="0" fillId="0" borderId="7" xfId="0" applyBorder="1" applyAlignment="1">
      <alignment horizontal="center" vertical="center" textRotation="90"/>
    </xf>
    <xf numFmtId="0" fontId="0" fillId="0" borderId="5" xfId="0" applyBorder="1" applyAlignment="1">
      <alignment horizontal="center" vertical="center" textRotation="90"/>
    </xf>
    <xf numFmtId="0" fontId="11" fillId="0" borderId="11" xfId="0" applyFont="1" applyBorder="1" applyAlignment="1">
      <alignment horizontal="left" vertical="center"/>
    </xf>
    <xf numFmtId="0" fontId="4" fillId="0" borderId="8" xfId="0" applyFont="1" applyBorder="1" applyAlignment="1">
      <alignment horizontal="center"/>
    </xf>
    <xf numFmtId="0" fontId="4" fillId="0" borderId="9" xfId="0" applyFont="1" applyBorder="1" applyAlignment="1">
      <alignment horizontal="center"/>
    </xf>
    <xf numFmtId="0" fontId="0" fillId="0" borderId="0" xfId="0" applyAlignment="1">
      <alignment horizontal="center"/>
    </xf>
    <xf numFmtId="0" fontId="4" fillId="0" borderId="0" xfId="0" applyFont="1" applyAlignment="1">
      <alignment horizontal="center"/>
    </xf>
    <xf numFmtId="0" fontId="4" fillId="0" borderId="0" xfId="0" applyFont="1" applyAlignment="1">
      <alignment horizontal="right" vertical="center" textRotation="90"/>
    </xf>
    <xf numFmtId="0" fontId="4" fillId="0" borderId="3" xfId="0" applyFont="1" applyBorder="1" applyAlignment="1">
      <alignment horizontal="center"/>
    </xf>
    <xf numFmtId="0" fontId="4" fillId="0" borderId="0" xfId="0" applyFont="1" applyAlignment="1">
      <alignment horizontal="center" vertical="center" textRotation="90"/>
    </xf>
    <xf numFmtId="0" fontId="0" fillId="0" borderId="8" xfId="0" applyBorder="1" applyAlignment="1">
      <alignment horizontal="left"/>
    </xf>
    <xf numFmtId="0" fontId="0" fillId="0" borderId="9" xfId="0" applyBorder="1" applyAlignment="1">
      <alignment horizontal="left"/>
    </xf>
    <xf numFmtId="0" fontId="0" fillId="9" borderId="0" xfId="0" applyFill="1" applyAlignment="1">
      <alignment horizontal="center"/>
    </xf>
  </cellXfs>
  <cellStyles count="6">
    <cellStyle name="20% - Accent2" xfId="4" builtinId="34"/>
    <cellStyle name="Currency" xfId="1" builtinId="4"/>
    <cellStyle name="Heading 1" xfId="2" builtinId="16"/>
    <cellStyle name="Input" xfId="3" builtinId="20"/>
    <cellStyle name="Normal" xfId="0" builtinId="0"/>
    <cellStyle name="Percent" xfId="5" builtinId="5"/>
  </cellStyles>
  <dxfs count="12">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E78D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Woodworks Bookshelf</a:t>
            </a:r>
            <a:r>
              <a:rPr lang="en-CA" baseline="0"/>
              <a:t> Co. Cost Projection, 2020 - 2025</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'Woodworks Bookshelf Co.'!$E$17</c:f>
              <c:strCache>
                <c:ptCount val="1"/>
                <c:pt idx="0">
                  <c:v>Total Cherry </c:v>
                </c:pt>
              </c:strCache>
            </c:strRef>
          </c:tx>
          <c:spPr>
            <a:ln w="28575" cap="rnd">
              <a:solidFill>
                <a:schemeClr val="accent4"/>
              </a:solidFill>
              <a:round/>
            </a:ln>
            <a:effectLst/>
          </c:spPr>
          <c:marker>
            <c:symbol val="none"/>
          </c:marker>
          <c:cat>
            <c:numRef>
              <c:f>'Woodworks Bookshelf Co.'!$A$18:$A$23</c:f>
              <c:numCache>
                <c:formatCode>General</c:formatCode>
                <c:ptCount val="6"/>
                <c:pt idx="0">
                  <c:v>0</c:v>
                </c:pt>
                <c:pt idx="1">
                  <c:v>1</c:v>
                </c:pt>
                <c:pt idx="2">
                  <c:v>2</c:v>
                </c:pt>
                <c:pt idx="3">
                  <c:v>3</c:v>
                </c:pt>
                <c:pt idx="4">
                  <c:v>4</c:v>
                </c:pt>
                <c:pt idx="5">
                  <c:v>5</c:v>
                </c:pt>
              </c:numCache>
            </c:numRef>
          </c:cat>
          <c:val>
            <c:numRef>
              <c:f>'Woodworks Bookshelf Co.'!$E$18:$E$23</c:f>
              <c:numCache>
                <c:formatCode>"$"#,##0.00</c:formatCode>
                <c:ptCount val="6"/>
                <c:pt idx="0">
                  <c:v>461</c:v>
                </c:pt>
                <c:pt idx="1">
                  <c:v>469.4</c:v>
                </c:pt>
                <c:pt idx="2">
                  <c:v>477.96163999999999</c:v>
                </c:pt>
                <c:pt idx="3">
                  <c:v>486.68819995999996</c:v>
                </c:pt>
                <c:pt idx="4">
                  <c:v>495.58302956803993</c:v>
                </c:pt>
                <c:pt idx="5">
                  <c:v>504.64954977880791</c:v>
                </c:pt>
              </c:numCache>
            </c:numRef>
          </c:val>
          <c:smooth val="0"/>
          <c:extLst>
            <c:ext xmlns:c16="http://schemas.microsoft.com/office/drawing/2014/chart" uri="{C3380CC4-5D6E-409C-BE32-E72D297353CC}">
              <c16:uniqueId val="{00000003-3F48-4DDB-A925-ACCE24C7313A}"/>
            </c:ext>
          </c:extLst>
        </c:ser>
        <c:ser>
          <c:idx val="4"/>
          <c:order val="1"/>
          <c:tx>
            <c:strRef>
              <c:f>'Woodworks Bookshelf Co.'!$F$17</c:f>
              <c:strCache>
                <c:ptCount val="1"/>
                <c:pt idx="0">
                  <c:v>Total Oak</c:v>
                </c:pt>
              </c:strCache>
            </c:strRef>
          </c:tx>
          <c:spPr>
            <a:ln w="28575" cap="rnd">
              <a:solidFill>
                <a:schemeClr val="accent5"/>
              </a:solidFill>
              <a:round/>
            </a:ln>
            <a:effectLst/>
          </c:spPr>
          <c:marker>
            <c:symbol val="none"/>
          </c:marker>
          <c:cat>
            <c:numRef>
              <c:f>'Woodworks Bookshelf Co.'!$A$18:$A$23</c:f>
              <c:numCache>
                <c:formatCode>General</c:formatCode>
                <c:ptCount val="6"/>
                <c:pt idx="0">
                  <c:v>0</c:v>
                </c:pt>
                <c:pt idx="1">
                  <c:v>1</c:v>
                </c:pt>
                <c:pt idx="2">
                  <c:v>2</c:v>
                </c:pt>
                <c:pt idx="3">
                  <c:v>3</c:v>
                </c:pt>
                <c:pt idx="4">
                  <c:v>4</c:v>
                </c:pt>
                <c:pt idx="5">
                  <c:v>5</c:v>
                </c:pt>
              </c:numCache>
            </c:numRef>
          </c:cat>
          <c:val>
            <c:numRef>
              <c:f>'Woodworks Bookshelf Co.'!$F$18:$F$23</c:f>
              <c:numCache>
                <c:formatCode>"$"#,##0.00</c:formatCode>
                <c:ptCount val="6"/>
                <c:pt idx="0">
                  <c:v>425</c:v>
                </c:pt>
                <c:pt idx="1">
                  <c:v>431.63299999999998</c:v>
                </c:pt>
                <c:pt idx="2">
                  <c:v>438.36988099999996</c:v>
                </c:pt>
                <c:pt idx="3">
                  <c:v>445.21227577699995</c:v>
                </c:pt>
                <c:pt idx="4">
                  <c:v>452.16184286720886</c:v>
                </c:pt>
                <c:pt idx="5">
                  <c:v>459.22026697398138</c:v>
                </c:pt>
              </c:numCache>
            </c:numRef>
          </c:val>
          <c:smooth val="0"/>
          <c:extLst>
            <c:ext xmlns:c16="http://schemas.microsoft.com/office/drawing/2014/chart" uri="{C3380CC4-5D6E-409C-BE32-E72D297353CC}">
              <c16:uniqueId val="{00000004-3F48-4DDB-A925-ACCE24C7313A}"/>
            </c:ext>
          </c:extLst>
        </c:ser>
        <c:dLbls>
          <c:showLegendKey val="0"/>
          <c:showVal val="0"/>
          <c:showCatName val="0"/>
          <c:showSerName val="0"/>
          <c:showPercent val="0"/>
          <c:showBubbleSize val="0"/>
        </c:dLbls>
        <c:smooth val="0"/>
        <c:axId val="1494826415"/>
        <c:axId val="1494824495"/>
      </c:lineChart>
      <c:catAx>
        <c:axId val="1494826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824495"/>
        <c:crosses val="autoZero"/>
        <c:auto val="1"/>
        <c:lblAlgn val="ctr"/>
        <c:lblOffset val="100"/>
        <c:noMultiLvlLbl val="0"/>
      </c:catAx>
      <c:valAx>
        <c:axId val="1494824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Ttoal Cost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826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Quality Sweater Co.:</a:t>
            </a:r>
            <a:r>
              <a:rPr lang="en-CA" baseline="0"/>
              <a:t> </a:t>
            </a:r>
            <a:r>
              <a:rPr lang="en-CA"/>
              <a:t>Response</a:t>
            </a:r>
            <a:r>
              <a:rPr lang="en-CA" baseline="0"/>
              <a:t> Rate vs. Profit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'Quality Sweater Company'!$G$6:$G$16</c:f>
              <c:numCache>
                <c:formatCode>0.00%</c:formatCode>
                <c:ptCount val="11"/>
                <c:pt idx="0" formatCode="0%">
                  <c:v>0.03</c:v>
                </c:pt>
                <c:pt idx="1">
                  <c:v>3.5000000000000003E-2</c:v>
                </c:pt>
                <c:pt idx="2" formatCode="0%">
                  <c:v>0.04</c:v>
                </c:pt>
                <c:pt idx="3">
                  <c:v>4.4999999999999998E-2</c:v>
                </c:pt>
                <c:pt idx="4" formatCode="0%">
                  <c:v>0.05</c:v>
                </c:pt>
                <c:pt idx="5">
                  <c:v>5.5E-2</c:v>
                </c:pt>
                <c:pt idx="6" formatCode="0%">
                  <c:v>0.06</c:v>
                </c:pt>
                <c:pt idx="7">
                  <c:v>6.5000000000000002E-2</c:v>
                </c:pt>
                <c:pt idx="8" formatCode="0%">
                  <c:v>7.0000000000000007E-2</c:v>
                </c:pt>
                <c:pt idx="9">
                  <c:v>7.4999999999999997E-2</c:v>
                </c:pt>
                <c:pt idx="10" formatCode="0%">
                  <c:v>0.08</c:v>
                </c:pt>
              </c:numCache>
            </c:numRef>
          </c:cat>
          <c:val>
            <c:numRef>
              <c:f>'Quality Sweater Company'!$H$6:$H$16</c:f>
              <c:numCache>
                <c:formatCode>"$"#,##0.00;[Red]"$"#,##0.00</c:formatCode>
                <c:ptCount val="11"/>
                <c:pt idx="0">
                  <c:v>-21600</c:v>
                </c:pt>
                <c:pt idx="1">
                  <c:v>-17700</c:v>
                </c:pt>
                <c:pt idx="2">
                  <c:v>-13800</c:v>
                </c:pt>
                <c:pt idx="3">
                  <c:v>-9900</c:v>
                </c:pt>
                <c:pt idx="4">
                  <c:v>-6000</c:v>
                </c:pt>
                <c:pt idx="5">
                  <c:v>-2100.0000000000291</c:v>
                </c:pt>
                <c:pt idx="6">
                  <c:v>1799.9999999999709</c:v>
                </c:pt>
                <c:pt idx="7">
                  <c:v>5699.9999999999709</c:v>
                </c:pt>
                <c:pt idx="8">
                  <c:v>9600</c:v>
                </c:pt>
                <c:pt idx="9">
                  <c:v>13500</c:v>
                </c:pt>
                <c:pt idx="10">
                  <c:v>17400</c:v>
                </c:pt>
              </c:numCache>
            </c:numRef>
          </c:val>
          <c:extLst>
            <c:ext xmlns:c16="http://schemas.microsoft.com/office/drawing/2014/chart" uri="{C3380CC4-5D6E-409C-BE32-E72D297353CC}">
              <c16:uniqueId val="{00000000-FADE-4120-914B-E1C0C9B37C9D}"/>
            </c:ext>
          </c:extLst>
        </c:ser>
        <c:dLbls>
          <c:showLegendKey val="0"/>
          <c:showVal val="0"/>
          <c:showCatName val="0"/>
          <c:showSerName val="0"/>
          <c:showPercent val="0"/>
          <c:showBubbleSize val="0"/>
        </c:dLbls>
        <c:gapWidth val="219"/>
        <c:overlap val="-27"/>
        <c:axId val="1570586463"/>
        <c:axId val="1570584543"/>
      </c:barChart>
      <c:catAx>
        <c:axId val="1570586463"/>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584543"/>
        <c:crosses val="autoZero"/>
        <c:auto val="1"/>
        <c:lblAlgn val="ctr"/>
        <c:lblOffset val="100"/>
        <c:noMultiLvlLbl val="0"/>
      </c:catAx>
      <c:valAx>
        <c:axId val="15705845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5864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Price vs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'The 19th Hole'!$C$1</c:f>
              <c:strCache>
                <c:ptCount val="1"/>
                <c:pt idx="0">
                  <c:v>Demand (00s)</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4126202974628171"/>
                  <c:y val="-0.5555544619422572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8.4081583552056E-2"/>
                  <c:y val="-0.21635170603674544"/>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1"/>
            <c:trendlineLbl>
              <c:layout>
                <c:manualLayout>
                  <c:x val="-0.10905752405949257"/>
                  <c:y val="-5.503062117235346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'The 19th Hole'!$B$2:$B$14</c:f>
              <c:numCache>
                <c:formatCode>General</c:formatCode>
                <c:ptCount val="13"/>
                <c:pt idx="1">
                  <c:v>450</c:v>
                </c:pt>
                <c:pt idx="2">
                  <c:v>300</c:v>
                </c:pt>
                <c:pt idx="3">
                  <c:v>440</c:v>
                </c:pt>
                <c:pt idx="4">
                  <c:v>360</c:v>
                </c:pt>
                <c:pt idx="5">
                  <c:v>290</c:v>
                </c:pt>
                <c:pt idx="6">
                  <c:v>450</c:v>
                </c:pt>
                <c:pt idx="7">
                  <c:v>340</c:v>
                </c:pt>
                <c:pt idx="8">
                  <c:v>370</c:v>
                </c:pt>
                <c:pt idx="9">
                  <c:v>500</c:v>
                </c:pt>
                <c:pt idx="10">
                  <c:v>490</c:v>
                </c:pt>
                <c:pt idx="11">
                  <c:v>430</c:v>
                </c:pt>
                <c:pt idx="12">
                  <c:v>390</c:v>
                </c:pt>
              </c:numCache>
            </c:numRef>
          </c:xVal>
          <c:yVal>
            <c:numRef>
              <c:f>'The 19th Hole'!$C$2:$C$14</c:f>
              <c:numCache>
                <c:formatCode>General</c:formatCode>
                <c:ptCount val="13"/>
                <c:pt idx="1">
                  <c:v>45</c:v>
                </c:pt>
                <c:pt idx="2">
                  <c:v>103</c:v>
                </c:pt>
                <c:pt idx="3">
                  <c:v>49</c:v>
                </c:pt>
                <c:pt idx="4">
                  <c:v>86</c:v>
                </c:pt>
                <c:pt idx="5">
                  <c:v>125</c:v>
                </c:pt>
                <c:pt idx="6">
                  <c:v>52</c:v>
                </c:pt>
                <c:pt idx="7">
                  <c:v>87</c:v>
                </c:pt>
                <c:pt idx="8">
                  <c:v>68</c:v>
                </c:pt>
                <c:pt idx="9">
                  <c:v>45</c:v>
                </c:pt>
                <c:pt idx="10">
                  <c:v>44</c:v>
                </c:pt>
                <c:pt idx="11">
                  <c:v>58</c:v>
                </c:pt>
                <c:pt idx="12">
                  <c:v>68</c:v>
                </c:pt>
              </c:numCache>
            </c:numRef>
          </c:yVal>
          <c:smooth val="0"/>
          <c:extLst>
            <c:ext xmlns:c16="http://schemas.microsoft.com/office/drawing/2014/chart" uri="{C3380CC4-5D6E-409C-BE32-E72D297353CC}">
              <c16:uniqueId val="{00000000-60A4-479A-8E9D-9A10D78B2897}"/>
            </c:ext>
          </c:extLst>
        </c:ser>
        <c:dLbls>
          <c:showLegendKey val="0"/>
          <c:showVal val="0"/>
          <c:showCatName val="0"/>
          <c:showSerName val="0"/>
          <c:showPercent val="0"/>
          <c:showBubbleSize val="0"/>
        </c:dLbls>
        <c:axId val="916064416"/>
        <c:axId val="902651872"/>
      </c:scatterChart>
      <c:valAx>
        <c:axId val="916064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651872"/>
        <c:crosses val="autoZero"/>
        <c:crossBetween val="midCat"/>
      </c:valAx>
      <c:valAx>
        <c:axId val="90265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Demand</a:t>
                </a:r>
                <a:r>
                  <a:rPr lang="en-CA" baseline="0"/>
                  <a:t> (00s)</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0644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Price </a:t>
            </a:r>
            <a:r>
              <a:rPr lang="en-CA" baseline="0"/>
              <a:t> vs Profit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'The 19th Hole'!$G$39:$G$83</c:f>
              <c:numCache>
                <c:formatCode>"$"#,##0</c:formatCode>
                <c:ptCount val="45"/>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numCache>
            </c:numRef>
          </c:xVal>
          <c:yVal>
            <c:numRef>
              <c:f>'The 19th Hole'!$H$39:$H$83</c:f>
              <c:numCache>
                <c:formatCode>"$"#,##0</c:formatCode>
                <c:ptCount val="45"/>
                <c:pt idx="0">
                  <c:v>144859.72842847556</c:v>
                </c:pt>
                <c:pt idx="1">
                  <c:v>269590.60184817808</c:v>
                </c:pt>
                <c:pt idx="2">
                  <c:v>377277.18719872413</c:v>
                </c:pt>
                <c:pt idx="3">
                  <c:v>470458.61526328744</c:v>
                </c:pt>
                <c:pt idx="4">
                  <c:v>551238.40185229108</c:v>
                </c:pt>
                <c:pt idx="5">
                  <c:v>621369.53021456813</c:v>
                </c:pt>
                <c:pt idx="6">
                  <c:v>682320.93416212313</c:v>
                </c:pt>
                <c:pt idx="7">
                  <c:v>735329.86392835062</c:v>
                </c:pt>
                <c:pt idx="8">
                  <c:v>781443.44106265297</c:v>
                </c:pt>
                <c:pt idx="9">
                  <c:v>821551.86522268457</c:v>
                </c:pt>
                <c:pt idx="10">
                  <c:v>856415.12424477958</c:v>
                </c:pt>
                <c:pt idx="11">
                  <c:v>886684.61116254725</c:v>
                </c:pt>
                <c:pt idx="12">
                  <c:v>912920.72098907013</c:v>
                </c:pt>
                <c:pt idx="13">
                  <c:v>935607.253438466</c:v>
                </c:pt>
                <c:pt idx="14">
                  <c:v>955163.26238462282</c:v>
                </c:pt>
                <c:pt idx="15">
                  <c:v>971952.85243747453</c:v>
                </c:pt>
                <c:pt idx="16">
                  <c:v>986293.31587235699</c:v>
                </c:pt>
                <c:pt idx="17">
                  <c:v>998461.92082203622</c:v>
                </c:pt>
                <c:pt idx="18">
                  <c:v>1008701.5979665397</c:v>
                </c:pt>
                <c:pt idx="19">
                  <c:v>1017225.7233983984</c:v>
                </c:pt>
                <c:pt idx="20">
                  <c:v>1024222.1565401531</c:v>
                </c:pt>
                <c:pt idx="21">
                  <c:v>1029856.6614397548</c:v>
                </c:pt>
                <c:pt idx="22">
                  <c:v>1034275.8155834542</c:v>
                </c:pt>
                <c:pt idx="23">
                  <c:v>1037609.4911199291</c:v>
                </c:pt>
                <c:pt idx="24">
                  <c:v>1039972.9779989794</c:v>
                </c:pt>
                <c:pt idx="25">
                  <c:v>1041468.8061629091</c:v>
                </c:pt>
                <c:pt idx="26">
                  <c:v>1042188.3139489595</c:v>
                </c:pt>
                <c:pt idx="27">
                  <c:v>1042213.0017719698</c:v>
                </c:pt>
                <c:pt idx="28">
                  <c:v>1041615.7035724644</c:v>
                </c:pt>
                <c:pt idx="29">
                  <c:v>1040461.6031350964</c:v>
                </c:pt>
                <c:pt idx="30">
                  <c:v>1038809.1179690239</c:v>
                </c:pt>
                <c:pt idx="31">
                  <c:v>1036710.669808225</c:v>
                </c:pt>
                <c:pt idx="32">
                  <c:v>1034213.3577876764</c:v>
                </c:pt>
                <c:pt idx="33">
                  <c:v>1031359.5478624469</c:v>
                </c:pt>
                <c:pt idx="34">
                  <c:v>1028187.3899667513</c:v>
                </c:pt>
                <c:pt idx="35">
                  <c:v>1024731.2726827315</c:v>
                </c:pt>
                <c:pt idx="36">
                  <c:v>1021022.2237432048</c:v>
                </c:pt>
                <c:pt idx="37">
                  <c:v>1017088.2634793159</c:v>
                </c:pt>
                <c:pt idx="38">
                  <c:v>1012954.7173026291</c:v>
                </c:pt>
                <c:pt idx="39">
                  <c:v>1008644.4924491229</c:v>
                </c:pt>
                <c:pt idx="40">
                  <c:v>1004178.3234829371</c:v>
                </c:pt>
                <c:pt idx="41">
                  <c:v>999574.99043870345</c:v>
                </c:pt>
                <c:pt idx="42">
                  <c:v>994851.51295467373</c:v>
                </c:pt>
                <c:pt idx="43">
                  <c:v>990023.32329994719</c:v>
                </c:pt>
                <c:pt idx="44">
                  <c:v>985104.42081539321</c:v>
                </c:pt>
              </c:numCache>
            </c:numRef>
          </c:yVal>
          <c:smooth val="0"/>
          <c:extLst>
            <c:ext xmlns:c16="http://schemas.microsoft.com/office/drawing/2014/chart" uri="{C3380CC4-5D6E-409C-BE32-E72D297353CC}">
              <c16:uniqueId val="{00000000-5E2D-4C14-8CCE-1A31D759A9C9}"/>
            </c:ext>
          </c:extLst>
        </c:ser>
        <c:dLbls>
          <c:showLegendKey val="0"/>
          <c:showVal val="0"/>
          <c:showCatName val="0"/>
          <c:showSerName val="0"/>
          <c:showPercent val="0"/>
          <c:showBubbleSize val="0"/>
        </c:dLbls>
        <c:axId val="885406496"/>
        <c:axId val="885407456"/>
      </c:scatterChart>
      <c:valAx>
        <c:axId val="885406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Price</a:t>
                </a:r>
                <a:r>
                  <a:rPr lang="en-CA" baseline="0"/>
                  <a:t> ($)</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407456"/>
        <c:crosses val="autoZero"/>
        <c:crossBetween val="midCat"/>
      </c:valAx>
      <c:valAx>
        <c:axId val="885407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Profit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40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5" Type="http://schemas.openxmlformats.org/officeDocument/2006/relationships/chart" Target="../charts/chart2.xml"/><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8</xdr:col>
      <xdr:colOff>561975</xdr:colOff>
      <xdr:row>2</xdr:row>
      <xdr:rowOff>28575</xdr:rowOff>
    </xdr:from>
    <xdr:to>
      <xdr:col>17</xdr:col>
      <xdr:colOff>476250</xdr:colOff>
      <xdr:row>15</xdr:row>
      <xdr:rowOff>19050</xdr:rowOff>
    </xdr:to>
    <xdr:sp macro="" textlink="">
      <xdr:nvSpPr>
        <xdr:cNvPr id="2" name="TextBox 1">
          <a:extLst>
            <a:ext uri="{FF2B5EF4-FFF2-40B4-BE49-F238E27FC236}">
              <a16:creationId xmlns:a16="http://schemas.microsoft.com/office/drawing/2014/main" id="{ED990157-535F-44A4-67CB-0E0539B4CA1C}"/>
            </a:ext>
          </a:extLst>
        </xdr:cNvPr>
        <xdr:cNvSpPr txBox="1"/>
      </xdr:nvSpPr>
      <xdr:spPr>
        <a:xfrm>
          <a:off x="6962775" y="485775"/>
          <a:ext cx="5400675" cy="2466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400" b="0" i="0" u="none" strike="noStrike">
              <a:solidFill>
                <a:schemeClr val="dk1"/>
              </a:solidFill>
              <a:effectLst/>
              <a:latin typeface="+mn-lt"/>
              <a:ea typeface="+mn-ea"/>
              <a:cs typeface="+mn-cs"/>
            </a:rPr>
            <a:t>NCAA T-Shirt Vendor</a:t>
          </a:r>
          <a:r>
            <a:rPr lang="en-CA" sz="2400"/>
            <a:t> </a:t>
          </a:r>
          <a:endParaRPr lang="en-CA" sz="2400" b="0" i="0">
            <a:solidFill>
              <a:schemeClr val="dk1"/>
            </a:solidFill>
            <a:effectLst/>
            <a:latin typeface="+mn-lt"/>
            <a:ea typeface="+mn-ea"/>
            <a:cs typeface="+mn-cs"/>
          </a:endParaRPr>
        </a:p>
        <a:p>
          <a:r>
            <a:rPr lang="en-CA" sz="1200" b="0" i="0">
              <a:solidFill>
                <a:schemeClr val="dk1"/>
              </a:solidFill>
              <a:effectLst/>
              <a:latin typeface="+mn-lt"/>
              <a:ea typeface="+mn-ea"/>
              <a:cs typeface="+mn-cs"/>
            </a:rPr>
            <a:t>Randy is a t-shirt vendor who plans to order t-shirts with the names of the NCAA final four teams from a manufacturer and then sell them to fans.  The fixed cost of any order is $750, the variable cost per T-shirt to Randy is $8, and Randy’s selling price is $18.  However, this price will be charged only until a week after the tournament. After that time, Randy figures that the interest in the t-shirts will be low, so he plans to sell all remaining t-shirts, if any, at $6 each.  His best guess is that the demand for the t-shirts during the full price period will be 1500.  He is thinking about ordering 1450 t-shirts, but he wants to build a spreadsheet model that will let him experiment with the uncertain demand and his order quantity.  How should he proceed?</a:t>
          </a:r>
          <a:endParaRPr lang="en-CA"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0</xdr:row>
      <xdr:rowOff>0</xdr:rowOff>
    </xdr:from>
    <xdr:to>
      <xdr:col>19</xdr:col>
      <xdr:colOff>19050</xdr:colOff>
      <xdr:row>9</xdr:row>
      <xdr:rowOff>95250</xdr:rowOff>
    </xdr:to>
    <xdr:sp macro="" textlink="">
      <xdr:nvSpPr>
        <xdr:cNvPr id="2" name="TextBox 1">
          <a:extLst>
            <a:ext uri="{FF2B5EF4-FFF2-40B4-BE49-F238E27FC236}">
              <a16:creationId xmlns:a16="http://schemas.microsoft.com/office/drawing/2014/main" id="{405C8312-DDEC-D68E-ECFF-8B66233488D1}"/>
            </a:ext>
          </a:extLst>
        </xdr:cNvPr>
        <xdr:cNvSpPr txBox="1"/>
      </xdr:nvSpPr>
      <xdr:spPr>
        <a:xfrm>
          <a:off x="6048375" y="0"/>
          <a:ext cx="6724650" cy="188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400" b="0"/>
            <a:t>Woodwork Bookshelf Co.</a:t>
          </a:r>
        </a:p>
        <a:p>
          <a:r>
            <a:rPr lang="en-CA" sz="1100" b="0" i="0">
              <a:solidFill>
                <a:schemeClr val="dk1"/>
              </a:solidFill>
              <a:effectLst/>
              <a:latin typeface="+mn-lt"/>
              <a:ea typeface="+mn-ea"/>
              <a:cs typeface="+mn-cs"/>
            </a:rPr>
            <a:t>The Woodworks Company produces a variety of custom-designed wood furniture, made from either cherry or oak. The company knows that wood prices and labor costs are likely to increase in the future. The table below shows the number of board-feet and labor hours required for a bookshelf, the current costs per board-foot and labor hour, and the anticipated annual increases in these costs.</a:t>
          </a:r>
        </a:p>
        <a:p>
          <a:r>
            <a:rPr lang="en-CA" sz="1100" b="0" i="0">
              <a:solidFill>
                <a:schemeClr val="dk1"/>
              </a:solidFill>
              <a:effectLst/>
              <a:latin typeface="+mn-lt"/>
              <a:ea typeface="+mn-ea"/>
              <a:cs typeface="+mn-cs"/>
            </a:rPr>
            <a:t>Build a spreadsheet model that enables the company to experiment with the growth rates in wood and labor costs so that a manager can see, both numerically and graphically, how the costs of bookshelves vary in the next few years.</a:t>
          </a:r>
        </a:p>
        <a:p>
          <a:endParaRPr lang="en-CA" sz="1100" b="0"/>
        </a:p>
      </xdr:txBody>
    </xdr:sp>
    <xdr:clientData/>
  </xdr:twoCellAnchor>
  <xdr:twoCellAnchor>
    <xdr:from>
      <xdr:col>8</xdr:col>
      <xdr:colOff>0</xdr:colOff>
      <xdr:row>10</xdr:row>
      <xdr:rowOff>119062</xdr:rowOff>
    </xdr:from>
    <xdr:to>
      <xdr:col>15</xdr:col>
      <xdr:colOff>304800</xdr:colOff>
      <xdr:row>24</xdr:row>
      <xdr:rowOff>185737</xdr:rowOff>
    </xdr:to>
    <xdr:graphicFrame macro="">
      <xdr:nvGraphicFramePr>
        <xdr:cNvPr id="3" name="Chart 2">
          <a:extLst>
            <a:ext uri="{FF2B5EF4-FFF2-40B4-BE49-F238E27FC236}">
              <a16:creationId xmlns:a16="http://schemas.microsoft.com/office/drawing/2014/main" id="{E61F56BE-C9B0-6382-DAE7-63DA90F8E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590745</xdr:colOff>
      <xdr:row>2</xdr:row>
      <xdr:rowOff>28381</xdr:rowOff>
    </xdr:from>
    <xdr:to>
      <xdr:col>18</xdr:col>
      <xdr:colOff>28769</xdr:colOff>
      <xdr:row>20</xdr:row>
      <xdr:rowOff>194194</xdr:rowOff>
    </xdr:to>
    <xdr:sp macro="" textlink="">
      <xdr:nvSpPr>
        <xdr:cNvPr id="2" name="TextBox 1">
          <a:extLst>
            <a:ext uri="{FF2B5EF4-FFF2-40B4-BE49-F238E27FC236}">
              <a16:creationId xmlns:a16="http://schemas.microsoft.com/office/drawing/2014/main" id="{6F42863C-8153-FE41-5AE0-8D5127CCFB00}"/>
            </a:ext>
          </a:extLst>
        </xdr:cNvPr>
        <xdr:cNvSpPr txBox="1"/>
      </xdr:nvSpPr>
      <xdr:spPr>
        <a:xfrm>
          <a:off x="7374878" y="485192"/>
          <a:ext cx="5561238" cy="3664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a:solidFill>
                <a:schemeClr val="dk1"/>
              </a:solidFill>
              <a:effectLst/>
              <a:latin typeface="+mn-lt"/>
              <a:ea typeface="+mn-ea"/>
              <a:cs typeface="+mn-cs"/>
            </a:rPr>
            <a:t>The Quality Sweater Company </a:t>
          </a:r>
        </a:p>
        <a:p>
          <a:endParaRPr lang="en-CA" sz="1100">
            <a:solidFill>
              <a:schemeClr val="dk1"/>
            </a:solidFill>
            <a:effectLst/>
            <a:latin typeface="+mn-lt"/>
            <a:ea typeface="+mn-ea"/>
            <a:cs typeface="+mn-cs"/>
          </a:endParaRPr>
        </a:p>
        <a:p>
          <a:r>
            <a:rPr lang="en-CA" sz="1100">
              <a:solidFill>
                <a:schemeClr val="dk1"/>
              </a:solidFill>
              <a:effectLst/>
              <a:latin typeface="+mn-lt"/>
              <a:ea typeface="+mn-ea"/>
              <a:cs typeface="+mn-cs"/>
            </a:rPr>
            <a:t>The Quality Sweater Company sells hand-knitted sweaters.  The company is planning to print a catalog of its products and undertake a direct mail campaign.  The cost of printing the catalog is $20,000 plus $.10 per catalog.  The cost of mailing each catalog (including postage, order forms, and buying names from a mail-order database) is $0.15. In addition, the company plans to include direct reply envelopes in its mailing and incurs a $.20 in extra costs for each direct mail envelope used by a respondent.  The average size of a customer order is $40, and the company’s variable cost per order (primarily due to labor and material costs) averages about 80% of the order’s value – that is $32.  The company plans to mail 100,000 catalogs.  It wants to develop a spreadsheet model to answer the following questions:</a:t>
          </a:r>
        </a:p>
        <a:p>
          <a:r>
            <a:rPr lang="en-CA" sz="1100">
              <a:solidFill>
                <a:schemeClr val="dk1"/>
              </a:solidFill>
              <a:effectLst/>
              <a:latin typeface="+mn-lt"/>
              <a:ea typeface="+mn-ea"/>
              <a:cs typeface="+mn-cs"/>
            </a:rPr>
            <a:t>1. How does a change in the response rate affect profit?</a:t>
          </a:r>
        </a:p>
        <a:p>
          <a:r>
            <a:rPr lang="en-CA" sz="1100">
              <a:solidFill>
                <a:schemeClr val="dk1"/>
              </a:solidFill>
              <a:effectLst/>
              <a:latin typeface="+mn-lt"/>
              <a:ea typeface="+mn-ea"/>
              <a:cs typeface="+mn-cs"/>
            </a:rPr>
            <a:t>2. For what response rate does the company break even?</a:t>
          </a:r>
        </a:p>
        <a:p>
          <a:r>
            <a:rPr lang="en-CA" sz="1100">
              <a:solidFill>
                <a:schemeClr val="dk1"/>
              </a:solidFill>
              <a:effectLst/>
              <a:latin typeface="+mn-lt"/>
              <a:ea typeface="+mn-ea"/>
              <a:cs typeface="+mn-cs"/>
            </a:rPr>
            <a:t>3. If the company estimates a response rate of 3%, should it proceed with the mailing?</a:t>
          </a:r>
        </a:p>
        <a:p>
          <a:r>
            <a:rPr lang="en-CA" sz="1100">
              <a:solidFill>
                <a:schemeClr val="dk1"/>
              </a:solidFill>
              <a:effectLst/>
              <a:latin typeface="+mn-lt"/>
              <a:ea typeface="+mn-ea"/>
              <a:cs typeface="+mn-cs"/>
            </a:rPr>
            <a:t>4. How does the presence of uncertainty affect the usefulness of the model? </a:t>
          </a:r>
        </a:p>
      </xdr:txBody>
    </xdr:sp>
    <xdr:clientData/>
  </xdr:twoCellAnchor>
  <xdr:twoCellAnchor>
    <xdr:from>
      <xdr:col>6</xdr:col>
      <xdr:colOff>276225</xdr:colOff>
      <xdr:row>17</xdr:row>
      <xdr:rowOff>180975</xdr:rowOff>
    </xdr:from>
    <xdr:to>
      <xdr:col>7</xdr:col>
      <xdr:colOff>381000</xdr:colOff>
      <xdr:row>21</xdr:row>
      <xdr:rowOff>142875</xdr:rowOff>
    </xdr:to>
    <xdr:sp macro="" textlink="">
      <xdr:nvSpPr>
        <xdr:cNvPr id="76" name="TextBox 75">
          <a:extLst>
            <a:ext uri="{FF2B5EF4-FFF2-40B4-BE49-F238E27FC236}">
              <a16:creationId xmlns:a16="http://schemas.microsoft.com/office/drawing/2014/main" id="{EF53194A-DB7C-8B57-5ABB-CEDB06C67280}"/>
            </a:ext>
          </a:extLst>
        </xdr:cNvPr>
        <xdr:cNvSpPr txBox="1"/>
      </xdr:nvSpPr>
      <xdr:spPr>
        <a:xfrm>
          <a:off x="5324475" y="3495675"/>
          <a:ext cx="714375"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rgbClr val="FF0000"/>
              </a:solidFill>
            </a:rPr>
            <a:t>you pick </a:t>
          </a:r>
        </a:p>
        <a:p>
          <a:r>
            <a:rPr lang="en-CA" sz="1100">
              <a:solidFill>
                <a:srgbClr val="FF0000"/>
              </a:solidFill>
            </a:rPr>
            <a:t>these</a:t>
          </a:r>
        </a:p>
        <a:p>
          <a:r>
            <a:rPr lang="en-CA" sz="1100">
              <a:solidFill>
                <a:srgbClr val="FF0000"/>
              </a:solidFill>
            </a:rPr>
            <a:t>values</a:t>
          </a:r>
        </a:p>
      </xdr:txBody>
    </xdr:sp>
    <xdr:clientData/>
  </xdr:twoCellAnchor>
  <xdr:twoCellAnchor editAs="oneCell">
    <xdr:from>
      <xdr:col>6</xdr:col>
      <xdr:colOff>495030</xdr:colOff>
      <xdr:row>16</xdr:row>
      <xdr:rowOff>123825</xdr:rowOff>
    </xdr:from>
    <xdr:to>
      <xdr:col>6</xdr:col>
      <xdr:colOff>551910</xdr:colOff>
      <xdr:row>17</xdr:row>
      <xdr:rowOff>179925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78" name="Ink 77">
              <a:extLst>
                <a:ext uri="{FF2B5EF4-FFF2-40B4-BE49-F238E27FC236}">
                  <a16:creationId xmlns:a16="http://schemas.microsoft.com/office/drawing/2014/main" id="{8844F396-2F65-3A4A-3A4C-EF8C52E84FE6}"/>
                </a:ext>
              </a:extLst>
            </xdr14:cNvPr>
            <xdr14:cNvContentPartPr/>
          </xdr14:nvContentPartPr>
          <xdr14:nvPr macro=""/>
          <xdr14:xfrm>
            <a:off x="5543280" y="3248025"/>
            <a:ext cx="56880" cy="246600"/>
          </xdr14:xfrm>
        </xdr:contentPart>
      </mc:Choice>
      <mc:Fallback xmlns="">
        <xdr:pic>
          <xdr:nvPicPr>
            <xdr:cNvPr id="78" name="Ink 77">
              <a:extLst>
                <a:ext uri="{FF2B5EF4-FFF2-40B4-BE49-F238E27FC236}">
                  <a16:creationId xmlns:a16="http://schemas.microsoft.com/office/drawing/2014/main" id="{8844F396-2F65-3A4A-3A4C-EF8C52E84FE6}"/>
                </a:ext>
              </a:extLst>
            </xdr:cNvPr>
            <xdr:cNvPicPr/>
          </xdr:nvPicPr>
          <xdr:blipFill>
            <a:blip xmlns:r="http://schemas.openxmlformats.org/officeDocument/2006/relationships" r:embed="rId2"/>
            <a:stretch>
              <a:fillRect/>
            </a:stretch>
          </xdr:blipFill>
          <xdr:spPr>
            <a:xfrm>
              <a:off x="5537160" y="3241905"/>
              <a:ext cx="69120" cy="258840"/>
            </a:xfrm>
            <a:prstGeom prst="rect">
              <a:avLst/>
            </a:prstGeom>
          </xdr:spPr>
        </xdr:pic>
      </mc:Fallback>
    </mc:AlternateContent>
    <xdr:clientData/>
  </xdr:twoCellAnchor>
  <xdr:twoCellAnchor editAs="oneCell">
    <xdr:from>
      <xdr:col>6</xdr:col>
      <xdr:colOff>432390</xdr:colOff>
      <xdr:row>16</xdr:row>
      <xdr:rowOff>73425</xdr:rowOff>
    </xdr:from>
    <xdr:to>
      <xdr:col>6</xdr:col>
      <xdr:colOff>561990</xdr:colOff>
      <xdr:row>17</xdr:row>
      <xdr:rowOff>1725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9" name="Ink 78">
              <a:extLst>
                <a:ext uri="{FF2B5EF4-FFF2-40B4-BE49-F238E27FC236}">
                  <a16:creationId xmlns:a16="http://schemas.microsoft.com/office/drawing/2014/main" id="{4081F076-EB11-4616-957A-BDD732E72D17}"/>
                </a:ext>
              </a:extLst>
            </xdr14:cNvPr>
            <xdr14:cNvContentPartPr/>
          </xdr14:nvContentPartPr>
          <xdr14:nvPr macro=""/>
          <xdr14:xfrm>
            <a:off x="5480640" y="3197625"/>
            <a:ext cx="129600" cy="118800"/>
          </xdr14:xfrm>
        </xdr:contentPart>
      </mc:Choice>
      <mc:Fallback xmlns="">
        <xdr:pic>
          <xdr:nvPicPr>
            <xdr:cNvPr id="79" name="Ink 78">
              <a:extLst>
                <a:ext uri="{FF2B5EF4-FFF2-40B4-BE49-F238E27FC236}">
                  <a16:creationId xmlns:a16="http://schemas.microsoft.com/office/drawing/2014/main" id="{4081F076-EB11-4616-957A-BDD732E72D17}"/>
                </a:ext>
              </a:extLst>
            </xdr:cNvPr>
            <xdr:cNvPicPr/>
          </xdr:nvPicPr>
          <xdr:blipFill>
            <a:blip xmlns:r="http://schemas.openxmlformats.org/officeDocument/2006/relationships" r:embed="rId4"/>
            <a:stretch>
              <a:fillRect/>
            </a:stretch>
          </xdr:blipFill>
          <xdr:spPr>
            <a:xfrm>
              <a:off x="5474520" y="3191505"/>
              <a:ext cx="141840" cy="131040"/>
            </a:xfrm>
            <a:prstGeom prst="rect">
              <a:avLst/>
            </a:prstGeom>
          </xdr:spPr>
        </xdr:pic>
      </mc:Fallback>
    </mc:AlternateContent>
    <xdr:clientData/>
  </xdr:twoCellAnchor>
  <xdr:twoCellAnchor>
    <xdr:from>
      <xdr:col>1</xdr:col>
      <xdr:colOff>6025</xdr:colOff>
      <xdr:row>21</xdr:row>
      <xdr:rowOff>188652</xdr:rowOff>
    </xdr:from>
    <xdr:to>
      <xdr:col>8</xdr:col>
      <xdr:colOff>19437</xdr:colOff>
      <xdr:row>38</xdr:row>
      <xdr:rowOff>58317</xdr:rowOff>
    </xdr:to>
    <xdr:graphicFrame macro="">
      <xdr:nvGraphicFramePr>
        <xdr:cNvPr id="80" name="Chart 79">
          <a:extLst>
            <a:ext uri="{FF2B5EF4-FFF2-40B4-BE49-F238E27FC236}">
              <a16:creationId xmlns:a16="http://schemas.microsoft.com/office/drawing/2014/main" id="{6A0D58A2-3DDB-DEDE-3E22-8522BD01D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600075</xdr:colOff>
      <xdr:row>0</xdr:row>
      <xdr:rowOff>38100</xdr:rowOff>
    </xdr:from>
    <xdr:to>
      <xdr:col>20</xdr:col>
      <xdr:colOff>447675</xdr:colOff>
      <xdr:row>16</xdr:row>
      <xdr:rowOff>47625</xdr:rowOff>
    </xdr:to>
    <xdr:sp macro="" textlink="">
      <xdr:nvSpPr>
        <xdr:cNvPr id="2" name="TextBox 1">
          <a:extLst>
            <a:ext uri="{FF2B5EF4-FFF2-40B4-BE49-F238E27FC236}">
              <a16:creationId xmlns:a16="http://schemas.microsoft.com/office/drawing/2014/main" id="{CC0E6605-0D7A-B3C2-5520-6527C1F27DC6}"/>
            </a:ext>
          </a:extLst>
        </xdr:cNvPr>
        <xdr:cNvSpPr txBox="1"/>
      </xdr:nvSpPr>
      <xdr:spPr>
        <a:xfrm>
          <a:off x="7496175" y="38100"/>
          <a:ext cx="5943600" cy="3114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0" i="0">
              <a:solidFill>
                <a:schemeClr val="dk1"/>
              </a:solidFill>
              <a:effectLst/>
              <a:latin typeface="+mn-lt"/>
              <a:ea typeface="+mn-ea"/>
              <a:cs typeface="+mn-cs"/>
            </a:rPr>
            <a:t>BN Bookstore</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How many copies of this hardback novel should B&amp;N order from the publisher?</a:t>
          </a:r>
        </a:p>
        <a:p>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936251</xdr:colOff>
      <xdr:row>1</xdr:row>
      <xdr:rowOff>9524</xdr:rowOff>
    </xdr:from>
    <xdr:to>
      <xdr:col>15</xdr:col>
      <xdr:colOff>422462</xdr:colOff>
      <xdr:row>14</xdr:row>
      <xdr:rowOff>19050</xdr:rowOff>
    </xdr:to>
    <xdr:sp macro="" textlink="">
      <xdr:nvSpPr>
        <xdr:cNvPr id="2" name="TextBox 1">
          <a:extLst>
            <a:ext uri="{FF2B5EF4-FFF2-40B4-BE49-F238E27FC236}">
              <a16:creationId xmlns:a16="http://schemas.microsoft.com/office/drawing/2014/main" id="{D351878D-C1EC-212D-BDA5-455FD4B60D8D}"/>
            </a:ext>
          </a:extLst>
        </xdr:cNvPr>
        <xdr:cNvSpPr txBox="1"/>
      </xdr:nvSpPr>
      <xdr:spPr>
        <a:xfrm>
          <a:off x="7648575" y="200024"/>
          <a:ext cx="6770034" cy="2486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i="0">
              <a:solidFill>
                <a:schemeClr val="dk1"/>
              </a:solidFill>
              <a:effectLst/>
              <a:latin typeface="+mn-lt"/>
              <a:ea typeface="+mn-ea"/>
              <a:cs typeface="+mn-cs"/>
            </a:rPr>
            <a:t>The 19th Hole </a:t>
          </a:r>
        </a:p>
        <a:p>
          <a:r>
            <a:rPr lang="en-CA" sz="1100" b="0" i="0">
              <a:solidFill>
                <a:schemeClr val="dk1"/>
              </a:solidFill>
              <a:effectLst/>
              <a:latin typeface="+mn-lt"/>
              <a:ea typeface="+mn-ea"/>
              <a:cs typeface="+mn-cs"/>
            </a:rPr>
            <a:t>The 19th Hole sells golf clubs at its golf outlet stores throughout the US.  The company knows that the demand for its club varies considerably with price.  In the last year, the demand at each price level was recorded in the table.</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The company wants to estimate the relationship between demand and price and then use this estimated relationship to answer the following questions: </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1. Assuming the unit cost of producing a set of clubs is $250, and the price must be a multiple of      $10, what price should the company charge to maximize its profit?</a:t>
          </a:r>
        </a:p>
        <a:p>
          <a:r>
            <a:rPr lang="en-CA" sz="1100" b="0" i="0">
              <a:solidFill>
                <a:schemeClr val="dk1"/>
              </a:solidFill>
              <a:effectLst/>
              <a:latin typeface="+mn-lt"/>
              <a:ea typeface="+mn-ea"/>
              <a:cs typeface="+mn-cs"/>
            </a:rPr>
            <a:t>2. How does the optimal price depend on the unit cost of producing a set of clubs?</a:t>
          </a:r>
        </a:p>
        <a:p>
          <a:r>
            <a:rPr lang="en-CA" sz="1100" b="0" i="0">
              <a:solidFill>
                <a:schemeClr val="dk1"/>
              </a:solidFill>
              <a:effectLst/>
              <a:latin typeface="+mn-lt"/>
              <a:ea typeface="+mn-ea"/>
              <a:cs typeface="+mn-cs"/>
            </a:rPr>
            <a:t>3. Is the model an accurate representation of reality?</a:t>
          </a:r>
        </a:p>
        <a:p>
          <a:endParaRPr lang="en-CA" sz="1100"/>
        </a:p>
      </xdr:txBody>
    </xdr:sp>
    <xdr:clientData/>
  </xdr:twoCellAnchor>
  <xdr:twoCellAnchor>
    <xdr:from>
      <xdr:col>0</xdr:col>
      <xdr:colOff>282388</xdr:colOff>
      <xdr:row>49</xdr:row>
      <xdr:rowOff>7003</xdr:rowOff>
    </xdr:from>
    <xdr:to>
      <xdr:col>5</xdr:col>
      <xdr:colOff>448236</xdr:colOff>
      <xdr:row>63</xdr:row>
      <xdr:rowOff>92728</xdr:rowOff>
    </xdr:to>
    <xdr:graphicFrame macro="">
      <xdr:nvGraphicFramePr>
        <xdr:cNvPr id="3" name="Chart 2">
          <a:extLst>
            <a:ext uri="{FF2B5EF4-FFF2-40B4-BE49-F238E27FC236}">
              <a16:creationId xmlns:a16="http://schemas.microsoft.com/office/drawing/2014/main" id="{F473568B-CED4-E40E-866D-FA5E60C9F7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819150</xdr:colOff>
      <xdr:row>73</xdr:row>
      <xdr:rowOff>157162</xdr:rowOff>
    </xdr:from>
    <xdr:to>
      <xdr:col>4</xdr:col>
      <xdr:colOff>1400175</xdr:colOff>
      <xdr:row>88</xdr:row>
      <xdr:rowOff>42862</xdr:rowOff>
    </xdr:to>
    <xdr:graphicFrame macro="">
      <xdr:nvGraphicFramePr>
        <xdr:cNvPr id="4" name="Chart 3">
          <a:extLst>
            <a:ext uri="{FF2B5EF4-FFF2-40B4-BE49-F238E27FC236}">
              <a16:creationId xmlns:a16="http://schemas.microsoft.com/office/drawing/2014/main" id="{B9CA114B-F148-96A5-4039-77ABE1480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19050</xdr:colOff>
      <xdr:row>1</xdr:row>
      <xdr:rowOff>1</xdr:rowOff>
    </xdr:from>
    <xdr:to>
      <xdr:col>20</xdr:col>
      <xdr:colOff>419100</xdr:colOff>
      <xdr:row>17</xdr:row>
      <xdr:rowOff>95251</xdr:rowOff>
    </xdr:to>
    <xdr:sp macro="" textlink="">
      <xdr:nvSpPr>
        <xdr:cNvPr id="2" name="TextBox 1">
          <a:extLst>
            <a:ext uri="{FF2B5EF4-FFF2-40B4-BE49-F238E27FC236}">
              <a16:creationId xmlns:a16="http://schemas.microsoft.com/office/drawing/2014/main" id="{C10F4C0F-033A-0C1F-E8BF-8AF3EB187AAE}"/>
            </a:ext>
          </a:extLst>
        </xdr:cNvPr>
        <xdr:cNvSpPr txBox="1"/>
      </xdr:nvSpPr>
      <xdr:spPr>
        <a:xfrm>
          <a:off x="6115050" y="190501"/>
          <a:ext cx="6496050" cy="314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i="0">
              <a:solidFill>
                <a:schemeClr val="dk1"/>
              </a:solidFill>
              <a:effectLst/>
              <a:latin typeface="+mn-lt"/>
              <a:ea typeface="+mn-ea"/>
              <a:cs typeface="+mn-cs"/>
            </a:rPr>
            <a:t>Gopher Drugs</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a:t>
          </a:r>
          <a:r>
            <a:rPr lang="en-CA" sz="1100" b="0" i="1">
              <a:solidFill>
                <a:schemeClr val="dk1"/>
              </a:solidFill>
              <a:effectLst/>
              <a:latin typeface="+mn-lt"/>
              <a:ea typeface="+mn-ea"/>
              <a:cs typeface="+mn-cs"/>
            </a:rPr>
            <a:t>end </a:t>
          </a:r>
          <a:r>
            <a:rPr lang="en-CA" sz="1100" b="0" i="0">
              <a:solidFill>
                <a:schemeClr val="dk1"/>
              </a:solidFill>
              <a:effectLst/>
              <a:latin typeface="+mn-lt"/>
              <a:ea typeface="+mn-ea"/>
              <a:cs typeface="+mn-cs"/>
            </a:rPr>
            <a:t>of the respective years.  Using an annual discount rate of 12% for purposes of calculating net present value (NPV), the drug company wants to answer the following questions: </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1.Is the drug worth pursuing, or should Gopher Drugs abandon it now and not incur the $9.3M development cost?</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2. How do changes in the model change the answer to the prior question?</a:t>
          </a:r>
        </a:p>
        <a:p>
          <a:endParaRPr lang="en-CA"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2171699</xdr:colOff>
      <xdr:row>0</xdr:row>
      <xdr:rowOff>76200</xdr:rowOff>
    </xdr:from>
    <xdr:to>
      <xdr:col>17</xdr:col>
      <xdr:colOff>161924</xdr:colOff>
      <xdr:row>11</xdr:row>
      <xdr:rowOff>161925</xdr:rowOff>
    </xdr:to>
    <xdr:sp macro="" textlink="">
      <xdr:nvSpPr>
        <xdr:cNvPr id="2" name="TextBox 1">
          <a:extLst>
            <a:ext uri="{FF2B5EF4-FFF2-40B4-BE49-F238E27FC236}">
              <a16:creationId xmlns:a16="http://schemas.microsoft.com/office/drawing/2014/main" id="{CF6965C1-6C74-FE89-7F55-B47E15F86853}"/>
            </a:ext>
          </a:extLst>
        </xdr:cNvPr>
        <xdr:cNvSpPr txBox="1"/>
      </xdr:nvSpPr>
      <xdr:spPr>
        <a:xfrm>
          <a:off x="7981949" y="76200"/>
          <a:ext cx="62579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i="0">
              <a:solidFill>
                <a:schemeClr val="dk1"/>
              </a:solidFill>
              <a:effectLst/>
              <a:latin typeface="+mn-lt"/>
              <a:ea typeface="+mn-ea"/>
              <a:cs typeface="+mn-cs"/>
            </a:rPr>
            <a:t>Campaign</a:t>
          </a:r>
          <a:r>
            <a:rPr lang="en-CA" sz="2000" b="1" i="0" baseline="0">
              <a:solidFill>
                <a:schemeClr val="dk1"/>
              </a:solidFill>
              <a:effectLst/>
              <a:latin typeface="+mn-lt"/>
              <a:ea typeface="+mn-ea"/>
              <a:cs typeface="+mn-cs"/>
            </a:rPr>
            <a:t> Marketing</a:t>
          </a:r>
          <a:endParaRPr lang="en-CA" sz="2000" b="1" i="0">
            <a:solidFill>
              <a:schemeClr val="dk1"/>
            </a:solidFill>
            <a:effectLst/>
            <a:latin typeface="+mn-lt"/>
            <a:ea typeface="+mn-ea"/>
            <a:cs typeface="+mn-cs"/>
          </a:endParaRP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A candidate for mayor has allocated $40,000 for last minute advertising in the days preceding the election.  Two types of ads will be used: radio and television.  Each radio ad costs $200 and reaches an estimated 3000 people.  Each television ad costs $500 and reaches an estimated 7000 people.  The campaigning mayor would like to reach as many people as possible, but she has stipulated that at least 10 ads of each type be used.  Also, the number of radio ads must be at least as great as the number of television ads. </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How many ads of each type should be used?</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How many people will be reached?</a:t>
          </a:r>
        </a:p>
        <a:p>
          <a:endParaRPr lang="en-CA"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342900</xdr:colOff>
      <xdr:row>1</xdr:row>
      <xdr:rowOff>9525</xdr:rowOff>
    </xdr:from>
    <xdr:to>
      <xdr:col>21</xdr:col>
      <xdr:colOff>161925</xdr:colOff>
      <xdr:row>13</xdr:row>
      <xdr:rowOff>104775</xdr:rowOff>
    </xdr:to>
    <xdr:sp macro="" textlink="">
      <xdr:nvSpPr>
        <xdr:cNvPr id="2" name="TextBox 1">
          <a:extLst>
            <a:ext uri="{FF2B5EF4-FFF2-40B4-BE49-F238E27FC236}">
              <a16:creationId xmlns:a16="http://schemas.microsoft.com/office/drawing/2014/main" id="{74C154F4-D2ED-10CD-87B7-5BE25158CD5D}"/>
            </a:ext>
          </a:extLst>
        </xdr:cNvPr>
        <xdr:cNvSpPr txBox="1"/>
      </xdr:nvSpPr>
      <xdr:spPr>
        <a:xfrm>
          <a:off x="5829300" y="200025"/>
          <a:ext cx="7134225" cy="238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i="0">
              <a:solidFill>
                <a:schemeClr val="dk1"/>
              </a:solidFill>
              <a:effectLst/>
              <a:latin typeface="+mn-lt"/>
              <a:ea typeface="+mn-ea"/>
              <a:cs typeface="+mn-cs"/>
            </a:rPr>
            <a:t>PC Tech company </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 </a:t>
          </a:r>
          <a:endParaRPr lang="en-CA"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123825</xdr:colOff>
      <xdr:row>3</xdr:row>
      <xdr:rowOff>142875</xdr:rowOff>
    </xdr:from>
    <xdr:to>
      <xdr:col>21</xdr:col>
      <xdr:colOff>142875</xdr:colOff>
      <xdr:row>13</xdr:row>
      <xdr:rowOff>9525</xdr:rowOff>
    </xdr:to>
    <xdr:sp macro="" textlink="">
      <xdr:nvSpPr>
        <xdr:cNvPr id="2" name="TextBox 1">
          <a:extLst>
            <a:ext uri="{FF2B5EF4-FFF2-40B4-BE49-F238E27FC236}">
              <a16:creationId xmlns:a16="http://schemas.microsoft.com/office/drawing/2014/main" id="{833483D2-EC7D-69B0-CC66-7FD94348569D}"/>
            </a:ext>
          </a:extLst>
        </xdr:cNvPr>
        <xdr:cNvSpPr txBox="1"/>
      </xdr:nvSpPr>
      <xdr:spPr>
        <a:xfrm>
          <a:off x="6219825" y="714375"/>
          <a:ext cx="6724650" cy="177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i="0">
              <a:solidFill>
                <a:schemeClr val="dk1"/>
              </a:solidFill>
              <a:effectLst/>
              <a:latin typeface="+mn-lt"/>
              <a:ea typeface="+mn-ea"/>
              <a:cs typeface="+mn-cs"/>
            </a:rPr>
            <a:t>Investment Allocation</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A brokerage firm has been instructed by a client to invest $250,000. The client requests the firm select whatever stocks and bonds they believe are well-rated, but with the following guidelines:</a:t>
          </a:r>
        </a:p>
        <a:p>
          <a:r>
            <a:rPr lang="en-CA" sz="1100" b="0" i="0">
              <a:solidFill>
                <a:schemeClr val="dk1"/>
              </a:solidFill>
              <a:effectLst/>
              <a:latin typeface="+mn-lt"/>
              <a:ea typeface="+mn-ea"/>
              <a:cs typeface="+mn-cs"/>
            </a:rPr>
            <a:t>Municipal bonds constitute at least 20% of investment.</a:t>
          </a:r>
        </a:p>
        <a:p>
          <a:r>
            <a:rPr lang="en-CA" sz="1100" b="0" i="0">
              <a:solidFill>
                <a:schemeClr val="dk1"/>
              </a:solidFill>
              <a:effectLst/>
              <a:latin typeface="+mn-lt"/>
              <a:ea typeface="+mn-ea"/>
              <a:cs typeface="+mn-cs"/>
            </a:rPr>
            <a:t>At least 40% of the investment is placed in tech stocks.</a:t>
          </a:r>
        </a:p>
        <a:p>
          <a:r>
            <a:rPr lang="en-CA" sz="1100" b="0" i="0">
              <a:solidFill>
                <a:schemeClr val="dk1"/>
              </a:solidFill>
              <a:effectLst/>
              <a:latin typeface="+mn-lt"/>
              <a:ea typeface="+mn-ea"/>
              <a:cs typeface="+mn-cs"/>
            </a:rPr>
            <a:t>No more than 50% of the amount invested in municipal bonds should be high risk.</a:t>
          </a:r>
        </a:p>
        <a:p>
          <a:endParaRPr lang="en-CA"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19050</xdr:colOff>
      <xdr:row>1</xdr:row>
      <xdr:rowOff>1</xdr:rowOff>
    </xdr:from>
    <xdr:to>
      <xdr:col>21</xdr:col>
      <xdr:colOff>19050</xdr:colOff>
      <xdr:row>10</xdr:row>
      <xdr:rowOff>9526</xdr:rowOff>
    </xdr:to>
    <xdr:sp macro="" textlink="">
      <xdr:nvSpPr>
        <xdr:cNvPr id="2" name="TextBox 1">
          <a:extLst>
            <a:ext uri="{FF2B5EF4-FFF2-40B4-BE49-F238E27FC236}">
              <a16:creationId xmlns:a16="http://schemas.microsoft.com/office/drawing/2014/main" id="{86D714BE-EBCD-DF77-49E5-68AC0D3F5259}"/>
            </a:ext>
          </a:extLst>
        </xdr:cNvPr>
        <xdr:cNvSpPr txBox="1"/>
      </xdr:nvSpPr>
      <xdr:spPr>
        <a:xfrm>
          <a:off x="7839075" y="314326"/>
          <a:ext cx="6705600" cy="211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i="0">
              <a:solidFill>
                <a:schemeClr val="dk1"/>
              </a:solidFill>
              <a:effectLst/>
              <a:latin typeface="+mn-lt"/>
              <a:ea typeface="+mn-ea"/>
              <a:cs typeface="+mn-cs"/>
            </a:rPr>
            <a:t>Busing</a:t>
          </a:r>
          <a:r>
            <a:rPr lang="en-CA" sz="2000" b="1" i="0" baseline="0">
              <a:solidFill>
                <a:schemeClr val="dk1"/>
              </a:solidFill>
              <a:effectLst/>
              <a:latin typeface="+mn-lt"/>
              <a:ea typeface="+mn-ea"/>
              <a:cs typeface="+mn-cs"/>
            </a:rPr>
            <a:t> Problem</a:t>
          </a:r>
          <a:endParaRPr lang="en-CA" sz="2000">
            <a:effectLst/>
          </a:endParaRPr>
        </a:p>
        <a:p>
          <a:r>
            <a:rPr lang="en-CA" sz="1100" b="0" i="0">
              <a:solidFill>
                <a:schemeClr val="dk1"/>
              </a:solidFill>
              <a:effectLst/>
              <a:latin typeface="+mn-lt"/>
              <a:ea typeface="+mn-ea"/>
              <a:cs typeface="+mn-cs"/>
            </a:rPr>
            <a:t>Johns Hopkins is setting up three Charter schools in Baltimore City: Kyoko HS, Devon HS, and Manny HS. Each high school has a capacity of 900 students. The Mayor hires your company to assign accepted students to these three new high schools.  Busses will be provided to students who live more than walking distance (defined as 1.5 miles) to the schools. Baltimore City has been partitioned into five neighborhoods: A, B, C, D and E.  Kyoko HS is in sector B, Devon HS is in sector C, and Manny HS is in sector E. If a student lives in a sector and is assigned to the high school in that sector, the student can walk to school and does not get a bus. All students must be assigned a school. The table below shows the distance (in miles) from each sector to each school. Minimize the total student miles travelled by bus. </a:t>
          </a:r>
          <a:endParaRPr lang="en-CA">
            <a:effectLst/>
          </a:endParaRPr>
        </a:p>
        <a:p>
          <a:endParaRPr lang="en-CA"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0</xdr:colOff>
      <xdr:row>1</xdr:row>
      <xdr:rowOff>66676</xdr:rowOff>
    </xdr:from>
    <xdr:to>
      <xdr:col>20</xdr:col>
      <xdr:colOff>514350</xdr:colOff>
      <xdr:row>7</xdr:row>
      <xdr:rowOff>161926</xdr:rowOff>
    </xdr:to>
    <xdr:sp macro="" textlink="">
      <xdr:nvSpPr>
        <xdr:cNvPr id="2" name="TextBox 1">
          <a:extLst>
            <a:ext uri="{FF2B5EF4-FFF2-40B4-BE49-F238E27FC236}">
              <a16:creationId xmlns:a16="http://schemas.microsoft.com/office/drawing/2014/main" id="{7FE26648-9DED-BE3A-7189-5377B09ED8BB}"/>
            </a:ext>
          </a:extLst>
        </xdr:cNvPr>
        <xdr:cNvSpPr txBox="1"/>
      </xdr:nvSpPr>
      <xdr:spPr>
        <a:xfrm>
          <a:off x="6705600" y="257176"/>
          <a:ext cx="60007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i="0">
              <a:solidFill>
                <a:schemeClr val="dk1"/>
              </a:solidFill>
              <a:effectLst/>
              <a:latin typeface="+mn-lt"/>
              <a:ea typeface="+mn-ea"/>
              <a:cs typeface="+mn-cs"/>
            </a:rPr>
            <a:t>New Hire</a:t>
          </a:r>
        </a:p>
        <a:p>
          <a:r>
            <a:rPr lang="en-CA" sz="1100" b="0" i="0">
              <a:solidFill>
                <a:schemeClr val="dk1"/>
              </a:solidFill>
              <a:effectLst/>
              <a:latin typeface="+mn-lt"/>
              <a:ea typeface="+mn-ea"/>
              <a:cs typeface="+mn-cs"/>
            </a:rPr>
            <a:t>A company has three new hires: Jones, Smith, and Wilson. They can be sent to any one of four offices: in Omaha, Dallas, New York, or Miami. Only one candidate can be sent to each office. The cost to relocate each candidate to each of the offices is shown in the table </a:t>
          </a:r>
          <a:endParaRPr lang="en-CA"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0</xdr:colOff>
      <xdr:row>1</xdr:row>
      <xdr:rowOff>0</xdr:rowOff>
    </xdr:from>
    <xdr:to>
      <xdr:col>20</xdr:col>
      <xdr:colOff>457200</xdr:colOff>
      <xdr:row>11</xdr:row>
      <xdr:rowOff>66675</xdr:rowOff>
    </xdr:to>
    <xdr:sp macro="" textlink="">
      <xdr:nvSpPr>
        <xdr:cNvPr id="2" name="TextBox 1">
          <a:extLst>
            <a:ext uri="{FF2B5EF4-FFF2-40B4-BE49-F238E27FC236}">
              <a16:creationId xmlns:a16="http://schemas.microsoft.com/office/drawing/2014/main" id="{166DB38E-499D-6886-8687-4C3ACEB61530}"/>
            </a:ext>
          </a:extLst>
        </xdr:cNvPr>
        <xdr:cNvSpPr txBox="1"/>
      </xdr:nvSpPr>
      <xdr:spPr>
        <a:xfrm>
          <a:off x="6705600" y="190500"/>
          <a:ext cx="5943600"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CA" sz="1800" b="1" i="0">
              <a:solidFill>
                <a:schemeClr val="dk1"/>
              </a:solidFill>
              <a:effectLst/>
              <a:latin typeface="+mn-lt"/>
              <a:ea typeface="+mn-ea"/>
              <a:cs typeface="+mn-cs"/>
            </a:rPr>
            <a:t>MLB Umpire Assignment</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Crews of Major League Baseball (MLB) umpires are currently in the cities of Seattle, Arlington, Oakland, and Baltimore. The crews need to get sent to games that are soon beginning in Kansas City, Chicago, Detroit, and Toronto. Estimated travel distances (in miles) between the cities are shown in the table below.</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Due to a union requirement, the MLB is not allowed to send any crew from Oakland to Toronto.</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Assign one umpire crew to each city (only one per city) to minimize the total distance traveled.</a:t>
          </a:r>
        </a:p>
        <a:p>
          <a:endParaRPr lang="en-CA"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12</xdr:col>
      <xdr:colOff>133350</xdr:colOff>
      <xdr:row>3</xdr:row>
      <xdr:rowOff>19051</xdr:rowOff>
    </xdr:from>
    <xdr:to>
      <xdr:col>22</xdr:col>
      <xdr:colOff>180975</xdr:colOff>
      <xdr:row>10</xdr:row>
      <xdr:rowOff>114301</xdr:rowOff>
    </xdr:to>
    <xdr:sp macro="" textlink="">
      <xdr:nvSpPr>
        <xdr:cNvPr id="2" name="TextBox 1">
          <a:extLst>
            <a:ext uri="{FF2B5EF4-FFF2-40B4-BE49-F238E27FC236}">
              <a16:creationId xmlns:a16="http://schemas.microsoft.com/office/drawing/2014/main" id="{D77F0242-FA51-22AF-23CD-677358CAAE35}"/>
            </a:ext>
          </a:extLst>
        </xdr:cNvPr>
        <xdr:cNvSpPr txBox="1"/>
      </xdr:nvSpPr>
      <xdr:spPr>
        <a:xfrm>
          <a:off x="7448550" y="590551"/>
          <a:ext cx="6143625"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i="0">
              <a:solidFill>
                <a:schemeClr val="dk1"/>
              </a:solidFill>
              <a:effectLst/>
              <a:latin typeface="+mn-lt"/>
              <a:ea typeface="+mn-ea"/>
              <a:cs typeface="+mn-cs"/>
            </a:rPr>
            <a:t>Prince</a:t>
          </a:r>
          <a:r>
            <a:rPr lang="en-CA" sz="1800" b="1" i="0" baseline="0">
              <a:solidFill>
                <a:schemeClr val="dk1"/>
              </a:solidFill>
              <a:effectLst/>
              <a:latin typeface="+mn-lt"/>
              <a:ea typeface="+mn-ea"/>
              <a:cs typeface="+mn-cs"/>
            </a:rPr>
            <a:t>ss Bride</a:t>
          </a:r>
          <a:endParaRPr lang="en-CA" sz="1800" b="1" i="0">
            <a:solidFill>
              <a:schemeClr val="dk1"/>
            </a:solidFill>
            <a:effectLst/>
            <a:latin typeface="+mn-lt"/>
            <a:ea typeface="+mn-ea"/>
            <a:cs typeface="+mn-cs"/>
          </a:endParaRPr>
        </a:p>
        <a:p>
          <a:r>
            <a:rPr lang="en-CA" sz="1100" b="0" i="0">
              <a:solidFill>
                <a:schemeClr val="dk1"/>
              </a:solidFill>
              <a:effectLst/>
              <a:latin typeface="+mn-lt"/>
              <a:ea typeface="+mn-ea"/>
              <a:cs typeface="+mn-cs"/>
            </a:rPr>
            <a:t>Liz Bailey is the owner of Princess Brides, a wedding dress retailer. She uses radio to market and two types of ads are available – those during prime time and those at other times. Each prime time ad costs $390 and reaches 8,200 people on average. Off-peak ads cost $240 and reach 5,100 people on average. Bailey has a budget of $1800 per week for advertising. She wants at least 2 prime time ads and no more than 6 off-peak ads. Find the best mix of ads to purchase so the most people are reached.</a:t>
          </a:r>
          <a:endParaRPr lang="en-CA"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76200</xdr:colOff>
      <xdr:row>2</xdr:row>
      <xdr:rowOff>85725</xdr:rowOff>
    </xdr:from>
    <xdr:to>
      <xdr:col>17</xdr:col>
      <xdr:colOff>495300</xdr:colOff>
      <xdr:row>10</xdr:row>
      <xdr:rowOff>171450</xdr:rowOff>
    </xdr:to>
    <xdr:sp macro="" textlink="">
      <xdr:nvSpPr>
        <xdr:cNvPr id="2" name="TextBox 1">
          <a:extLst>
            <a:ext uri="{FF2B5EF4-FFF2-40B4-BE49-F238E27FC236}">
              <a16:creationId xmlns:a16="http://schemas.microsoft.com/office/drawing/2014/main" id="{E03B21A8-9A25-870E-18D8-12C2BF6D5E04}"/>
            </a:ext>
          </a:extLst>
        </xdr:cNvPr>
        <xdr:cNvSpPr txBox="1"/>
      </xdr:nvSpPr>
      <xdr:spPr>
        <a:xfrm>
          <a:off x="7515225" y="542925"/>
          <a:ext cx="590550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i="0">
              <a:solidFill>
                <a:schemeClr val="dk1"/>
              </a:solidFill>
              <a:effectLst/>
              <a:latin typeface="+mn-lt"/>
              <a:ea typeface="+mn-ea"/>
              <a:cs typeface="+mn-cs"/>
            </a:rPr>
            <a:t>Bolsa de Café </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Bolsa de Café is a specialty coffee shop selling custom blends of coffee using 3 types of beans.  They sell two products: 20 lb bags of blended coffee beans (whole) and individual bags of ground beans sold by the pound in bulk.  The ground beans can be produced in any quantity.  Both bags are composed of three different beans.  The 20lb bags sell for $85 and bags of ground beans sell for $1.50/lb.  Find the number of 20lb bags and number of pounds of ground beans to produce subject to the constraints in the table below so that profit is maximized.</a:t>
          </a:r>
          <a:endParaRPr lang="en-CA"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0</xdr:colOff>
      <xdr:row>1</xdr:row>
      <xdr:rowOff>28573</xdr:rowOff>
    </xdr:from>
    <xdr:to>
      <xdr:col>21</xdr:col>
      <xdr:colOff>257175</xdr:colOff>
      <xdr:row>14</xdr:row>
      <xdr:rowOff>133349</xdr:rowOff>
    </xdr:to>
    <xdr:sp macro="" textlink="">
      <xdr:nvSpPr>
        <xdr:cNvPr id="2" name="TextBox 1">
          <a:extLst>
            <a:ext uri="{FF2B5EF4-FFF2-40B4-BE49-F238E27FC236}">
              <a16:creationId xmlns:a16="http://schemas.microsoft.com/office/drawing/2014/main" id="{A5B7FF34-922B-E2AF-1D3F-3D224EF3721F}"/>
            </a:ext>
          </a:extLst>
        </xdr:cNvPr>
        <xdr:cNvSpPr txBox="1"/>
      </xdr:nvSpPr>
      <xdr:spPr>
        <a:xfrm>
          <a:off x="6296025" y="285748"/>
          <a:ext cx="6962775" cy="2590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i="0">
              <a:solidFill>
                <a:schemeClr val="dk1"/>
              </a:solidFill>
              <a:effectLst/>
              <a:latin typeface="+mn-lt"/>
              <a:ea typeface="+mn-ea"/>
              <a:cs typeface="+mn-cs"/>
            </a:rPr>
            <a:t>Portfolio</a:t>
          </a:r>
          <a:r>
            <a:rPr lang="en-CA" sz="1800" b="1" i="0" baseline="0">
              <a:solidFill>
                <a:schemeClr val="dk1"/>
              </a:solidFill>
              <a:effectLst/>
              <a:latin typeface="+mn-lt"/>
              <a:ea typeface="+mn-ea"/>
              <a:cs typeface="+mn-cs"/>
            </a:rPr>
            <a:t> Variance</a:t>
          </a:r>
          <a:endParaRPr lang="en-CA" sz="1800" b="1" i="0">
            <a:solidFill>
              <a:schemeClr val="dk1"/>
            </a:solidFill>
            <a:effectLst/>
            <a:latin typeface="+mn-lt"/>
            <a:ea typeface="+mn-ea"/>
            <a:cs typeface="+mn-cs"/>
          </a:endParaRP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Ryan, a financial investor for PB&amp;J, is evaluating two stocks in a particular industry.  He want to minimize the variance of a portfolio consisting of these two stocks, but wants to have an expected return of 9%.  After obtaining historical data on past variances and returns, he develops the following </a:t>
          </a:r>
          <a:r>
            <a:rPr lang="en-CA" sz="1100" b="0" i="1">
              <a:solidFill>
                <a:schemeClr val="dk1"/>
              </a:solidFill>
              <a:effectLst/>
              <a:latin typeface="+mn-lt"/>
              <a:ea typeface="+mn-ea"/>
              <a:cs typeface="+mn-cs"/>
            </a:rPr>
            <a:t>non-linear</a:t>
          </a:r>
          <a:r>
            <a:rPr lang="en-CA" sz="1100" b="0" i="0">
              <a:solidFill>
                <a:schemeClr val="dk1"/>
              </a:solidFill>
              <a:effectLst/>
              <a:latin typeface="+mn-lt"/>
              <a:ea typeface="+mn-ea"/>
              <a:cs typeface="+mn-cs"/>
            </a:rPr>
            <a:t> program:</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𝑋</a:t>
          </a:r>
          <a:r>
            <a:rPr lang="en-CA" sz="1100" b="0" i="1">
              <a:solidFill>
                <a:schemeClr val="dk1"/>
              </a:solidFill>
              <a:effectLst/>
              <a:latin typeface="+mn-lt"/>
              <a:ea typeface="+mn-ea"/>
              <a:cs typeface="+mn-cs"/>
            </a:rPr>
            <a:t>X</a:t>
          </a:r>
          <a:r>
            <a:rPr lang="en-CA" sz="1100" b="0" i="0">
              <a:solidFill>
                <a:schemeClr val="dk1"/>
              </a:solidFill>
              <a:effectLst/>
              <a:latin typeface="+mn-lt"/>
              <a:ea typeface="+mn-ea"/>
              <a:cs typeface="+mn-cs"/>
            </a:rPr>
            <a:t> = proportion of money to invest in Stock 1</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𝑌</a:t>
          </a:r>
          <a:r>
            <a:rPr lang="en-CA" sz="1100" b="0" i="1">
              <a:solidFill>
                <a:schemeClr val="dk1"/>
              </a:solidFill>
              <a:effectLst/>
              <a:latin typeface="+mn-lt"/>
              <a:ea typeface="+mn-ea"/>
              <a:cs typeface="+mn-cs"/>
            </a:rPr>
            <a:t>Y</a:t>
          </a:r>
          <a:r>
            <a:rPr lang="en-CA" sz="1100" b="0" i="0">
              <a:solidFill>
                <a:schemeClr val="dk1"/>
              </a:solidFill>
              <a:effectLst/>
              <a:latin typeface="+mn-lt"/>
              <a:ea typeface="+mn-ea"/>
              <a:cs typeface="+mn-cs"/>
            </a:rPr>
            <a:t> = proportion of money to invest in Stock 2</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All funds must be invested. Historical return on Stock 1 is 11%; Historical return on Stock 2 is 8%.</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Min: Var=0.16𝑋2+0.2𝑋𝑌+0.9𝑌2Var=0.16</a:t>
          </a:r>
          <a:r>
            <a:rPr lang="en-CA" sz="1100" b="0" i="1">
              <a:solidFill>
                <a:schemeClr val="dk1"/>
              </a:solidFill>
              <a:effectLst/>
              <a:latin typeface="+mn-lt"/>
              <a:ea typeface="+mn-ea"/>
              <a:cs typeface="+mn-cs"/>
            </a:rPr>
            <a:t>X</a:t>
          </a:r>
          <a:r>
            <a:rPr lang="en-CA" sz="1100" b="0" i="0">
              <a:solidFill>
                <a:schemeClr val="dk1"/>
              </a:solidFill>
              <a:effectLst/>
              <a:latin typeface="+mn-lt"/>
              <a:ea typeface="+mn-ea"/>
              <a:cs typeface="+mn-cs"/>
            </a:rPr>
            <a:t>2+0.2</a:t>
          </a:r>
          <a:r>
            <a:rPr lang="en-CA" sz="1100" b="0" i="1">
              <a:solidFill>
                <a:schemeClr val="dk1"/>
              </a:solidFill>
              <a:effectLst/>
              <a:latin typeface="+mn-lt"/>
              <a:ea typeface="+mn-ea"/>
              <a:cs typeface="+mn-cs"/>
            </a:rPr>
            <a:t>XY</a:t>
          </a:r>
          <a:r>
            <a:rPr lang="en-CA" sz="1100" b="0" i="0">
              <a:solidFill>
                <a:schemeClr val="dk1"/>
              </a:solidFill>
              <a:effectLst/>
              <a:latin typeface="+mn-lt"/>
              <a:ea typeface="+mn-ea"/>
              <a:cs typeface="+mn-cs"/>
            </a:rPr>
            <a:t>+0.9</a:t>
          </a:r>
          <a:r>
            <a:rPr lang="en-CA" sz="1100" b="0" i="1">
              <a:solidFill>
                <a:schemeClr val="dk1"/>
              </a:solidFill>
              <a:effectLst/>
              <a:latin typeface="+mn-lt"/>
              <a:ea typeface="+mn-ea"/>
              <a:cs typeface="+mn-cs"/>
            </a:rPr>
            <a:t>Y</a:t>
          </a:r>
          <a:r>
            <a:rPr lang="en-CA" sz="1100" b="0" i="0">
              <a:solidFill>
                <a:schemeClr val="dk1"/>
              </a:solidFill>
              <a:effectLst/>
              <a:latin typeface="+mn-lt"/>
              <a:ea typeface="+mn-ea"/>
              <a:cs typeface="+mn-cs"/>
            </a:rPr>
            <a:t>2</a:t>
          </a:r>
        </a:p>
        <a:p>
          <a:endParaRPr lang="en-CA"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38099</xdr:colOff>
      <xdr:row>3</xdr:row>
      <xdr:rowOff>9525</xdr:rowOff>
    </xdr:from>
    <xdr:to>
      <xdr:col>20</xdr:col>
      <xdr:colOff>104774</xdr:colOff>
      <xdr:row>13</xdr:row>
      <xdr:rowOff>9525</xdr:rowOff>
    </xdr:to>
    <xdr:sp macro="" textlink="">
      <xdr:nvSpPr>
        <xdr:cNvPr id="2" name="TextBox 1">
          <a:extLst>
            <a:ext uri="{FF2B5EF4-FFF2-40B4-BE49-F238E27FC236}">
              <a16:creationId xmlns:a16="http://schemas.microsoft.com/office/drawing/2014/main" id="{9434DCEA-496C-45B3-1377-DCD7636B6C09}"/>
            </a:ext>
          </a:extLst>
        </xdr:cNvPr>
        <xdr:cNvSpPr txBox="1"/>
      </xdr:nvSpPr>
      <xdr:spPr>
        <a:xfrm>
          <a:off x="6134099" y="581025"/>
          <a:ext cx="61626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i="0">
              <a:solidFill>
                <a:schemeClr val="dk1"/>
              </a:solidFill>
              <a:effectLst/>
              <a:latin typeface="+mn-lt"/>
              <a:ea typeface="+mn-ea"/>
              <a:cs typeface="+mn-cs"/>
            </a:rPr>
            <a:t>Motorcross Snowmobiles</a:t>
          </a:r>
        </a:p>
        <a:p>
          <a:r>
            <a:rPr lang="en-CA" sz="1100" b="0" i="0">
              <a:solidFill>
                <a:schemeClr val="dk1"/>
              </a:solidFill>
              <a:effectLst/>
              <a:latin typeface="+mn-lt"/>
              <a:ea typeface="+mn-ea"/>
              <a:cs typeface="+mn-cs"/>
            </a:rPr>
            <a:t>Motorcross of Wisconsin produces two models of snowmobiles, XJ6 and XJ8.  In any given production-planning week, Motorcross has 40 hours available in its final testing bay.  Each XJ6 requires 1 hour to test and each XJ8 requires 2 hours.  The revenue (in $1,000s) is given as follows:</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 If 𝑋</a:t>
          </a:r>
          <a:r>
            <a:rPr lang="en-CA" sz="1100" b="0" i="1">
              <a:solidFill>
                <a:schemeClr val="dk1"/>
              </a:solidFill>
              <a:effectLst/>
              <a:latin typeface="+mn-lt"/>
              <a:ea typeface="+mn-ea"/>
              <a:cs typeface="+mn-cs"/>
            </a:rPr>
            <a:t>X</a:t>
          </a:r>
          <a:r>
            <a:rPr lang="en-CA" sz="1100" b="0" i="0">
              <a:solidFill>
                <a:schemeClr val="dk1"/>
              </a:solidFill>
              <a:effectLst/>
              <a:latin typeface="+mn-lt"/>
              <a:ea typeface="+mn-ea"/>
              <a:cs typeface="+mn-cs"/>
            </a:rPr>
            <a:t> = # of XJ6 and 𝑌</a:t>
          </a:r>
          <a:r>
            <a:rPr lang="en-CA" sz="1100" b="0" i="1">
              <a:solidFill>
                <a:schemeClr val="dk1"/>
              </a:solidFill>
              <a:effectLst/>
              <a:latin typeface="+mn-lt"/>
              <a:ea typeface="+mn-ea"/>
              <a:cs typeface="+mn-cs"/>
            </a:rPr>
            <a:t>Y</a:t>
          </a:r>
          <a:r>
            <a:rPr lang="en-CA" sz="1100" b="0" i="0">
              <a:solidFill>
                <a:schemeClr val="dk1"/>
              </a:solidFill>
              <a:effectLst/>
              <a:latin typeface="+mn-lt"/>
              <a:ea typeface="+mn-ea"/>
              <a:cs typeface="+mn-cs"/>
            </a:rPr>
            <a:t> = # of XJ8, the revenue is then 𝑅=𝑋(4−0.1𝑋)+𝑌(5−.02𝑌)</a:t>
          </a:r>
          <a:r>
            <a:rPr lang="en-CA" sz="1100" b="0" i="1">
              <a:solidFill>
                <a:schemeClr val="dk1"/>
              </a:solidFill>
              <a:effectLst/>
              <a:latin typeface="+mn-lt"/>
              <a:ea typeface="+mn-ea"/>
              <a:cs typeface="+mn-cs"/>
            </a:rPr>
            <a:t>R</a:t>
          </a:r>
          <a:r>
            <a:rPr lang="en-CA" sz="1100" b="0" i="0">
              <a:solidFill>
                <a:schemeClr val="dk1"/>
              </a:solidFill>
              <a:effectLst/>
              <a:latin typeface="+mn-lt"/>
              <a:ea typeface="+mn-ea"/>
              <a:cs typeface="+mn-cs"/>
            </a:rPr>
            <a:t>=</a:t>
          </a:r>
          <a:r>
            <a:rPr lang="en-CA" sz="1100" b="0" i="1">
              <a:solidFill>
                <a:schemeClr val="dk1"/>
              </a:solidFill>
              <a:effectLst/>
              <a:latin typeface="+mn-lt"/>
              <a:ea typeface="+mn-ea"/>
              <a:cs typeface="+mn-cs"/>
            </a:rPr>
            <a:t>X</a:t>
          </a:r>
          <a:r>
            <a:rPr lang="en-CA" sz="1100" b="0" i="0">
              <a:solidFill>
                <a:schemeClr val="dk1"/>
              </a:solidFill>
              <a:effectLst/>
              <a:latin typeface="+mn-lt"/>
              <a:ea typeface="+mn-ea"/>
              <a:cs typeface="+mn-cs"/>
            </a:rPr>
            <a:t>(4−0.1</a:t>
          </a:r>
          <a:r>
            <a:rPr lang="en-CA" sz="1100" b="0" i="1">
              <a:solidFill>
                <a:schemeClr val="dk1"/>
              </a:solidFill>
              <a:effectLst/>
              <a:latin typeface="+mn-lt"/>
              <a:ea typeface="+mn-ea"/>
              <a:cs typeface="+mn-cs"/>
            </a:rPr>
            <a:t>X</a:t>
          </a:r>
          <a:r>
            <a:rPr lang="en-CA" sz="1100" b="0" i="0">
              <a:solidFill>
                <a:schemeClr val="dk1"/>
              </a:solidFill>
              <a:effectLst/>
              <a:latin typeface="+mn-lt"/>
              <a:ea typeface="+mn-ea"/>
              <a:cs typeface="+mn-cs"/>
            </a:rPr>
            <a:t>)+</a:t>
          </a:r>
          <a:r>
            <a:rPr lang="en-CA" sz="1100" b="0" i="1">
              <a:solidFill>
                <a:schemeClr val="dk1"/>
              </a:solidFill>
              <a:effectLst/>
              <a:latin typeface="+mn-lt"/>
              <a:ea typeface="+mn-ea"/>
              <a:cs typeface="+mn-cs"/>
            </a:rPr>
            <a:t>Y</a:t>
          </a:r>
          <a:r>
            <a:rPr lang="en-CA" sz="1100" b="0" i="0">
              <a:solidFill>
                <a:schemeClr val="dk1"/>
              </a:solidFill>
              <a:effectLst/>
              <a:latin typeface="+mn-lt"/>
              <a:ea typeface="+mn-ea"/>
              <a:cs typeface="+mn-cs"/>
            </a:rPr>
            <a:t>(5−.02</a:t>
          </a:r>
          <a:r>
            <a:rPr lang="en-CA" sz="1100" b="0" i="1">
              <a:solidFill>
                <a:schemeClr val="dk1"/>
              </a:solidFill>
              <a:effectLst/>
              <a:latin typeface="+mn-lt"/>
              <a:ea typeface="+mn-ea"/>
              <a:cs typeface="+mn-cs"/>
            </a:rPr>
            <a:t>Y</a:t>
          </a:r>
          <a:r>
            <a:rPr lang="en-CA" sz="1100" b="0" i="0">
              <a:solidFill>
                <a:schemeClr val="dk1"/>
              </a:solidFill>
              <a:effectLst/>
              <a:latin typeface="+mn-lt"/>
              <a:ea typeface="+mn-ea"/>
              <a:cs typeface="+mn-cs"/>
            </a:rPr>
            <a:t>).</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Find the number of XJ6 and XJ8s to produce so that the revenue is maximized.</a:t>
          </a:r>
        </a:p>
        <a:p>
          <a:endParaRPr lang="en-CA"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66675</xdr:colOff>
      <xdr:row>12</xdr:row>
      <xdr:rowOff>133350</xdr:rowOff>
    </xdr:from>
    <xdr:to>
      <xdr:col>3</xdr:col>
      <xdr:colOff>28575</xdr:colOff>
      <xdr:row>22</xdr:row>
      <xdr:rowOff>171450</xdr:rowOff>
    </xdr:to>
    <xdr:sp macro="" textlink="">
      <xdr:nvSpPr>
        <xdr:cNvPr id="2" name="TextBox 1">
          <a:extLst>
            <a:ext uri="{FF2B5EF4-FFF2-40B4-BE49-F238E27FC236}">
              <a16:creationId xmlns:a16="http://schemas.microsoft.com/office/drawing/2014/main" id="{7AF78C26-0B10-2BC2-C8F5-D3642FAF82E9}"/>
            </a:ext>
          </a:extLst>
        </xdr:cNvPr>
        <xdr:cNvSpPr txBox="1"/>
      </xdr:nvSpPr>
      <xdr:spPr>
        <a:xfrm>
          <a:off x="66675" y="2495550"/>
          <a:ext cx="5943600" cy="194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i="0">
              <a:solidFill>
                <a:schemeClr val="dk1"/>
              </a:solidFill>
              <a:effectLst/>
              <a:latin typeface="+mn-lt"/>
              <a:ea typeface="+mn-ea"/>
              <a:cs typeface="+mn-cs"/>
            </a:rPr>
            <a:t>Binary</a:t>
          </a:r>
          <a:r>
            <a:rPr lang="en-CA" sz="1800" b="1" i="0" baseline="0">
              <a:solidFill>
                <a:schemeClr val="dk1"/>
              </a:solidFill>
              <a:effectLst/>
              <a:latin typeface="+mn-lt"/>
              <a:ea typeface="+mn-ea"/>
              <a:cs typeface="+mn-cs"/>
            </a:rPr>
            <a:t> Investment Decision</a:t>
          </a:r>
          <a:endParaRPr lang="en-CA" sz="1800" b="1" i="0">
            <a:solidFill>
              <a:schemeClr val="dk1"/>
            </a:solidFill>
            <a:effectLst/>
            <a:latin typeface="+mn-lt"/>
            <a:ea typeface="+mn-ea"/>
            <a:cs typeface="+mn-cs"/>
          </a:endParaRPr>
        </a:p>
        <a:p>
          <a:r>
            <a:rPr lang="en-CA" sz="1100" b="0" i="0">
              <a:solidFill>
                <a:schemeClr val="dk1"/>
              </a:solidFill>
              <a:effectLst/>
              <a:latin typeface="+mn-lt"/>
              <a:ea typeface="+mn-ea"/>
              <a:cs typeface="+mn-cs"/>
            </a:rPr>
            <a:t>A financial investment firm specializes in recommending oil stock portfolios for clients.  One such client made the following specifications:</a:t>
          </a:r>
        </a:p>
        <a:p>
          <a:r>
            <a:rPr lang="en-CA" sz="1100" b="0" i="0">
              <a:solidFill>
                <a:schemeClr val="dk1"/>
              </a:solidFill>
              <a:effectLst/>
              <a:latin typeface="+mn-lt"/>
              <a:ea typeface="+mn-ea"/>
              <a:cs typeface="+mn-cs"/>
            </a:rPr>
            <a:t>1. At least two Texas oil firms must be in the portfolio</a:t>
          </a:r>
        </a:p>
        <a:p>
          <a:r>
            <a:rPr lang="en-CA" sz="1100" b="0" i="0">
              <a:solidFill>
                <a:schemeClr val="dk1"/>
              </a:solidFill>
              <a:effectLst/>
              <a:latin typeface="+mn-lt"/>
              <a:ea typeface="+mn-ea"/>
              <a:cs typeface="+mn-cs"/>
            </a:rPr>
            <a:t>2. No more than one investment can be made in foreign oil companies (companies outside of the United States).</a:t>
          </a:r>
        </a:p>
        <a:p>
          <a:r>
            <a:rPr lang="en-CA" sz="1100" b="0" i="0">
              <a:solidFill>
                <a:schemeClr val="dk1"/>
              </a:solidFill>
              <a:effectLst/>
              <a:latin typeface="+mn-lt"/>
              <a:ea typeface="+mn-ea"/>
              <a:cs typeface="+mn-cs"/>
            </a:rPr>
            <a:t>3. One of two California oil stocks must be purchased.</a:t>
          </a:r>
        </a:p>
        <a:p>
          <a:r>
            <a:rPr lang="en-CA" sz="1100" b="0" i="0">
              <a:solidFill>
                <a:schemeClr val="dk1"/>
              </a:solidFill>
              <a:effectLst/>
              <a:latin typeface="+mn-lt"/>
              <a:ea typeface="+mn-ea"/>
              <a:cs typeface="+mn-cs"/>
            </a:rPr>
            <a:t>4. Up to $3 million for investing to purchase single blocks of stock per table below. </a:t>
          </a:r>
        </a:p>
        <a:p>
          <a:endParaRPr lang="en-CA" sz="1100" b="0" i="0">
            <a:solidFill>
              <a:schemeClr val="dk1"/>
            </a:solidFill>
            <a:effectLst/>
            <a:latin typeface="+mn-lt"/>
            <a:ea typeface="+mn-ea"/>
            <a:cs typeface="+mn-cs"/>
          </a:endParaRPr>
        </a:p>
        <a:p>
          <a:r>
            <a:rPr lang="en-CA" sz="1100" b="0" i="0">
              <a:solidFill>
                <a:schemeClr val="dk1"/>
              </a:solidFill>
              <a:effectLst/>
              <a:latin typeface="+mn-lt"/>
              <a:ea typeface="+mn-ea"/>
              <a:cs typeface="+mn-cs"/>
            </a:rPr>
            <a:t>Find the allocation of investments to maximize the return.</a:t>
          </a:r>
        </a:p>
        <a:p>
          <a:endParaRPr lang="en-CA" sz="1100"/>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6-28T02:01:48.703"/>
    </inkml:context>
    <inkml:brush xml:id="br0">
      <inkml:brushProperty name="width" value="0.035" units="cm"/>
      <inkml:brushProperty name="height" value="0.035" units="cm"/>
      <inkml:brushProperty name="color" value="#E71224"/>
    </inkml:brush>
  </inkml:definitions>
  <inkml:trace contextRef="#ctx0" brushRef="#br0">1 0 24575,'2'36'0,"2"0"0,2-1 0,1 1 0,2-2 0,16 44 0,-12-43 0,-3 0 0,0 1 0,-3 0 0,7 71 0,-13-95 17,0 0 0,2 0-1,-1 0 1,1-1 0,1 1-1,7 16 1,9 32-1499,-15-39-5344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6-28T02:01:51.897"/>
    </inkml:context>
    <inkml:brush xml:id="br0">
      <inkml:brushProperty name="width" value="0.035" units="cm"/>
      <inkml:brushProperty name="height" value="0.035" units="cm"/>
      <inkml:brushProperty name="color" value="#E71224"/>
    </inkml:brush>
  </inkml:definitions>
  <inkml:trace contextRef="#ctx0" brushRef="#br0">360 219 24575,'-1'-9'0,"-1"-1"0,0 1 0,0 0 0,-1 0 0,0 0 0,0 0 0,-1 1 0,-9-17 0,3 8 0,-1 0 0,-1 1 0,-17-18 0,24 30 0,0 0 0,0 0 0,0 1 0,0-1 0,-1 1 0,1 1 0,-1-1 0,0 1 0,1 0 0,-1 0 0,0 1 0,-1 0 0,1 0 0,0 0 0,0 1 0,-12 0 0,14 0 0,0 0 0,1 0 0,-1 1 0,0 0 0,0-1 0,0 1 0,1 0 0,-1 1 0,1-1 0,-1 1 0,1 0 0,-1-1 0,1 2 0,0-1 0,0 0 0,0 0 0,0 1 0,0 0 0,1 0 0,-1 0 0,1 0 0,-1 0 0,1 0 0,0 0 0,1 1 0,-1-1 0,-2 7 0,-29 169 0,15-144 76,16-32-220,-1 1 0,1 0 0,0 0 0,0 0-1,0 0 1,1 0 0,-1 0 0,1 0 0,-1 7 0,3-5-6682</inkml:trace>
</inkm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E96C-45D1-4521-B7D9-F2B192889912}">
  <dimension ref="A1:C22"/>
  <sheetViews>
    <sheetView workbookViewId="0">
      <selection activeCell="A2" sqref="A2:B22"/>
    </sheetView>
  </sheetViews>
  <sheetFormatPr defaultRowHeight="15" x14ac:dyDescent="0.25"/>
  <cols>
    <col min="1" max="1" width="18.7109375" bestFit="1" customWidth="1"/>
    <col min="2" max="2" width="12.5703125" style="2" bestFit="1" customWidth="1"/>
  </cols>
  <sheetData>
    <row r="1" spans="1:3" ht="18.75" x14ac:dyDescent="0.3">
      <c r="A1" s="136" t="s">
        <v>0</v>
      </c>
      <c r="B1" s="136"/>
    </row>
    <row r="2" spans="1:3" x14ac:dyDescent="0.25">
      <c r="A2" s="6"/>
      <c r="B2" s="7"/>
    </row>
    <row r="3" spans="1:3" x14ac:dyDescent="0.25">
      <c r="A3" s="9" t="s">
        <v>2</v>
      </c>
      <c r="B3" s="7"/>
    </row>
    <row r="4" spans="1:3" x14ac:dyDescent="0.25">
      <c r="A4" s="14" t="s">
        <v>1</v>
      </c>
      <c r="B4" s="7">
        <v>50000</v>
      </c>
    </row>
    <row r="5" spans="1:3" x14ac:dyDescent="0.25">
      <c r="A5" s="14" t="s">
        <v>8</v>
      </c>
      <c r="B5" s="7">
        <f xml:space="preserve"> 22%*B4</f>
        <v>11000</v>
      </c>
      <c r="C5" t="str">
        <f ca="1">_xlfn.FORMULATEXT(B5)</f>
        <v>= 22%*B4</v>
      </c>
    </row>
    <row r="6" spans="1:3" x14ac:dyDescent="0.25">
      <c r="A6" s="14" t="s">
        <v>3</v>
      </c>
      <c r="B6" s="7">
        <v>5000</v>
      </c>
    </row>
    <row r="7" spans="1:3" x14ac:dyDescent="0.25">
      <c r="A7" s="14" t="s">
        <v>4</v>
      </c>
      <c r="B7" s="7">
        <v>500</v>
      </c>
    </row>
    <row r="8" spans="1:3" x14ac:dyDescent="0.25">
      <c r="A8" s="14" t="s">
        <v>5</v>
      </c>
      <c r="B8" s="7">
        <v>5000</v>
      </c>
    </row>
    <row r="9" spans="1:3" x14ac:dyDescent="0.25">
      <c r="A9" s="10" t="s">
        <v>6</v>
      </c>
      <c r="B9" s="7">
        <f>B4 - B5-B6-B7-B8</f>
        <v>28500</v>
      </c>
      <c r="C9" t="str">
        <f ca="1">_xlfn.FORMULATEXT(B9)</f>
        <v>=B4 - B5-B6-B7-B8</v>
      </c>
    </row>
    <row r="10" spans="1:3" x14ac:dyDescent="0.25">
      <c r="A10" s="6"/>
      <c r="B10" s="7"/>
    </row>
    <row r="11" spans="1:3" x14ac:dyDescent="0.25">
      <c r="A11" s="10" t="s">
        <v>7</v>
      </c>
      <c r="B11" s="7"/>
    </row>
    <row r="12" spans="1:3" x14ac:dyDescent="0.25">
      <c r="A12" s="14" t="s">
        <v>9</v>
      </c>
      <c r="B12" s="7">
        <f>1500 *12</f>
        <v>18000</v>
      </c>
    </row>
    <row r="13" spans="1:3" x14ac:dyDescent="0.25">
      <c r="A13" s="14" t="s">
        <v>10</v>
      </c>
      <c r="B13" s="7">
        <v>5000</v>
      </c>
    </row>
    <row r="14" spans="1:3" x14ac:dyDescent="0.25">
      <c r="A14" s="14" t="s">
        <v>11</v>
      </c>
      <c r="B14" s="7">
        <v>4000</v>
      </c>
    </row>
    <row r="15" spans="1:3" x14ac:dyDescent="0.25">
      <c r="A15" s="14" t="s">
        <v>12</v>
      </c>
      <c r="B15" s="7">
        <v>1000</v>
      </c>
    </row>
    <row r="16" spans="1:3" x14ac:dyDescent="0.25">
      <c r="A16" s="14" t="s">
        <v>13</v>
      </c>
      <c r="B16" s="7">
        <v>500</v>
      </c>
    </row>
    <row r="17" spans="1:2" x14ac:dyDescent="0.25">
      <c r="A17" s="14" t="s">
        <v>14</v>
      </c>
      <c r="B17" s="7">
        <v>500</v>
      </c>
    </row>
    <row r="18" spans="1:2" x14ac:dyDescent="0.25">
      <c r="A18" s="14" t="s">
        <v>15</v>
      </c>
      <c r="B18" s="7">
        <v>500</v>
      </c>
    </row>
    <row r="19" spans="1:2" x14ac:dyDescent="0.25">
      <c r="A19" s="14" t="s">
        <v>16</v>
      </c>
      <c r="B19" s="7">
        <v>1000</v>
      </c>
    </row>
    <row r="20" spans="1:2" x14ac:dyDescent="0.25">
      <c r="A20" s="14" t="s">
        <v>17</v>
      </c>
      <c r="B20" s="7">
        <v>400</v>
      </c>
    </row>
    <row r="21" spans="1:2" x14ac:dyDescent="0.25">
      <c r="A21" s="11" t="s">
        <v>18</v>
      </c>
      <c r="B21" s="7">
        <f xml:space="preserve"> SUM(B12:B20)</f>
        <v>30900</v>
      </c>
    </row>
    <row r="22" spans="1:2" x14ac:dyDescent="0.25">
      <c r="A22" s="10" t="s">
        <v>19</v>
      </c>
      <c r="B22" s="8">
        <f xml:space="preserve"> B9 - B21</f>
        <v>-2400</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03BD9-6327-461D-B74D-6C2A2F44076E}">
  <dimension ref="A1:C19"/>
  <sheetViews>
    <sheetView tabSelected="1" workbookViewId="0">
      <selection activeCell="F5" sqref="F5"/>
    </sheetView>
  </sheetViews>
  <sheetFormatPr defaultRowHeight="15" x14ac:dyDescent="0.25"/>
  <cols>
    <col min="1" max="1" width="30.7109375" bestFit="1" customWidth="1"/>
    <col min="2" max="2" width="10.42578125" style="2" customWidth="1"/>
  </cols>
  <sheetData>
    <row r="1" spans="1:3" ht="21.75" thickBot="1" x14ac:dyDescent="0.4">
      <c r="A1" s="37" t="s">
        <v>20</v>
      </c>
      <c r="B1" s="13"/>
      <c r="C1" s="13"/>
    </row>
    <row r="2" spans="1:3" ht="15.75" thickTop="1" x14ac:dyDescent="0.25"/>
    <row r="3" spans="1:3" x14ac:dyDescent="0.25">
      <c r="A3" t="s">
        <v>21</v>
      </c>
    </row>
    <row r="4" spans="1:3" x14ac:dyDescent="0.25">
      <c r="A4" s="3" t="s">
        <v>22</v>
      </c>
    </row>
    <row r="5" spans="1:3" x14ac:dyDescent="0.25">
      <c r="A5" s="15" t="s">
        <v>23</v>
      </c>
      <c r="B5" s="2">
        <v>750</v>
      </c>
    </row>
    <row r="6" spans="1:3" x14ac:dyDescent="0.25">
      <c r="A6" s="15" t="s">
        <v>24</v>
      </c>
      <c r="B6" s="2">
        <v>8</v>
      </c>
      <c r="C6" t="s">
        <v>25</v>
      </c>
    </row>
    <row r="7" spans="1:3" x14ac:dyDescent="0.25">
      <c r="A7" s="3" t="s">
        <v>28</v>
      </c>
    </row>
    <row r="8" spans="1:3" x14ac:dyDescent="0.25">
      <c r="A8" s="16" t="s">
        <v>29</v>
      </c>
      <c r="B8" s="2">
        <v>18</v>
      </c>
      <c r="C8" t="s">
        <v>25</v>
      </c>
    </row>
    <row r="9" spans="1:3" x14ac:dyDescent="0.25">
      <c r="A9" s="16" t="s">
        <v>30</v>
      </c>
      <c r="B9" s="2">
        <v>6</v>
      </c>
      <c r="C9" t="s">
        <v>25</v>
      </c>
    </row>
    <row r="12" spans="1:3" x14ac:dyDescent="0.25">
      <c r="A12" t="s">
        <v>26</v>
      </c>
      <c r="B12" s="17">
        <v>1450</v>
      </c>
    </row>
    <row r="13" spans="1:3" x14ac:dyDescent="0.25">
      <c r="A13" t="s">
        <v>35</v>
      </c>
      <c r="B13" s="17">
        <v>1200</v>
      </c>
    </row>
    <row r="14" spans="1:3" x14ac:dyDescent="0.25">
      <c r="A14" t="s">
        <v>31</v>
      </c>
      <c r="B14" s="17">
        <f>MIN(B12:B13)</f>
        <v>1200</v>
      </c>
      <c r="C14" t="str">
        <f ca="1">_xlfn.FORMULATEXT(B14)</f>
        <v>=MIN(B12:B13)</v>
      </c>
    </row>
    <row r="15" spans="1:3" x14ac:dyDescent="0.25">
      <c r="A15" t="s">
        <v>32</v>
      </c>
      <c r="B15" s="12">
        <f>MAX(B12-B13,0)</f>
        <v>250</v>
      </c>
      <c r="C15" t="str">
        <f ca="1">_xlfn.FORMULATEXT(B15)</f>
        <v>=MAX(B12-B13,0)</v>
      </c>
    </row>
    <row r="17" spans="1:3" x14ac:dyDescent="0.25">
      <c r="A17" s="3" t="s">
        <v>27</v>
      </c>
      <c r="B17" s="2">
        <f>B5+B6*B12</f>
        <v>12350</v>
      </c>
      <c r="C17" t="str">
        <f t="shared" ref="C17:C18" ca="1" si="0">_xlfn.FORMULATEXT(B17)</f>
        <v>=B5+B6*B12</v>
      </c>
    </row>
    <row r="18" spans="1:3" x14ac:dyDescent="0.25">
      <c r="A18" s="3" t="s">
        <v>33</v>
      </c>
      <c r="B18" s="2">
        <f xml:space="preserve"> B14*B8+B15*B9</f>
        <v>23100</v>
      </c>
      <c r="C18" t="str">
        <f t="shared" ca="1" si="0"/>
        <v>= B14*B8+B15*B9</v>
      </c>
    </row>
    <row r="19" spans="1:3" x14ac:dyDescent="0.25">
      <c r="A19" s="3" t="s">
        <v>34</v>
      </c>
      <c r="B19" s="2">
        <f>B18-B17</f>
        <v>10750</v>
      </c>
      <c r="C19" t="str">
        <f ca="1">_xlfn.FORMULATEXT(B19)</f>
        <v>=B18-B17</v>
      </c>
    </row>
  </sheetData>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8DB1-924F-4FC8-BF09-843A3EE3490E}">
  <dimension ref="A1:F23"/>
  <sheetViews>
    <sheetView topLeftCell="H1" workbookViewId="0">
      <selection activeCell="G16" sqref="G16"/>
    </sheetView>
  </sheetViews>
  <sheetFormatPr defaultRowHeight="15" x14ac:dyDescent="0.25"/>
  <cols>
    <col min="1" max="1" width="18.28515625" customWidth="1"/>
    <col min="2" max="2" width="9.5703125" customWidth="1"/>
    <col min="5" max="6" width="13.140625" customWidth="1"/>
  </cols>
  <sheetData>
    <row r="1" spans="1:5" ht="21" x14ac:dyDescent="0.35">
      <c r="A1" s="137" t="s">
        <v>36</v>
      </c>
      <c r="B1" s="137"/>
      <c r="C1" s="137"/>
      <c r="D1" s="36"/>
    </row>
    <row r="3" spans="1:5" x14ac:dyDescent="0.25">
      <c r="A3" s="5" t="s">
        <v>22</v>
      </c>
      <c r="B3" s="5" t="s">
        <v>37</v>
      </c>
      <c r="C3" s="5" t="s">
        <v>38</v>
      </c>
    </row>
    <row r="4" spans="1:5" x14ac:dyDescent="0.25">
      <c r="A4" s="4" t="s">
        <v>39</v>
      </c>
      <c r="B4" s="25">
        <v>5.5</v>
      </c>
      <c r="C4" s="25">
        <v>4.3</v>
      </c>
      <c r="D4" s="4"/>
      <c r="E4" s="4"/>
    </row>
    <row r="5" spans="1:5" x14ac:dyDescent="0.25">
      <c r="A5" s="4" t="s">
        <v>41</v>
      </c>
      <c r="B5" s="4">
        <v>30</v>
      </c>
      <c r="C5" s="4">
        <v>30</v>
      </c>
      <c r="D5" s="4"/>
      <c r="E5" s="4"/>
    </row>
    <row r="6" spans="1:5" x14ac:dyDescent="0.25">
      <c r="A6" s="4" t="s">
        <v>40</v>
      </c>
      <c r="B6" s="25">
        <f xml:space="preserve"> B5 * B4</f>
        <v>165</v>
      </c>
      <c r="C6" s="25">
        <f xml:space="preserve"> C5 * C4</f>
        <v>129</v>
      </c>
      <c r="D6" s="4"/>
      <c r="E6" s="4"/>
    </row>
    <row r="7" spans="1:5" x14ac:dyDescent="0.25">
      <c r="A7" s="4"/>
      <c r="B7" s="4"/>
      <c r="C7" s="4"/>
      <c r="D7" s="4"/>
      <c r="E7" s="4"/>
    </row>
    <row r="8" spans="1:5" x14ac:dyDescent="0.25">
      <c r="A8" s="4"/>
      <c r="B8" s="4"/>
      <c r="C8" s="4"/>
      <c r="D8" s="4"/>
      <c r="E8" s="4"/>
    </row>
    <row r="9" spans="1:5" x14ac:dyDescent="0.25">
      <c r="A9" s="4" t="s">
        <v>43</v>
      </c>
      <c r="B9" s="4">
        <v>16</v>
      </c>
      <c r="C9" s="4">
        <v>16</v>
      </c>
      <c r="D9" s="4"/>
      <c r="E9" s="4"/>
    </row>
    <row r="10" spans="1:5" x14ac:dyDescent="0.25">
      <c r="A10" s="4" t="s">
        <v>42</v>
      </c>
      <c r="B10" s="25">
        <v>18.5</v>
      </c>
      <c r="C10" s="25">
        <v>18.5</v>
      </c>
      <c r="D10" s="4"/>
      <c r="E10" s="4"/>
    </row>
    <row r="11" spans="1:5" x14ac:dyDescent="0.25">
      <c r="A11" s="4" t="s">
        <v>44</v>
      </c>
      <c r="B11" s="25">
        <f xml:space="preserve"> B9 * B10</f>
        <v>296</v>
      </c>
      <c r="C11" s="25">
        <f xml:space="preserve"> C9 * C10</f>
        <v>296</v>
      </c>
      <c r="D11" s="4"/>
      <c r="E11" s="4"/>
    </row>
    <row r="12" spans="1:5" x14ac:dyDescent="0.25">
      <c r="A12" s="4"/>
      <c r="B12" s="4"/>
      <c r="C12" s="4"/>
      <c r="D12" s="4"/>
      <c r="E12" s="4"/>
    </row>
    <row r="13" spans="1:5" x14ac:dyDescent="0.25">
      <c r="A13" s="4" t="s">
        <v>27</v>
      </c>
      <c r="B13" s="25">
        <v>461</v>
      </c>
      <c r="C13" s="25">
        <v>425</v>
      </c>
      <c r="D13" s="4"/>
      <c r="E13" s="4"/>
    </row>
    <row r="14" spans="1:5" x14ac:dyDescent="0.25">
      <c r="A14" s="4"/>
      <c r="B14" s="4"/>
      <c r="C14" s="4"/>
      <c r="D14" s="4"/>
      <c r="E14" s="4"/>
    </row>
    <row r="15" spans="1:5" x14ac:dyDescent="0.25">
      <c r="A15" s="4" t="s">
        <v>45</v>
      </c>
      <c r="B15" s="26">
        <v>2.4E-2</v>
      </c>
      <c r="C15" s="26">
        <v>1.7000000000000001E-2</v>
      </c>
      <c r="D15" s="26">
        <v>1.4999999999999999E-2</v>
      </c>
      <c r="E15" s="4"/>
    </row>
    <row r="17" spans="1:6" ht="15.75" customHeight="1" x14ac:dyDescent="0.25">
      <c r="A17" s="21" t="s">
        <v>46</v>
      </c>
      <c r="B17" s="21" t="s">
        <v>37</v>
      </c>
      <c r="C17" s="21" t="s">
        <v>47</v>
      </c>
      <c r="D17" s="21" t="s">
        <v>48</v>
      </c>
      <c r="E17" s="21" t="s">
        <v>49</v>
      </c>
      <c r="F17" s="21" t="s">
        <v>50</v>
      </c>
    </row>
    <row r="18" spans="1:6" x14ac:dyDescent="0.25">
      <c r="A18" s="22">
        <v>0</v>
      </c>
      <c r="B18" s="24">
        <f>B6</f>
        <v>165</v>
      </c>
      <c r="C18" s="24">
        <f>C6</f>
        <v>129</v>
      </c>
      <c r="D18" s="24">
        <f>C11</f>
        <v>296</v>
      </c>
      <c r="E18" s="24">
        <f xml:space="preserve"> B18 + D18</f>
        <v>461</v>
      </c>
      <c r="F18" s="24">
        <f xml:space="preserve"> C18 + D18</f>
        <v>425</v>
      </c>
    </row>
    <row r="19" spans="1:6" x14ac:dyDescent="0.25">
      <c r="A19" s="22">
        <v>1</v>
      </c>
      <c r="B19" s="24">
        <f>B18*(1+$B$15)</f>
        <v>168.96</v>
      </c>
      <c r="C19" s="24">
        <f>C18*(1+$C$15)</f>
        <v>131.19299999999998</v>
      </c>
      <c r="D19" s="24">
        <f xml:space="preserve"> D18 * (1+$D$15)</f>
        <v>300.44</v>
      </c>
      <c r="E19" s="24">
        <f xml:space="preserve"> B19 + D19</f>
        <v>469.4</v>
      </c>
      <c r="F19" s="24">
        <f xml:space="preserve"> C19 + D19</f>
        <v>431.63299999999998</v>
      </c>
    </row>
    <row r="20" spans="1:6" x14ac:dyDescent="0.25">
      <c r="A20" s="22">
        <v>2</v>
      </c>
      <c r="B20" s="24">
        <f t="shared" ref="B20:B23" si="0">B19*(1+$B$15)</f>
        <v>173.01504</v>
      </c>
      <c r="C20" s="24">
        <f t="shared" ref="C20:C23" si="1">C19*(1+$C$15)</f>
        <v>133.42328099999997</v>
      </c>
      <c r="D20" s="24">
        <f t="shared" ref="D20:D23" si="2" xml:space="preserve"> D19 * (1+$D$15)</f>
        <v>304.94659999999999</v>
      </c>
      <c r="E20" s="24">
        <f t="shared" ref="E20:E23" si="3" xml:space="preserve"> B20 + D20</f>
        <v>477.96163999999999</v>
      </c>
      <c r="F20" s="24">
        <f t="shared" ref="F20:F23" si="4" xml:space="preserve"> C20 + D20</f>
        <v>438.36988099999996</v>
      </c>
    </row>
    <row r="21" spans="1:6" x14ac:dyDescent="0.25">
      <c r="A21" s="22">
        <v>3</v>
      </c>
      <c r="B21" s="24">
        <f t="shared" si="0"/>
        <v>177.16740096000001</v>
      </c>
      <c r="C21" s="24">
        <f t="shared" si="1"/>
        <v>135.69147677699996</v>
      </c>
      <c r="D21" s="24">
        <f t="shared" si="2"/>
        <v>309.52079899999995</v>
      </c>
      <c r="E21" s="24">
        <f t="shared" si="3"/>
        <v>486.68819995999996</v>
      </c>
      <c r="F21" s="24">
        <f t="shared" si="4"/>
        <v>445.21227577699995</v>
      </c>
    </row>
    <row r="22" spans="1:6" x14ac:dyDescent="0.25">
      <c r="A22" s="22">
        <v>4</v>
      </c>
      <c r="B22" s="24">
        <f t="shared" si="0"/>
        <v>181.41941858304003</v>
      </c>
      <c r="C22" s="24">
        <f t="shared" si="1"/>
        <v>137.99823188220896</v>
      </c>
      <c r="D22" s="24">
        <f t="shared" si="2"/>
        <v>314.16361098499993</v>
      </c>
      <c r="E22" s="24">
        <f t="shared" si="3"/>
        <v>495.58302956803993</v>
      </c>
      <c r="F22" s="24">
        <f t="shared" si="4"/>
        <v>452.16184286720886</v>
      </c>
    </row>
    <row r="23" spans="1:6" x14ac:dyDescent="0.25">
      <c r="A23" s="22">
        <v>5</v>
      </c>
      <c r="B23" s="24">
        <f t="shared" si="0"/>
        <v>185.77348462903299</v>
      </c>
      <c r="C23" s="24">
        <f t="shared" si="1"/>
        <v>140.34420182420649</v>
      </c>
      <c r="D23" s="24">
        <f t="shared" si="2"/>
        <v>318.87606514977489</v>
      </c>
      <c r="E23" s="24">
        <f t="shared" si="3"/>
        <v>504.64954977880791</v>
      </c>
      <c r="F23" s="24">
        <f t="shared" si="4"/>
        <v>459.22026697398138</v>
      </c>
    </row>
  </sheetData>
  <mergeCells count="1">
    <mergeCell ref="A1:C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9F140-E5C9-4CF0-8271-C8109835F6B2}">
  <dimension ref="A1:H21"/>
  <sheetViews>
    <sheetView zoomScale="98" workbookViewId="0">
      <selection sqref="A1:B1"/>
    </sheetView>
  </sheetViews>
  <sheetFormatPr defaultRowHeight="15" x14ac:dyDescent="0.25"/>
  <cols>
    <col min="1" max="1" width="26.28515625" customWidth="1"/>
    <col min="2" max="2" width="11.140625" style="19" bestFit="1" customWidth="1"/>
    <col min="3" max="3" width="10.85546875" bestFit="1" customWidth="1"/>
    <col min="7" max="7" width="14.5703125" bestFit="1" customWidth="1"/>
    <col min="8" max="8" width="11.5703125" style="30" bestFit="1" customWidth="1"/>
  </cols>
  <sheetData>
    <row r="1" spans="1:8" ht="19.5" x14ac:dyDescent="0.3">
      <c r="A1" s="137" t="s">
        <v>51</v>
      </c>
      <c r="B1" s="137"/>
    </row>
    <row r="3" spans="1:8" x14ac:dyDescent="0.25">
      <c r="A3" t="s">
        <v>52</v>
      </c>
      <c r="G3" t="s">
        <v>65</v>
      </c>
    </row>
    <row r="4" spans="1:8" x14ac:dyDescent="0.25">
      <c r="A4" t="s">
        <v>22</v>
      </c>
      <c r="G4" t="s">
        <v>66</v>
      </c>
      <c r="H4" s="30" t="s">
        <v>67</v>
      </c>
    </row>
    <row r="5" spans="1:8" x14ac:dyDescent="0.25">
      <c r="A5" s="15" t="s">
        <v>53</v>
      </c>
      <c r="B5" s="19">
        <v>20000</v>
      </c>
      <c r="H5" s="31">
        <f>B21</f>
        <v>0</v>
      </c>
    </row>
    <row r="6" spans="1:8" x14ac:dyDescent="0.25">
      <c r="A6" t="s">
        <v>54</v>
      </c>
      <c r="G6" s="29">
        <v>0.03</v>
      </c>
      <c r="H6" s="30">
        <f t="dataTable" ref="H6:H16" dt2D="0" dtr="0" r1="B15"/>
        <v>-21600</v>
      </c>
    </row>
    <row r="7" spans="1:8" x14ac:dyDescent="0.25">
      <c r="A7" s="27" t="s">
        <v>53</v>
      </c>
      <c r="B7" s="19">
        <v>0.1</v>
      </c>
      <c r="C7" t="s">
        <v>55</v>
      </c>
      <c r="G7" s="18">
        <v>3.5000000000000003E-2</v>
      </c>
      <c r="H7" s="30">
        <v>-17700</v>
      </c>
    </row>
    <row r="8" spans="1:8" x14ac:dyDescent="0.25">
      <c r="A8" s="27" t="s">
        <v>56</v>
      </c>
      <c r="B8" s="19">
        <v>0.15</v>
      </c>
      <c r="C8" t="s">
        <v>55</v>
      </c>
      <c r="G8" s="29">
        <v>0.04</v>
      </c>
      <c r="H8" s="30">
        <v>-13800</v>
      </c>
    </row>
    <row r="9" spans="1:8" x14ac:dyDescent="0.25">
      <c r="A9" s="27" t="s">
        <v>57</v>
      </c>
      <c r="B9" s="19">
        <v>0.2</v>
      </c>
      <c r="C9" t="s">
        <v>58</v>
      </c>
      <c r="G9" s="18">
        <v>4.4999999999999998E-2</v>
      </c>
      <c r="H9" s="30">
        <v>-9900</v>
      </c>
    </row>
    <row r="10" spans="1:8" x14ac:dyDescent="0.25">
      <c r="A10" s="27" t="s">
        <v>59</v>
      </c>
      <c r="B10" s="19">
        <v>32</v>
      </c>
      <c r="C10" t="s">
        <v>58</v>
      </c>
      <c r="G10" s="29">
        <v>0.05</v>
      </c>
      <c r="H10" s="30">
        <v>-6000</v>
      </c>
    </row>
    <row r="11" spans="1:8" x14ac:dyDescent="0.25">
      <c r="A11" s="27" t="s">
        <v>64</v>
      </c>
      <c r="B11" s="19">
        <f>B5+(B7+B8)*B14+(B9+B10)*B16</f>
        <v>230769.23076923075</v>
      </c>
      <c r="C11" t="str">
        <f ca="1">_xlfn.FORMULATEXT(B11)</f>
        <v>=B5+(B7+B8)*B14+(B9+B10)*B16</v>
      </c>
      <c r="G11" s="18">
        <v>5.5E-2</v>
      </c>
      <c r="H11" s="30">
        <v>-2100.0000000000291</v>
      </c>
    </row>
    <row r="12" spans="1:8" x14ac:dyDescent="0.25">
      <c r="G12" s="29">
        <v>0.06</v>
      </c>
      <c r="H12" s="30">
        <v>1799.9999999999709</v>
      </c>
    </row>
    <row r="13" spans="1:8" x14ac:dyDescent="0.25">
      <c r="G13" s="18">
        <v>6.5000000000000002E-2</v>
      </c>
      <c r="H13" s="30">
        <v>5699.9999999999709</v>
      </c>
    </row>
    <row r="14" spans="1:8" x14ac:dyDescent="0.25">
      <c r="A14" t="s">
        <v>60</v>
      </c>
      <c r="B14" s="19">
        <v>100000</v>
      </c>
      <c r="G14" s="29">
        <v>7.0000000000000007E-2</v>
      </c>
      <c r="H14" s="30">
        <v>9600</v>
      </c>
    </row>
    <row r="15" spans="1:8" x14ac:dyDescent="0.25">
      <c r="A15" t="s">
        <v>62</v>
      </c>
      <c r="B15" s="23">
        <v>5.7692307692307689E-2</v>
      </c>
      <c r="C15" t="s">
        <v>68</v>
      </c>
      <c r="G15" s="18">
        <v>7.4999999999999997E-2</v>
      </c>
      <c r="H15" s="30">
        <v>13500</v>
      </c>
    </row>
    <row r="16" spans="1:8" x14ac:dyDescent="0.25">
      <c r="A16" t="s">
        <v>63</v>
      </c>
      <c r="B16" s="32">
        <f xml:space="preserve"> B15 * B14</f>
        <v>5769.2307692307686</v>
      </c>
      <c r="C16" t="str">
        <f ca="1">_xlfn.FORMULATEXT(B16)</f>
        <v>= B15 * B14</v>
      </c>
      <c r="G16" s="29">
        <v>0.08</v>
      </c>
      <c r="H16" s="30">
        <v>17400</v>
      </c>
    </row>
    <row r="18" spans="1:3" x14ac:dyDescent="0.25">
      <c r="A18" t="s">
        <v>28</v>
      </c>
    </row>
    <row r="19" spans="1:3" x14ac:dyDescent="0.25">
      <c r="A19" t="s">
        <v>61</v>
      </c>
      <c r="B19" s="19">
        <v>40</v>
      </c>
    </row>
    <row r="20" spans="1:3" x14ac:dyDescent="0.25">
      <c r="A20" t="s">
        <v>33</v>
      </c>
      <c r="B20" s="19">
        <f>B16*B19</f>
        <v>230769.23076923075</v>
      </c>
      <c r="C20" t="str">
        <f ca="1">_xlfn.FORMULATEXT(B20)</f>
        <v>=B16*B19</v>
      </c>
    </row>
    <row r="21" spans="1:3" x14ac:dyDescent="0.25">
      <c r="A21" s="3" t="s">
        <v>34</v>
      </c>
      <c r="B21" s="28">
        <f>B20-B11</f>
        <v>0</v>
      </c>
    </row>
  </sheetData>
  <mergeCells count="1">
    <mergeCell ref="A1:B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12D4C-9DBC-4889-B5CC-BA8BB7DF9199}">
  <dimension ref="A1:P34"/>
  <sheetViews>
    <sheetView topLeftCell="A4" zoomScale="104" zoomScaleNormal="70" workbookViewId="0">
      <selection activeCell="F24" sqref="F24:P34"/>
    </sheetView>
  </sheetViews>
  <sheetFormatPr defaultRowHeight="15" x14ac:dyDescent="0.25"/>
  <cols>
    <col min="1" max="1" width="16.7109375" customWidth="1"/>
    <col min="2" max="2" width="12.5703125" bestFit="1" customWidth="1"/>
    <col min="3" max="3" width="10.140625" bestFit="1" customWidth="1"/>
    <col min="8" max="8" width="13.140625" customWidth="1"/>
    <col min="9" max="9" width="12.85546875" customWidth="1"/>
    <col min="10" max="16" width="11.5703125" bestFit="1" customWidth="1"/>
  </cols>
  <sheetData>
    <row r="1" spans="1:6" ht="19.5" x14ac:dyDescent="0.3">
      <c r="A1" s="137" t="s">
        <v>69</v>
      </c>
      <c r="B1" s="137"/>
    </row>
    <row r="3" spans="1:6" x14ac:dyDescent="0.25">
      <c r="E3" t="s">
        <v>73</v>
      </c>
    </row>
    <row r="4" spans="1:6" x14ac:dyDescent="0.25">
      <c r="A4" t="s">
        <v>70</v>
      </c>
      <c r="B4" s="1">
        <v>30</v>
      </c>
      <c r="E4" s="20" t="s">
        <v>71</v>
      </c>
      <c r="F4" s="20" t="s">
        <v>74</v>
      </c>
    </row>
    <row r="5" spans="1:6" x14ac:dyDescent="0.25">
      <c r="A5" t="s">
        <v>79</v>
      </c>
      <c r="B5" s="1">
        <v>10</v>
      </c>
      <c r="E5" s="20">
        <v>0</v>
      </c>
      <c r="F5" s="33">
        <v>24</v>
      </c>
    </row>
    <row r="6" spans="1:6" x14ac:dyDescent="0.25">
      <c r="E6" s="20">
        <v>1000</v>
      </c>
      <c r="F6" s="33">
        <v>23</v>
      </c>
    </row>
    <row r="7" spans="1:6" x14ac:dyDescent="0.25">
      <c r="E7" s="20">
        <v>2000</v>
      </c>
      <c r="F7" s="33">
        <v>22.25</v>
      </c>
    </row>
    <row r="8" spans="1:6" x14ac:dyDescent="0.25">
      <c r="E8" s="20">
        <v>3000</v>
      </c>
      <c r="F8" s="33">
        <v>21.75</v>
      </c>
    </row>
    <row r="9" spans="1:6" x14ac:dyDescent="0.25">
      <c r="A9" t="s">
        <v>75</v>
      </c>
      <c r="B9" s="34">
        <v>3500</v>
      </c>
      <c r="C9" t="s">
        <v>76</v>
      </c>
      <c r="E9" s="20">
        <v>4000</v>
      </c>
      <c r="F9" s="33">
        <v>21.3</v>
      </c>
    </row>
    <row r="10" spans="1:6" x14ac:dyDescent="0.25">
      <c r="A10" t="s">
        <v>72</v>
      </c>
      <c r="B10" s="34">
        <v>4500</v>
      </c>
    </row>
    <row r="12" spans="1:6" x14ac:dyDescent="0.25">
      <c r="A12" t="s">
        <v>77</v>
      </c>
      <c r="B12">
        <f>MAX(B10-B9,0)</f>
        <v>1000</v>
      </c>
      <c r="C12" t="str">
        <f ca="1">_xlfn.FORMULATEXT(B12)</f>
        <v>=MAX(B10-B9,0)</v>
      </c>
    </row>
    <row r="13" spans="1:6" x14ac:dyDescent="0.25">
      <c r="A13" t="s">
        <v>78</v>
      </c>
      <c r="B13">
        <f>IF(B9&gt;B10,0,B10-B9)</f>
        <v>1000</v>
      </c>
      <c r="C13" t="str">
        <f ca="1">_xlfn.FORMULATEXT(B13)</f>
        <v>=IF(B9&gt;B10,0,B10-B9)</v>
      </c>
    </row>
    <row r="15" spans="1:6" x14ac:dyDescent="0.25">
      <c r="A15" t="s">
        <v>80</v>
      </c>
      <c r="B15" s="1">
        <f>VLOOKUP(B10,E4:F9,2,TRUE)*B10</f>
        <v>95850</v>
      </c>
      <c r="C15" t="str">
        <f ca="1">_xlfn.FORMULATEXT(B15)</f>
        <v>=VLOOKUP(B10,E4:F9,2,TRUE)*B10</v>
      </c>
    </row>
    <row r="17" spans="1:16" x14ac:dyDescent="0.25">
      <c r="A17" t="s">
        <v>28</v>
      </c>
      <c r="B17" s="35">
        <f>MIN(B9:B10)*B4+B12*B5</f>
        <v>115000</v>
      </c>
      <c r="C17" t="str">
        <f ca="1">_xlfn.FORMULATEXT(B17)</f>
        <v>=MIN(B9:B10)*B4+B12*B5</v>
      </c>
    </row>
    <row r="19" spans="1:16" x14ac:dyDescent="0.25">
      <c r="A19" t="s">
        <v>67</v>
      </c>
      <c r="B19" s="3">
        <f>B17-B15</f>
        <v>19150</v>
      </c>
      <c r="C19" t="str">
        <f ca="1">_xlfn.FORMULATEXT(B19)</f>
        <v>=B17-B15</v>
      </c>
    </row>
    <row r="24" spans="1:16" x14ac:dyDescent="0.25">
      <c r="H24" s="138" t="s">
        <v>75</v>
      </c>
      <c r="I24" s="138"/>
      <c r="J24" s="138"/>
      <c r="K24" s="138"/>
      <c r="L24" s="138"/>
      <c r="M24" s="138"/>
      <c r="N24" s="138"/>
      <c r="O24" s="138"/>
      <c r="P24" s="138"/>
    </row>
    <row r="25" spans="1:16" x14ac:dyDescent="0.25">
      <c r="G25" s="38">
        <f>B19</f>
        <v>19150</v>
      </c>
      <c r="H25" s="20">
        <v>500</v>
      </c>
      <c r="I25" s="20">
        <v>1000</v>
      </c>
      <c r="J25" s="20">
        <v>1500</v>
      </c>
      <c r="K25" s="20">
        <v>2000</v>
      </c>
      <c r="L25" s="20">
        <v>2500</v>
      </c>
      <c r="M25" s="20">
        <v>3000</v>
      </c>
      <c r="N25" s="20">
        <v>3500</v>
      </c>
      <c r="O25" s="20">
        <v>4000</v>
      </c>
      <c r="P25" s="20">
        <v>4500</v>
      </c>
    </row>
    <row r="26" spans="1:16" x14ac:dyDescent="0.25">
      <c r="F26" s="139" t="s">
        <v>81</v>
      </c>
      <c r="G26" s="20">
        <v>500</v>
      </c>
      <c r="H26" s="39">
        <f t="dataTable" ref="H26:P34" dt2D="1" dtr="1" r1="B9" r2="B10"/>
        <v>3000</v>
      </c>
      <c r="I26" s="39">
        <v>3000</v>
      </c>
      <c r="J26" s="39">
        <v>3000</v>
      </c>
      <c r="K26" s="39">
        <v>3000</v>
      </c>
      <c r="L26" s="39">
        <v>3000</v>
      </c>
      <c r="M26" s="39">
        <v>3000</v>
      </c>
      <c r="N26" s="39">
        <v>3000</v>
      </c>
      <c r="O26" s="39">
        <v>3000</v>
      </c>
      <c r="P26" s="39">
        <v>3000</v>
      </c>
    </row>
    <row r="27" spans="1:16" x14ac:dyDescent="0.25">
      <c r="F27" s="140"/>
      <c r="G27" s="20">
        <v>1000</v>
      </c>
      <c r="H27" s="39">
        <v>-3000</v>
      </c>
      <c r="I27" s="39">
        <v>7000</v>
      </c>
      <c r="J27" s="39">
        <v>7000</v>
      </c>
      <c r="K27" s="39">
        <v>7000</v>
      </c>
      <c r="L27" s="39">
        <v>7000</v>
      </c>
      <c r="M27" s="39">
        <v>7000</v>
      </c>
      <c r="N27" s="39">
        <v>7000</v>
      </c>
      <c r="O27" s="39">
        <v>7000</v>
      </c>
      <c r="P27" s="39">
        <v>7000</v>
      </c>
    </row>
    <row r="28" spans="1:16" x14ac:dyDescent="0.25">
      <c r="F28" s="140"/>
      <c r="G28" s="20">
        <v>1500</v>
      </c>
      <c r="H28" s="39">
        <v>-9500</v>
      </c>
      <c r="I28" s="39">
        <v>500</v>
      </c>
      <c r="J28" s="39">
        <v>10500</v>
      </c>
      <c r="K28" s="39">
        <v>10500</v>
      </c>
      <c r="L28" s="39">
        <v>10500</v>
      </c>
      <c r="M28" s="39">
        <v>10500</v>
      </c>
      <c r="N28" s="39">
        <v>10500</v>
      </c>
      <c r="O28" s="39">
        <v>10500</v>
      </c>
      <c r="P28" s="39">
        <v>10500</v>
      </c>
    </row>
    <row r="29" spans="1:16" x14ac:dyDescent="0.25">
      <c r="F29" s="140"/>
      <c r="G29" s="20">
        <v>2000</v>
      </c>
      <c r="H29" s="39">
        <v>-14500</v>
      </c>
      <c r="I29" s="39">
        <v>-4500</v>
      </c>
      <c r="J29" s="39">
        <v>5500</v>
      </c>
      <c r="K29" s="39">
        <v>15500</v>
      </c>
      <c r="L29" s="39">
        <v>15500</v>
      </c>
      <c r="M29" s="39">
        <v>15500</v>
      </c>
      <c r="N29" s="39">
        <v>15500</v>
      </c>
      <c r="O29" s="39">
        <v>15500</v>
      </c>
      <c r="P29" s="39">
        <v>15500</v>
      </c>
    </row>
    <row r="30" spans="1:16" x14ac:dyDescent="0.25">
      <c r="F30" s="140"/>
      <c r="G30" s="20">
        <v>2500</v>
      </c>
      <c r="H30" s="39">
        <v>-20625</v>
      </c>
      <c r="I30" s="39">
        <v>-10625</v>
      </c>
      <c r="J30" s="39">
        <v>-625</v>
      </c>
      <c r="K30" s="39">
        <v>9375</v>
      </c>
      <c r="L30" s="39">
        <v>19375</v>
      </c>
      <c r="M30" s="39">
        <v>19375</v>
      </c>
      <c r="N30" s="39">
        <v>19375</v>
      </c>
      <c r="O30" s="39">
        <v>19375</v>
      </c>
      <c r="P30" s="39">
        <v>19375</v>
      </c>
    </row>
    <row r="31" spans="1:16" x14ac:dyDescent="0.25">
      <c r="F31" s="140"/>
      <c r="G31" s="20">
        <v>3000</v>
      </c>
      <c r="H31" s="39">
        <v>-25250</v>
      </c>
      <c r="I31" s="39">
        <v>-15250</v>
      </c>
      <c r="J31" s="39">
        <v>-5250</v>
      </c>
      <c r="K31" s="39">
        <v>4750</v>
      </c>
      <c r="L31" s="39">
        <v>14750</v>
      </c>
      <c r="M31" s="39">
        <v>24750</v>
      </c>
      <c r="N31" s="39">
        <v>24750</v>
      </c>
      <c r="O31" s="39">
        <v>24750</v>
      </c>
      <c r="P31" s="39">
        <v>24750</v>
      </c>
    </row>
    <row r="32" spans="1:16" x14ac:dyDescent="0.25">
      <c r="F32" s="140"/>
      <c r="G32" s="20">
        <v>3500</v>
      </c>
      <c r="H32" s="39">
        <v>-31125</v>
      </c>
      <c r="I32" s="39">
        <v>-21125</v>
      </c>
      <c r="J32" s="39">
        <v>-11125</v>
      </c>
      <c r="K32" s="39">
        <v>-1125</v>
      </c>
      <c r="L32" s="39">
        <v>8875</v>
      </c>
      <c r="M32" s="39">
        <v>18875</v>
      </c>
      <c r="N32" s="39">
        <v>28875</v>
      </c>
      <c r="O32" s="39">
        <v>28875</v>
      </c>
      <c r="P32" s="39">
        <v>28875</v>
      </c>
    </row>
    <row r="33" spans="6:16" x14ac:dyDescent="0.25">
      <c r="F33" s="140"/>
      <c r="G33" s="20">
        <v>4000</v>
      </c>
      <c r="H33" s="39">
        <v>-35200</v>
      </c>
      <c r="I33" s="39">
        <v>-25200</v>
      </c>
      <c r="J33" s="39">
        <v>-15200</v>
      </c>
      <c r="K33" s="39">
        <v>-5200</v>
      </c>
      <c r="L33" s="39">
        <v>4800</v>
      </c>
      <c r="M33" s="39">
        <v>14800</v>
      </c>
      <c r="N33" s="39">
        <v>24800</v>
      </c>
      <c r="O33" s="39">
        <v>34800</v>
      </c>
      <c r="P33" s="39">
        <v>34800</v>
      </c>
    </row>
    <row r="34" spans="6:16" x14ac:dyDescent="0.25">
      <c r="F34" s="141"/>
      <c r="G34" s="20">
        <v>4500</v>
      </c>
      <c r="H34" s="39">
        <v>-40850</v>
      </c>
      <c r="I34" s="39">
        <v>-30850</v>
      </c>
      <c r="J34" s="39">
        <v>-20850</v>
      </c>
      <c r="K34" s="39">
        <v>-10850</v>
      </c>
      <c r="L34" s="39">
        <v>-850</v>
      </c>
      <c r="M34" s="39">
        <v>9150</v>
      </c>
      <c r="N34" s="39">
        <v>19150</v>
      </c>
      <c r="O34" s="39">
        <v>29150</v>
      </c>
      <c r="P34" s="39">
        <v>39150</v>
      </c>
    </row>
  </sheetData>
  <mergeCells count="3">
    <mergeCell ref="A1:B1"/>
    <mergeCell ref="H24:P24"/>
    <mergeCell ref="F26:F34"/>
  </mergeCells>
  <conditionalFormatting sqref="H26:P3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0593-34A4-4D2F-A223-0CE9DCB2025A}">
  <dimension ref="A1:N134"/>
  <sheetViews>
    <sheetView topLeftCell="B1" zoomScale="85" zoomScaleNormal="85" workbookViewId="0">
      <selection activeCell="H41" sqref="H41"/>
    </sheetView>
  </sheetViews>
  <sheetFormatPr defaultRowHeight="15" x14ac:dyDescent="0.25"/>
  <cols>
    <col min="1" max="1" width="18.85546875" bestFit="1" customWidth="1"/>
    <col min="2" max="2" width="12.7109375" bestFit="1" customWidth="1"/>
    <col min="3" max="3" width="15.7109375" customWidth="1"/>
    <col min="4" max="4" width="12.5703125" bestFit="1" customWidth="1"/>
    <col min="5" max="5" width="22.140625" bestFit="1" customWidth="1"/>
    <col min="7" max="7" width="9.42578125" bestFit="1" customWidth="1"/>
    <col min="8" max="8" width="14.140625" bestFit="1" customWidth="1"/>
    <col min="9" max="9" width="12.85546875" bestFit="1" customWidth="1"/>
    <col min="10" max="14" width="14.5703125" bestFit="1" customWidth="1"/>
  </cols>
  <sheetData>
    <row r="1" spans="1:6" x14ac:dyDescent="0.25">
      <c r="A1" s="142" t="s">
        <v>82</v>
      </c>
      <c r="B1" s="142" t="s">
        <v>83</v>
      </c>
      <c r="C1" s="142" t="s">
        <v>84</v>
      </c>
    </row>
    <row r="2" spans="1:6" x14ac:dyDescent="0.25">
      <c r="A2" s="142"/>
      <c r="B2" s="142"/>
      <c r="C2" s="142"/>
    </row>
    <row r="3" spans="1:6" x14ac:dyDescent="0.25">
      <c r="A3" s="43">
        <v>1</v>
      </c>
      <c r="B3" s="43">
        <v>450</v>
      </c>
      <c r="C3" s="43">
        <v>45</v>
      </c>
    </row>
    <row r="4" spans="1:6" x14ac:dyDescent="0.25">
      <c r="A4" s="43">
        <v>2</v>
      </c>
      <c r="B4" s="43">
        <v>300</v>
      </c>
      <c r="C4" s="43">
        <v>103</v>
      </c>
    </row>
    <row r="5" spans="1:6" x14ac:dyDescent="0.25">
      <c r="A5" s="43">
        <v>3</v>
      </c>
      <c r="B5" s="43">
        <v>440</v>
      </c>
      <c r="C5" s="43">
        <v>49</v>
      </c>
    </row>
    <row r="6" spans="1:6" x14ac:dyDescent="0.25">
      <c r="A6" s="43">
        <v>4</v>
      </c>
      <c r="B6" s="43">
        <v>360</v>
      </c>
      <c r="C6" s="43">
        <v>86</v>
      </c>
    </row>
    <row r="7" spans="1:6" x14ac:dyDescent="0.25">
      <c r="A7" s="43">
        <v>5</v>
      </c>
      <c r="B7" s="43">
        <v>290</v>
      </c>
      <c r="C7" s="43">
        <v>125</v>
      </c>
    </row>
    <row r="8" spans="1:6" x14ac:dyDescent="0.25">
      <c r="A8" s="43">
        <v>6</v>
      </c>
      <c r="B8" s="43">
        <v>450</v>
      </c>
      <c r="C8" s="43">
        <v>52</v>
      </c>
    </row>
    <row r="9" spans="1:6" x14ac:dyDescent="0.25">
      <c r="A9" s="43">
        <v>7</v>
      </c>
      <c r="B9" s="43">
        <v>340</v>
      </c>
      <c r="C9" s="43">
        <v>87</v>
      </c>
    </row>
    <row r="10" spans="1:6" x14ac:dyDescent="0.25">
      <c r="A10" s="43">
        <v>8</v>
      </c>
      <c r="B10" s="43">
        <v>370</v>
      </c>
      <c r="C10" s="43">
        <v>68</v>
      </c>
    </row>
    <row r="11" spans="1:6" x14ac:dyDescent="0.25">
      <c r="A11" s="43">
        <v>9</v>
      </c>
      <c r="B11" s="43">
        <v>500</v>
      </c>
      <c r="C11" s="43">
        <v>45</v>
      </c>
    </row>
    <row r="12" spans="1:6" x14ac:dyDescent="0.25">
      <c r="A12" s="43">
        <v>10</v>
      </c>
      <c r="B12" s="43">
        <v>490</v>
      </c>
      <c r="C12" s="43">
        <v>44</v>
      </c>
    </row>
    <row r="13" spans="1:6" x14ac:dyDescent="0.25">
      <c r="A13" s="43">
        <v>11</v>
      </c>
      <c r="B13" s="43">
        <v>430</v>
      </c>
      <c r="C13" s="43">
        <v>58</v>
      </c>
    </row>
    <row r="14" spans="1:6" x14ac:dyDescent="0.25">
      <c r="A14" s="43">
        <v>12</v>
      </c>
      <c r="B14" s="43">
        <v>390</v>
      </c>
      <c r="C14" s="43">
        <v>68</v>
      </c>
    </row>
    <row r="16" spans="1:6" x14ac:dyDescent="0.25">
      <c r="A16" s="143" t="s">
        <v>97</v>
      </c>
      <c r="B16" s="144"/>
      <c r="C16" s="143" t="s">
        <v>87</v>
      </c>
      <c r="D16" s="144"/>
      <c r="E16" s="143" t="s">
        <v>90</v>
      </c>
      <c r="F16" s="144"/>
    </row>
    <row r="17" spans="1:8" x14ac:dyDescent="0.25">
      <c r="A17" s="20" t="s">
        <v>85</v>
      </c>
      <c r="B17" s="40">
        <v>211.31</v>
      </c>
      <c r="C17" s="20" t="s">
        <v>88</v>
      </c>
      <c r="D17" s="20">
        <v>5871064</v>
      </c>
      <c r="E17" s="20" t="s">
        <v>91</v>
      </c>
      <c r="F17" s="40">
        <v>466.51</v>
      </c>
    </row>
    <row r="18" spans="1:8" x14ac:dyDescent="0.25">
      <c r="A18" s="20" t="s">
        <v>86</v>
      </c>
      <c r="B18" s="40">
        <v>-0.35460000000000003</v>
      </c>
      <c r="C18" s="20" t="s">
        <v>89</v>
      </c>
      <c r="D18" s="20">
        <v>-1.9079999999999999</v>
      </c>
      <c r="E18" s="20" t="s">
        <v>92</v>
      </c>
      <c r="F18" s="40">
        <v>-5.0000000000000001E-3</v>
      </c>
    </row>
    <row r="20" spans="1:8" ht="15.75" thickBot="1" x14ac:dyDescent="0.3">
      <c r="A20" s="145" t="s">
        <v>93</v>
      </c>
      <c r="B20" s="145"/>
      <c r="C20" s="145"/>
      <c r="D20" s="145"/>
      <c r="E20" s="145"/>
      <c r="F20" s="145" t="s">
        <v>98</v>
      </c>
      <c r="G20" s="145"/>
      <c r="H20" s="145"/>
    </row>
    <row r="21" spans="1:8" x14ac:dyDescent="0.25">
      <c r="A21" s="63" t="s">
        <v>83</v>
      </c>
      <c r="B21" s="59" t="s">
        <v>94</v>
      </c>
      <c r="C21" s="60" t="s">
        <v>95</v>
      </c>
      <c r="D21" s="61" t="s">
        <v>96</v>
      </c>
      <c r="E21" s="56" t="s">
        <v>84</v>
      </c>
      <c r="F21" s="62" t="s">
        <v>94</v>
      </c>
      <c r="G21" s="62" t="s">
        <v>95</v>
      </c>
      <c r="H21" s="62" t="s">
        <v>96</v>
      </c>
    </row>
    <row r="22" spans="1:8" x14ac:dyDescent="0.25">
      <c r="A22" s="52">
        <v>450</v>
      </c>
      <c r="B22" s="50">
        <f>$B$18*A22+$B$17</f>
        <v>51.739999999999981</v>
      </c>
      <c r="C22" s="42">
        <f xml:space="preserve"> $D$17*A22^$D$18</f>
        <v>50.861286169919921</v>
      </c>
      <c r="D22" s="54">
        <f>$F$17*EXP($F$18*A22)</f>
        <v>49.169792250355329</v>
      </c>
      <c r="E22" s="57">
        <v>45</v>
      </c>
      <c r="F22" s="47">
        <f>ABS(B22-E22)/E22</f>
        <v>0.14977777777777734</v>
      </c>
      <c r="G22" s="47">
        <f>ABS(C22-E22)/E22</f>
        <v>0.13025080377599826</v>
      </c>
      <c r="H22" s="47">
        <f>ABS(D22-E22)/E22</f>
        <v>9.2662050007896193E-2</v>
      </c>
    </row>
    <row r="23" spans="1:8" x14ac:dyDescent="0.25">
      <c r="A23" s="52">
        <v>300</v>
      </c>
      <c r="B23" s="50">
        <f t="shared" ref="B23:B33" si="0">$B$18*A23+$B$17</f>
        <v>104.92999999999999</v>
      </c>
      <c r="C23" s="42">
        <f t="shared" ref="C23:C33" si="1" xml:space="preserve"> $D$17*A23^$D$18</f>
        <v>110.2476803704582</v>
      </c>
      <c r="D23" s="54">
        <f t="shared" ref="D23:D33" si="2">$F$17*EXP($F$18*A23)</f>
        <v>104.09245101084399</v>
      </c>
      <c r="E23" s="57">
        <v>103</v>
      </c>
      <c r="F23" s="47">
        <f t="shared" ref="F23:F33" si="3">ABS(B23-E23)/E23</f>
        <v>1.8737864077669832E-2</v>
      </c>
      <c r="G23" s="47">
        <f t="shared" ref="G23:G33" si="4">ABS(C23-E23)/E23</f>
        <v>7.0365828839399985E-2</v>
      </c>
      <c r="H23" s="47">
        <f t="shared" ref="H23:H33" si="5">ABS(D23-E23)/E23</f>
        <v>1.0606320493630948E-2</v>
      </c>
    </row>
    <row r="24" spans="1:8" x14ac:dyDescent="0.25">
      <c r="A24" s="52">
        <v>440</v>
      </c>
      <c r="B24" s="50">
        <f t="shared" si="0"/>
        <v>55.286000000000001</v>
      </c>
      <c r="C24" s="42">
        <f t="shared" si="1"/>
        <v>53.089557787712614</v>
      </c>
      <c r="D24" s="54">
        <f t="shared" si="2"/>
        <v>51.69078140761237</v>
      </c>
      <c r="E24" s="57">
        <v>49</v>
      </c>
      <c r="F24" s="47">
        <f t="shared" si="3"/>
        <v>0.12828571428571431</v>
      </c>
      <c r="G24" s="47">
        <f t="shared" si="4"/>
        <v>8.3460363014543154E-2</v>
      </c>
      <c r="H24" s="47">
        <f t="shared" si="5"/>
        <v>5.4913906277803466E-2</v>
      </c>
    </row>
    <row r="25" spans="1:8" x14ac:dyDescent="0.25">
      <c r="A25" s="52">
        <v>360</v>
      </c>
      <c r="B25" s="50">
        <f t="shared" si="0"/>
        <v>83.653999999999996</v>
      </c>
      <c r="C25" s="42">
        <f t="shared" si="1"/>
        <v>77.85592038588905</v>
      </c>
      <c r="D25" s="54">
        <f t="shared" si="2"/>
        <v>77.113584344252331</v>
      </c>
      <c r="E25" s="57">
        <v>86</v>
      </c>
      <c r="F25" s="47">
        <f t="shared" si="3"/>
        <v>2.7279069767441901E-2</v>
      </c>
      <c r="G25" s="47">
        <f t="shared" si="4"/>
        <v>9.4698600164080812E-2</v>
      </c>
      <c r="H25" s="47">
        <f t="shared" si="5"/>
        <v>0.10333041460171709</v>
      </c>
    </row>
    <row r="26" spans="1:8" x14ac:dyDescent="0.25">
      <c r="A26" s="52">
        <v>290</v>
      </c>
      <c r="B26" s="50">
        <f t="shared" si="0"/>
        <v>108.476</v>
      </c>
      <c r="C26" s="42">
        <f t="shared" si="1"/>
        <v>117.61465381582187</v>
      </c>
      <c r="D26" s="54">
        <f t="shared" si="2"/>
        <v>109.42938509863754</v>
      </c>
      <c r="E26" s="57">
        <v>125</v>
      </c>
      <c r="F26" s="47">
        <f t="shared" si="3"/>
        <v>0.132192</v>
      </c>
      <c r="G26" s="47">
        <f t="shared" si="4"/>
        <v>5.9082769473425063E-2</v>
      </c>
      <c r="H26" s="47">
        <f t="shared" si="5"/>
        <v>0.12456491921089968</v>
      </c>
    </row>
    <row r="27" spans="1:8" x14ac:dyDescent="0.25">
      <c r="A27" s="52">
        <v>450</v>
      </c>
      <c r="B27" s="50">
        <f t="shared" si="0"/>
        <v>51.739999999999981</v>
      </c>
      <c r="C27" s="42">
        <f t="shared" si="1"/>
        <v>50.861286169919921</v>
      </c>
      <c r="D27" s="54">
        <f t="shared" si="2"/>
        <v>49.169792250355329</v>
      </c>
      <c r="E27" s="57">
        <v>52</v>
      </c>
      <c r="F27" s="47">
        <f t="shared" si="3"/>
        <v>5.0000000000003713E-3</v>
      </c>
      <c r="G27" s="47">
        <f t="shared" si="4"/>
        <v>2.1898342886155355E-2</v>
      </c>
      <c r="H27" s="47">
        <f t="shared" si="5"/>
        <v>5.4427072108551369E-2</v>
      </c>
    </row>
    <row r="28" spans="1:8" x14ac:dyDescent="0.25">
      <c r="A28" s="52">
        <v>340</v>
      </c>
      <c r="B28" s="50">
        <f t="shared" si="0"/>
        <v>90.745999999999995</v>
      </c>
      <c r="C28" s="42">
        <f t="shared" si="1"/>
        <v>86.827049006961417</v>
      </c>
      <c r="D28" s="54">
        <f t="shared" si="2"/>
        <v>85.223690805841244</v>
      </c>
      <c r="E28" s="57">
        <v>87</v>
      </c>
      <c r="F28" s="47">
        <f t="shared" si="3"/>
        <v>4.3057471264367757E-2</v>
      </c>
      <c r="G28" s="47">
        <f t="shared" si="4"/>
        <v>1.9879424487193459E-3</v>
      </c>
      <c r="H28" s="47">
        <f t="shared" si="5"/>
        <v>2.0417347059296046E-2</v>
      </c>
    </row>
    <row r="29" spans="1:8" x14ac:dyDescent="0.25">
      <c r="A29" s="52">
        <v>370</v>
      </c>
      <c r="B29" s="50">
        <f t="shared" si="0"/>
        <v>80.108000000000004</v>
      </c>
      <c r="C29" s="42">
        <f t="shared" si="1"/>
        <v>73.890384263545585</v>
      </c>
      <c r="D29" s="54">
        <f t="shared" si="2"/>
        <v>73.352710456970414</v>
      </c>
      <c r="E29" s="57">
        <v>68</v>
      </c>
      <c r="F29" s="47">
        <f t="shared" si="3"/>
        <v>0.17805882352941182</v>
      </c>
      <c r="G29" s="47">
        <f t="shared" si="4"/>
        <v>8.6623297993317416E-2</v>
      </c>
      <c r="H29" s="47">
        <f t="shared" si="5"/>
        <v>7.8716330249564911E-2</v>
      </c>
    </row>
    <row r="30" spans="1:8" x14ac:dyDescent="0.25">
      <c r="A30" s="52">
        <v>500</v>
      </c>
      <c r="B30" s="50">
        <f t="shared" si="0"/>
        <v>34.009999999999991</v>
      </c>
      <c r="C30" s="42">
        <f t="shared" si="1"/>
        <v>41.59891911995917</v>
      </c>
      <c r="D30" s="54">
        <f t="shared" si="2"/>
        <v>38.293472708035026</v>
      </c>
      <c r="E30" s="57">
        <v>45</v>
      </c>
      <c r="F30" s="47">
        <f t="shared" si="3"/>
        <v>0.24422222222222242</v>
      </c>
      <c r="G30" s="47">
        <f t="shared" si="4"/>
        <v>7.5579575112018446E-2</v>
      </c>
      <c r="H30" s="47">
        <f t="shared" si="5"/>
        <v>0.14903393982144386</v>
      </c>
    </row>
    <row r="31" spans="1:8" x14ac:dyDescent="0.25">
      <c r="A31" s="52">
        <v>490</v>
      </c>
      <c r="B31" s="50">
        <f t="shared" si="0"/>
        <v>37.555999999999983</v>
      </c>
      <c r="C31" s="42">
        <f t="shared" si="1"/>
        <v>43.233728796663705</v>
      </c>
      <c r="D31" s="54">
        <f t="shared" si="2"/>
        <v>40.256821037821332</v>
      </c>
      <c r="E31" s="57">
        <v>44</v>
      </c>
      <c r="F31" s="47">
        <f t="shared" si="3"/>
        <v>0.14645454545454584</v>
      </c>
      <c r="G31" s="47">
        <f t="shared" si="4"/>
        <v>1.7415254621279432E-2</v>
      </c>
      <c r="H31" s="47">
        <f t="shared" si="5"/>
        <v>8.5072249140424272E-2</v>
      </c>
    </row>
    <row r="32" spans="1:8" x14ac:dyDescent="0.25">
      <c r="A32" s="52">
        <v>430</v>
      </c>
      <c r="B32" s="50">
        <f t="shared" si="0"/>
        <v>58.831999999999994</v>
      </c>
      <c r="C32" s="42">
        <f t="shared" si="1"/>
        <v>55.470106712335337</v>
      </c>
      <c r="D32" s="54">
        <f t="shared" si="2"/>
        <v>54.341024442914069</v>
      </c>
      <c r="E32" s="57">
        <v>58</v>
      </c>
      <c r="F32" s="47">
        <f t="shared" si="3"/>
        <v>1.4344827586206787E-2</v>
      </c>
      <c r="G32" s="47">
        <f t="shared" si="4"/>
        <v>4.3618849787321778E-2</v>
      </c>
      <c r="H32" s="47">
        <f t="shared" si="5"/>
        <v>6.3085785466998806E-2</v>
      </c>
    </row>
    <row r="33" spans="1:9" ht="15.75" thickBot="1" x14ac:dyDescent="0.3">
      <c r="A33" s="53">
        <v>390</v>
      </c>
      <c r="B33" s="51">
        <f t="shared" si="0"/>
        <v>73.015999999999991</v>
      </c>
      <c r="C33" s="44">
        <f t="shared" si="1"/>
        <v>66.829089531318985</v>
      </c>
      <c r="D33" s="55">
        <f t="shared" si="2"/>
        <v>66.372277135824447</v>
      </c>
      <c r="E33" s="58">
        <v>68</v>
      </c>
      <c r="F33" s="47">
        <f t="shared" si="3"/>
        <v>7.3764705882352816E-2</v>
      </c>
      <c r="G33" s="47">
        <f t="shared" si="4"/>
        <v>1.7219271598250221E-2</v>
      </c>
      <c r="H33" s="47">
        <f t="shared" si="5"/>
        <v>2.393710094375813E-2</v>
      </c>
    </row>
    <row r="34" spans="1:9" x14ac:dyDescent="0.25">
      <c r="E34" t="s">
        <v>99</v>
      </c>
      <c r="F34" s="48">
        <f>AVERAGE(F22:F33)</f>
        <v>9.6764585153975916E-2</v>
      </c>
      <c r="G34" s="49">
        <f t="shared" ref="G34:H34" si="6">AVERAGE(G22:G33)</f>
        <v>5.8516741642875771E-2</v>
      </c>
      <c r="H34" s="48">
        <f t="shared" si="6"/>
        <v>7.17306196151654E-2</v>
      </c>
      <c r="I34" t="s">
        <v>100</v>
      </c>
    </row>
    <row r="37" spans="1:9" x14ac:dyDescent="0.25">
      <c r="A37" t="s">
        <v>101</v>
      </c>
      <c r="G37" t="s">
        <v>109</v>
      </c>
      <c r="H37" t="s">
        <v>110</v>
      </c>
    </row>
    <row r="38" spans="1:9" x14ac:dyDescent="0.25">
      <c r="A38" t="s">
        <v>102</v>
      </c>
      <c r="B38" s="67">
        <v>250</v>
      </c>
      <c r="C38" t="s">
        <v>103</v>
      </c>
      <c r="G38" s="65"/>
      <c r="H38" s="66">
        <f>B46</f>
        <v>955163.26238462282</v>
      </c>
    </row>
    <row r="39" spans="1:9" x14ac:dyDescent="0.25">
      <c r="A39" t="s">
        <v>104</v>
      </c>
      <c r="B39" s="67">
        <v>400</v>
      </c>
      <c r="C39" t="s">
        <v>105</v>
      </c>
      <c r="G39" s="65">
        <v>260</v>
      </c>
      <c r="H39" s="65">
        <f t="dataTable" ref="H39:H83" dt2D="0" dtr="0" r1="B39" ca="1"/>
        <v>144859.72842847556</v>
      </c>
    </row>
    <row r="40" spans="1:9" x14ac:dyDescent="0.25">
      <c r="A40" t="s">
        <v>108</v>
      </c>
      <c r="B40" s="41">
        <f>D17*B39^D18</f>
        <v>63.677550825641511</v>
      </c>
      <c r="C40" t="s">
        <v>106</v>
      </c>
      <c r="E40" t="str">
        <f ca="1">_xlfn.FORMULATEXT(B40)</f>
        <v>=D17*B39^D18</v>
      </c>
      <c r="G40" s="65">
        <v>270</v>
      </c>
      <c r="H40" s="65">
        <v>269590.60184817808</v>
      </c>
    </row>
    <row r="41" spans="1:9" x14ac:dyDescent="0.25">
      <c r="A41" t="s">
        <v>107</v>
      </c>
      <c r="B41" s="32">
        <f>B40*100</f>
        <v>6367.7550825641511</v>
      </c>
      <c r="E41" t="str">
        <f ca="1">_xlfn.FORMULATEXT(B41)</f>
        <v>=B40*100</v>
      </c>
      <c r="G41" s="65">
        <v>280</v>
      </c>
      <c r="H41" s="65">
        <v>377277.18719872413</v>
      </c>
    </row>
    <row r="42" spans="1:9" x14ac:dyDescent="0.25">
      <c r="G42" s="65">
        <v>290</v>
      </c>
      <c r="H42" s="65">
        <v>470458.61526328744</v>
      </c>
    </row>
    <row r="43" spans="1:9" x14ac:dyDescent="0.25">
      <c r="G43" s="65">
        <v>300</v>
      </c>
      <c r="H43" s="65">
        <v>551238.40185229108</v>
      </c>
    </row>
    <row r="44" spans="1:9" x14ac:dyDescent="0.25">
      <c r="A44" t="s">
        <v>80</v>
      </c>
      <c r="B44" s="65">
        <f>B41*B38</f>
        <v>1591938.7706410377</v>
      </c>
      <c r="E44" t="str">
        <f ca="1">_xlfn.FORMULATEXT(B44)</f>
        <v>=B41*B38</v>
      </c>
      <c r="G44" s="65">
        <v>310</v>
      </c>
      <c r="H44" s="65">
        <v>621369.53021456813</v>
      </c>
    </row>
    <row r="45" spans="1:9" x14ac:dyDescent="0.25">
      <c r="A45" t="s">
        <v>28</v>
      </c>
      <c r="B45" s="65">
        <f>B41*B39</f>
        <v>2547102.0330256606</v>
      </c>
      <c r="E45" t="str">
        <f t="shared" ref="E45:E46" ca="1" si="7">_xlfn.FORMULATEXT(B45)</f>
        <v>=B41*B39</v>
      </c>
      <c r="G45" s="65">
        <v>320</v>
      </c>
      <c r="H45" s="65">
        <v>682320.93416212313</v>
      </c>
    </row>
    <row r="46" spans="1:9" x14ac:dyDescent="0.25">
      <c r="A46" t="s">
        <v>67</v>
      </c>
      <c r="B46" s="68">
        <f>B45-B44</f>
        <v>955163.26238462282</v>
      </c>
      <c r="E46" t="str">
        <f t="shared" ca="1" si="7"/>
        <v>=B45-B44</v>
      </c>
      <c r="G46" s="65">
        <v>330</v>
      </c>
      <c r="H46" s="65">
        <v>735329.86392835062</v>
      </c>
    </row>
    <row r="47" spans="1:9" x14ac:dyDescent="0.25">
      <c r="G47" s="65">
        <v>340</v>
      </c>
      <c r="H47" s="65">
        <v>781443.44106265297</v>
      </c>
    </row>
    <row r="48" spans="1:9" x14ac:dyDescent="0.25">
      <c r="G48" s="65">
        <v>350</v>
      </c>
      <c r="H48" s="65">
        <v>821551.86522268457</v>
      </c>
    </row>
    <row r="49" spans="7:10" x14ac:dyDescent="0.25">
      <c r="G49" s="65">
        <v>360</v>
      </c>
      <c r="H49" s="65">
        <v>856415.12424477958</v>
      </c>
    </row>
    <row r="50" spans="7:10" x14ac:dyDescent="0.25">
      <c r="G50" s="65">
        <v>370</v>
      </c>
      <c r="H50" s="65">
        <v>886684.61116254725</v>
      </c>
    </row>
    <row r="51" spans="7:10" x14ac:dyDescent="0.25">
      <c r="G51" s="65">
        <v>380</v>
      </c>
      <c r="H51" s="65">
        <v>912920.72098907013</v>
      </c>
    </row>
    <row r="52" spans="7:10" x14ac:dyDescent="0.25">
      <c r="G52" s="65">
        <v>390</v>
      </c>
      <c r="H52" s="65">
        <v>935607.253438466</v>
      </c>
    </row>
    <row r="53" spans="7:10" x14ac:dyDescent="0.25">
      <c r="G53" s="65">
        <v>400</v>
      </c>
      <c r="H53" s="65">
        <v>955163.26238462282</v>
      </c>
    </row>
    <row r="54" spans="7:10" x14ac:dyDescent="0.25">
      <c r="G54" s="65">
        <v>410</v>
      </c>
      <c r="H54" s="65">
        <v>971952.85243747453</v>
      </c>
    </row>
    <row r="55" spans="7:10" x14ac:dyDescent="0.25">
      <c r="G55" s="65">
        <v>420</v>
      </c>
      <c r="H55" s="65">
        <v>986293.31587235699</v>
      </c>
    </row>
    <row r="56" spans="7:10" x14ac:dyDescent="0.25">
      <c r="G56" s="65">
        <v>430</v>
      </c>
      <c r="H56" s="65">
        <v>998461.92082203622</v>
      </c>
    </row>
    <row r="57" spans="7:10" x14ac:dyDescent="0.25">
      <c r="G57" s="65">
        <v>440</v>
      </c>
      <c r="H57" s="65">
        <v>1008701.5979665397</v>
      </c>
    </row>
    <row r="58" spans="7:10" x14ac:dyDescent="0.25">
      <c r="G58" s="65">
        <v>450</v>
      </c>
      <c r="H58" s="65">
        <v>1017225.7233983984</v>
      </c>
      <c r="J58" t="s">
        <v>111</v>
      </c>
    </row>
    <row r="59" spans="7:10" x14ac:dyDescent="0.25">
      <c r="G59" s="65">
        <v>460</v>
      </c>
      <c r="H59" s="65">
        <v>1024222.1565401531</v>
      </c>
    </row>
    <row r="60" spans="7:10" x14ac:dyDescent="0.25">
      <c r="G60" s="65">
        <v>470</v>
      </c>
      <c r="H60" s="65">
        <v>1029856.6614397548</v>
      </c>
    </row>
    <row r="61" spans="7:10" x14ac:dyDescent="0.25">
      <c r="G61" s="65">
        <v>480</v>
      </c>
      <c r="H61" s="65">
        <v>1034275.8155834542</v>
      </c>
    </row>
    <row r="62" spans="7:10" x14ac:dyDescent="0.25">
      <c r="G62" s="65">
        <v>490</v>
      </c>
      <c r="H62" s="65">
        <v>1037609.4911199291</v>
      </c>
    </row>
    <row r="63" spans="7:10" x14ac:dyDescent="0.25">
      <c r="G63" s="65">
        <v>500</v>
      </c>
      <c r="H63" s="65">
        <v>1039972.9779989794</v>
      </c>
    </row>
    <row r="64" spans="7:10" x14ac:dyDescent="0.25">
      <c r="G64" s="65">
        <v>510</v>
      </c>
      <c r="H64" s="65">
        <v>1041468.8061629091</v>
      </c>
    </row>
    <row r="65" spans="7:10" x14ac:dyDescent="0.25">
      <c r="G65" s="65">
        <v>520</v>
      </c>
      <c r="H65" s="65">
        <v>1042188.3139489595</v>
      </c>
    </row>
    <row r="66" spans="7:10" x14ac:dyDescent="0.25">
      <c r="G66" s="65">
        <v>530</v>
      </c>
      <c r="H66" s="69">
        <v>1042213.0017719698</v>
      </c>
    </row>
    <row r="67" spans="7:10" x14ac:dyDescent="0.25">
      <c r="G67" s="65">
        <v>540</v>
      </c>
      <c r="H67" s="65">
        <v>1041615.7035724644</v>
      </c>
    </row>
    <row r="68" spans="7:10" x14ac:dyDescent="0.25">
      <c r="G68" s="65">
        <v>550</v>
      </c>
      <c r="H68" s="65">
        <v>1040461.6031350964</v>
      </c>
    </row>
    <row r="69" spans="7:10" x14ac:dyDescent="0.25">
      <c r="G69" s="65">
        <v>560</v>
      </c>
      <c r="H69" s="65">
        <v>1038809.1179690239</v>
      </c>
    </row>
    <row r="70" spans="7:10" x14ac:dyDescent="0.25">
      <c r="G70" s="65">
        <v>570</v>
      </c>
      <c r="H70" s="65">
        <v>1036710.669808225</v>
      </c>
    </row>
    <row r="71" spans="7:10" x14ac:dyDescent="0.25">
      <c r="G71" s="65">
        <v>580</v>
      </c>
      <c r="H71" s="65">
        <v>1034213.3577876764</v>
      </c>
    </row>
    <row r="72" spans="7:10" x14ac:dyDescent="0.25">
      <c r="G72" s="65">
        <v>590</v>
      </c>
      <c r="H72" s="65">
        <v>1031359.5478624469</v>
      </c>
    </row>
    <row r="73" spans="7:10" x14ac:dyDescent="0.25">
      <c r="G73" s="65">
        <v>600</v>
      </c>
      <c r="H73" s="65">
        <v>1028187.3899667513</v>
      </c>
    </row>
    <row r="74" spans="7:10" x14ac:dyDescent="0.25">
      <c r="G74" s="65">
        <v>610</v>
      </c>
      <c r="H74" s="65">
        <v>1024731.2726827315</v>
      </c>
    </row>
    <row r="75" spans="7:10" x14ac:dyDescent="0.25">
      <c r="G75" s="65">
        <v>620</v>
      </c>
      <c r="H75" s="65">
        <v>1021022.2237432048</v>
      </c>
    </row>
    <row r="76" spans="7:10" x14ac:dyDescent="0.25">
      <c r="G76" s="65">
        <v>630</v>
      </c>
      <c r="H76" s="65">
        <v>1017088.2634793159</v>
      </c>
      <c r="J76" s="70"/>
    </row>
    <row r="77" spans="7:10" x14ac:dyDescent="0.25">
      <c r="G77" s="65">
        <v>640</v>
      </c>
      <c r="H77" s="65">
        <v>1012954.7173026291</v>
      </c>
    </row>
    <row r="78" spans="7:10" x14ac:dyDescent="0.25">
      <c r="G78" s="65">
        <v>650</v>
      </c>
      <c r="H78" s="65">
        <v>1008644.4924491229</v>
      </c>
    </row>
    <row r="79" spans="7:10" x14ac:dyDescent="0.25">
      <c r="G79" s="65">
        <v>660</v>
      </c>
      <c r="H79" s="65">
        <v>1004178.3234829371</v>
      </c>
    </row>
    <row r="80" spans="7:10" x14ac:dyDescent="0.25">
      <c r="G80" s="65">
        <v>670</v>
      </c>
      <c r="H80" s="65">
        <v>999574.99043870345</v>
      </c>
    </row>
    <row r="81" spans="6:14" x14ac:dyDescent="0.25">
      <c r="G81" s="65">
        <v>680</v>
      </c>
      <c r="H81" s="65">
        <v>994851.51295467373</v>
      </c>
    </row>
    <row r="82" spans="6:14" x14ac:dyDescent="0.25">
      <c r="G82" s="65">
        <v>690</v>
      </c>
      <c r="H82" s="65">
        <v>990023.32329994719</v>
      </c>
    </row>
    <row r="83" spans="6:14" x14ac:dyDescent="0.25">
      <c r="G83" s="65">
        <v>700</v>
      </c>
      <c r="H83" s="65">
        <v>985104.42081539321</v>
      </c>
    </row>
    <row r="88" spans="6:14" x14ac:dyDescent="0.25">
      <c r="F88" s="147" t="s">
        <v>109</v>
      </c>
      <c r="G88" s="146" t="s">
        <v>74</v>
      </c>
      <c r="H88" s="146"/>
      <c r="I88" s="146"/>
      <c r="J88" s="146"/>
      <c r="K88" s="146"/>
      <c r="L88" s="146"/>
      <c r="M88" s="146"/>
      <c r="N88" s="146"/>
    </row>
    <row r="89" spans="6:14" x14ac:dyDescent="0.25">
      <c r="F89" s="147"/>
      <c r="G89" s="66">
        <f>B46</f>
        <v>955163.26238462282</v>
      </c>
      <c r="H89">
        <v>250</v>
      </c>
      <c r="I89">
        <v>300</v>
      </c>
      <c r="J89">
        <v>350</v>
      </c>
      <c r="K89">
        <v>400</v>
      </c>
      <c r="L89">
        <v>450</v>
      </c>
      <c r="M89">
        <v>500</v>
      </c>
      <c r="N89">
        <v>550</v>
      </c>
    </row>
    <row r="90" spans="6:14" x14ac:dyDescent="0.25">
      <c r="F90" s="147"/>
      <c r="G90" s="65">
        <v>260</v>
      </c>
      <c r="H90" s="71">
        <f t="dataTable" ref="H90:N134" dt2D="1" dtr="1" r1="B38" r2="B39"/>
        <v>144859.72842847556</v>
      </c>
      <c r="I90" s="71">
        <v>-579438.91371390224</v>
      </c>
      <c r="J90" s="71">
        <v>-1303737.5558562791</v>
      </c>
      <c r="K90" s="71">
        <v>-2028036.1979986569</v>
      </c>
      <c r="L90" s="71">
        <v>-2752334.8401410338</v>
      </c>
      <c r="M90" s="71">
        <v>-3476633.4822834115</v>
      </c>
      <c r="N90" s="71">
        <v>-4200932.1244257884</v>
      </c>
    </row>
    <row r="91" spans="6:14" x14ac:dyDescent="0.25">
      <c r="F91" s="147"/>
      <c r="G91" s="65">
        <v>270</v>
      </c>
      <c r="H91" s="71">
        <v>269590.60184817808</v>
      </c>
      <c r="I91" s="71">
        <v>-404385.90277226688</v>
      </c>
      <c r="J91" s="71">
        <v>-1078362.4073927123</v>
      </c>
      <c r="K91" s="71">
        <v>-1752338.9120131573</v>
      </c>
      <c r="L91" s="71">
        <v>-2426315.4166336022</v>
      </c>
      <c r="M91" s="71">
        <v>-3100291.9212540481</v>
      </c>
      <c r="N91" s="71">
        <v>-3774268.4258744931</v>
      </c>
    </row>
    <row r="92" spans="6:14" x14ac:dyDescent="0.25">
      <c r="F92" s="147"/>
      <c r="G92" s="65">
        <v>280</v>
      </c>
      <c r="H92" s="71">
        <v>377277.18719872413</v>
      </c>
      <c r="I92" s="71">
        <v>-251518.12479914958</v>
      </c>
      <c r="J92" s="71">
        <v>-880313.43679702282</v>
      </c>
      <c r="K92" s="71">
        <v>-1509108.7487948965</v>
      </c>
      <c r="L92" s="71">
        <v>-2137904.0607927702</v>
      </c>
      <c r="M92" s="71">
        <v>-2766699.3727906439</v>
      </c>
      <c r="N92" s="71">
        <v>-3395494.6847885177</v>
      </c>
    </row>
    <row r="93" spans="6:14" x14ac:dyDescent="0.25">
      <c r="F93" s="147"/>
      <c r="G93" s="65">
        <v>290</v>
      </c>
      <c r="H93" s="71">
        <v>470458.61526328744</v>
      </c>
      <c r="I93" s="71">
        <v>-117614.65381582174</v>
      </c>
      <c r="J93" s="71">
        <v>-705687.9228949314</v>
      </c>
      <c r="K93" s="71">
        <v>-1293761.1919740411</v>
      </c>
      <c r="L93" s="71">
        <v>-1881834.4610531498</v>
      </c>
      <c r="M93" s="71">
        <v>-2469907.7301322594</v>
      </c>
      <c r="N93" s="71">
        <v>-3057980.9992113691</v>
      </c>
    </row>
    <row r="94" spans="6:14" x14ac:dyDescent="0.25">
      <c r="F94" s="147"/>
      <c r="G94" s="65">
        <v>300</v>
      </c>
      <c r="H94" s="71">
        <v>551238.40185229108</v>
      </c>
      <c r="I94" s="71">
        <v>0</v>
      </c>
      <c r="J94" s="71">
        <v>-551238.40185229108</v>
      </c>
      <c r="K94" s="71">
        <v>-1102476.8037045817</v>
      </c>
      <c r="L94" s="71">
        <v>-1653715.2055568728</v>
      </c>
      <c r="M94" s="71">
        <v>-2204953.6074091638</v>
      </c>
      <c r="N94" s="71">
        <v>-2756192.0092614549</v>
      </c>
    </row>
    <row r="95" spans="6:14" x14ac:dyDescent="0.25">
      <c r="F95" s="147"/>
      <c r="G95" s="65">
        <v>310</v>
      </c>
      <c r="H95" s="71">
        <v>621369.53021456813</v>
      </c>
      <c r="I95" s="71">
        <v>103561.58836909477</v>
      </c>
      <c r="J95" s="71">
        <v>-414246.3534763786</v>
      </c>
      <c r="K95" s="71">
        <v>-932054.2953218515</v>
      </c>
      <c r="L95" s="71">
        <v>-1449862.2371673249</v>
      </c>
      <c r="M95" s="71">
        <v>-1967670.1790127978</v>
      </c>
      <c r="N95" s="71">
        <v>-2485478.1208582716</v>
      </c>
    </row>
    <row r="96" spans="6:14" x14ac:dyDescent="0.25">
      <c r="F96" s="147"/>
      <c r="G96" s="65">
        <v>320</v>
      </c>
      <c r="H96" s="71">
        <v>682320.93416212313</v>
      </c>
      <c r="I96" s="71">
        <v>194948.83833203511</v>
      </c>
      <c r="J96" s="71">
        <v>-292423.2574980529</v>
      </c>
      <c r="K96" s="71">
        <v>-779795.35332814092</v>
      </c>
      <c r="L96" s="71">
        <v>-1267167.4491582289</v>
      </c>
      <c r="M96" s="71">
        <v>-1754539.5449883174</v>
      </c>
      <c r="N96" s="71">
        <v>-2241911.640818405</v>
      </c>
    </row>
    <row r="97" spans="6:14" x14ac:dyDescent="0.25">
      <c r="F97" s="147"/>
      <c r="G97" s="65">
        <v>330</v>
      </c>
      <c r="H97" s="71">
        <v>735329.86392835062</v>
      </c>
      <c r="I97" s="71">
        <v>275748.69897313137</v>
      </c>
      <c r="J97" s="71">
        <v>-183832.46598208742</v>
      </c>
      <c r="K97" s="71">
        <v>-643413.63093730668</v>
      </c>
      <c r="L97" s="71">
        <v>-1102994.7958925259</v>
      </c>
      <c r="M97" s="71">
        <v>-1562575.9608477447</v>
      </c>
      <c r="N97" s="71">
        <v>-2022157.125802964</v>
      </c>
    </row>
    <row r="98" spans="6:14" x14ac:dyDescent="0.25">
      <c r="F98" s="147"/>
      <c r="G98" s="65">
        <v>340</v>
      </c>
      <c r="H98" s="71">
        <v>781443.44106265297</v>
      </c>
      <c r="I98" s="71">
        <v>347308.19602784561</v>
      </c>
      <c r="J98" s="71">
        <v>-86827.049006961286</v>
      </c>
      <c r="K98" s="71">
        <v>-520962.29404176865</v>
      </c>
      <c r="L98" s="71">
        <v>-955097.53907657554</v>
      </c>
      <c r="M98" s="71">
        <v>-1389232.7841113824</v>
      </c>
      <c r="N98" s="71">
        <v>-1823368.0291461898</v>
      </c>
    </row>
    <row r="99" spans="6:14" x14ac:dyDescent="0.25">
      <c r="F99" s="147"/>
      <c r="G99" s="65">
        <v>350</v>
      </c>
      <c r="H99" s="71">
        <v>821551.86522268457</v>
      </c>
      <c r="I99" s="71">
        <v>410775.93261134205</v>
      </c>
      <c r="J99" s="71">
        <v>0</v>
      </c>
      <c r="K99" s="71">
        <v>-410775.93261134205</v>
      </c>
      <c r="L99" s="71">
        <v>-821551.86522268457</v>
      </c>
      <c r="M99" s="71">
        <v>-1232327.7978340266</v>
      </c>
      <c r="N99" s="71">
        <v>-1643103.7304453691</v>
      </c>
    </row>
    <row r="100" spans="6:14" x14ac:dyDescent="0.25">
      <c r="F100" s="147"/>
      <c r="G100" s="65">
        <v>360</v>
      </c>
      <c r="H100" s="71">
        <v>856415.12424477958</v>
      </c>
      <c r="I100" s="71">
        <v>467135.52231533453</v>
      </c>
      <c r="J100" s="71">
        <v>77855.920385889243</v>
      </c>
      <c r="K100" s="71">
        <v>-311423.68154355604</v>
      </c>
      <c r="L100" s="71">
        <v>-700703.28347300133</v>
      </c>
      <c r="M100" s="71">
        <v>-1089982.8854024466</v>
      </c>
      <c r="N100" s="71">
        <v>-1479262.4873318919</v>
      </c>
    </row>
    <row r="101" spans="6:14" x14ac:dyDescent="0.25">
      <c r="F101" s="147"/>
      <c r="G101" s="65">
        <v>370</v>
      </c>
      <c r="H101" s="71">
        <v>886684.61116254725</v>
      </c>
      <c r="I101" s="71">
        <v>517232.68984481925</v>
      </c>
      <c r="J101" s="71">
        <v>147780.76852709148</v>
      </c>
      <c r="K101" s="71">
        <v>-221671.15279063676</v>
      </c>
      <c r="L101" s="71">
        <v>-591123.07410836453</v>
      </c>
      <c r="M101" s="71">
        <v>-960574.9954260923</v>
      </c>
      <c r="N101" s="71">
        <v>-1330026.9167438205</v>
      </c>
    </row>
    <row r="102" spans="6:14" x14ac:dyDescent="0.25">
      <c r="F102" s="147"/>
      <c r="G102" s="65">
        <v>380</v>
      </c>
      <c r="H102" s="71">
        <v>912920.72098907013</v>
      </c>
      <c r="I102" s="71">
        <v>561797.36676250491</v>
      </c>
      <c r="J102" s="71">
        <v>210674.01253593946</v>
      </c>
      <c r="K102" s="71">
        <v>-140449.341690626</v>
      </c>
      <c r="L102" s="71">
        <v>-491572.69591719145</v>
      </c>
      <c r="M102" s="71">
        <v>-842696.05014375644</v>
      </c>
      <c r="N102" s="71">
        <v>-1193819.4043703219</v>
      </c>
    </row>
    <row r="103" spans="6:14" x14ac:dyDescent="0.25">
      <c r="F103" s="147"/>
      <c r="G103" s="65">
        <v>390</v>
      </c>
      <c r="H103" s="71">
        <v>935607.253438466</v>
      </c>
      <c r="I103" s="71">
        <v>601461.80578187108</v>
      </c>
      <c r="J103" s="71">
        <v>267316.35812527593</v>
      </c>
      <c r="K103" s="71">
        <v>-66829.08953131875</v>
      </c>
      <c r="L103" s="71">
        <v>-400974.5371879139</v>
      </c>
      <c r="M103" s="71">
        <v>-735119.98484450858</v>
      </c>
      <c r="N103" s="71">
        <v>-1069265.4325011037</v>
      </c>
    </row>
    <row r="104" spans="6:14" x14ac:dyDescent="0.25">
      <c r="F104" s="147"/>
      <c r="G104" s="65">
        <v>400</v>
      </c>
      <c r="H104" s="71">
        <v>955163.26238462282</v>
      </c>
      <c r="I104" s="71">
        <v>636775.50825641514</v>
      </c>
      <c r="J104" s="71">
        <v>318387.75412820745</v>
      </c>
      <c r="K104" s="71">
        <v>0</v>
      </c>
      <c r="L104" s="71">
        <v>-318387.75412820745</v>
      </c>
      <c r="M104" s="71">
        <v>-636775.50825641491</v>
      </c>
      <c r="N104" s="71">
        <v>-955163.26238462236</v>
      </c>
    </row>
    <row r="105" spans="6:14" x14ac:dyDescent="0.25">
      <c r="F105" s="147"/>
      <c r="G105" s="65">
        <v>410</v>
      </c>
      <c r="H105" s="71">
        <v>971952.85243747453</v>
      </c>
      <c r="I105" s="71">
        <v>668217.58605076349</v>
      </c>
      <c r="J105" s="71">
        <v>364482.31966405269</v>
      </c>
      <c r="K105" s="71">
        <v>60747.053277342115</v>
      </c>
      <c r="L105" s="71">
        <v>-242988.21310936892</v>
      </c>
      <c r="M105" s="71">
        <v>-546723.4794960795</v>
      </c>
      <c r="N105" s="71">
        <v>-850458.74588279054</v>
      </c>
    </row>
    <row r="106" spans="6:14" x14ac:dyDescent="0.25">
      <c r="F106" s="147"/>
      <c r="G106" s="65">
        <v>420</v>
      </c>
      <c r="H106" s="71">
        <v>986293.31587235699</v>
      </c>
      <c r="I106" s="71">
        <v>696207.04649813427</v>
      </c>
      <c r="J106" s="71">
        <v>406120.77712391177</v>
      </c>
      <c r="K106" s="71">
        <v>116034.50774968928</v>
      </c>
      <c r="L106" s="71">
        <v>-174051.76162453368</v>
      </c>
      <c r="M106" s="71">
        <v>-464138.03099875618</v>
      </c>
      <c r="N106" s="71">
        <v>-754224.30037297867</v>
      </c>
    </row>
    <row r="107" spans="6:14" x14ac:dyDescent="0.25">
      <c r="F107" s="147"/>
      <c r="G107" s="65">
        <v>430</v>
      </c>
      <c r="H107" s="71">
        <v>998461.92082203622</v>
      </c>
      <c r="I107" s="71">
        <v>721111.38726035948</v>
      </c>
      <c r="J107" s="71">
        <v>443760.85369868297</v>
      </c>
      <c r="K107" s="71">
        <v>166410.32013700623</v>
      </c>
      <c r="L107" s="71">
        <v>-110940.21342467051</v>
      </c>
      <c r="M107" s="71">
        <v>-388290.74698634725</v>
      </c>
      <c r="N107" s="71">
        <v>-665641.28054802399</v>
      </c>
    </row>
    <row r="108" spans="6:14" x14ac:dyDescent="0.25">
      <c r="F108" s="147"/>
      <c r="G108" s="65">
        <v>440</v>
      </c>
      <c r="H108" s="71">
        <v>1008701.5979665397</v>
      </c>
      <c r="I108" s="71">
        <v>743253.80902797659</v>
      </c>
      <c r="J108" s="71">
        <v>477806.02008941351</v>
      </c>
      <c r="K108" s="71">
        <v>212358.23115085065</v>
      </c>
      <c r="L108" s="71">
        <v>-53089.557787712663</v>
      </c>
      <c r="M108" s="71">
        <v>-318537.34672627551</v>
      </c>
      <c r="N108" s="71">
        <v>-583985.13566483883</v>
      </c>
    </row>
    <row r="109" spans="6:14" x14ac:dyDescent="0.25">
      <c r="F109" s="147"/>
      <c r="G109" s="65">
        <v>450</v>
      </c>
      <c r="H109" s="71">
        <v>1017225.7233983984</v>
      </c>
      <c r="I109" s="71">
        <v>762919.29254879872</v>
      </c>
      <c r="J109" s="71">
        <v>508612.86169919907</v>
      </c>
      <c r="K109" s="71">
        <v>254306.43084959942</v>
      </c>
      <c r="L109" s="71">
        <v>0</v>
      </c>
      <c r="M109" s="71">
        <v>-254306.43084959965</v>
      </c>
      <c r="N109" s="71">
        <v>-508612.8616991993</v>
      </c>
    </row>
    <row r="110" spans="6:14" x14ac:dyDescent="0.25">
      <c r="F110" s="147"/>
      <c r="G110" s="65">
        <v>460</v>
      </c>
      <c r="H110" s="71">
        <v>1024222.1565401531</v>
      </c>
      <c r="I110" s="71">
        <v>780359.73831630708</v>
      </c>
      <c r="J110" s="71">
        <v>536497.3200924613</v>
      </c>
      <c r="K110" s="71">
        <v>292634.9018686153</v>
      </c>
      <c r="L110" s="71">
        <v>48772.483644769527</v>
      </c>
      <c r="M110" s="71">
        <v>-195089.93457907671</v>
      </c>
      <c r="N110" s="71">
        <v>-438952.35280292248</v>
      </c>
    </row>
    <row r="111" spans="6:14" x14ac:dyDescent="0.25">
      <c r="F111" s="147"/>
      <c r="G111" s="65">
        <v>470</v>
      </c>
      <c r="H111" s="71">
        <v>1029856.6614397548</v>
      </c>
      <c r="I111" s="71">
        <v>795798.32929435605</v>
      </c>
      <c r="J111" s="71">
        <v>561739.9971489571</v>
      </c>
      <c r="K111" s="71">
        <v>327681.66500355839</v>
      </c>
      <c r="L111" s="71">
        <v>93623.332858159672</v>
      </c>
      <c r="M111" s="71">
        <v>-140434.99928723928</v>
      </c>
      <c r="N111" s="71">
        <v>-374493.33143263776</v>
      </c>
    </row>
    <row r="112" spans="6:14" x14ac:dyDescent="0.25">
      <c r="F112" s="147"/>
      <c r="G112" s="65">
        <v>480</v>
      </c>
      <c r="H112" s="71">
        <v>1034275.8155834542</v>
      </c>
      <c r="I112" s="71">
        <v>809433.24697835557</v>
      </c>
      <c r="J112" s="71">
        <v>584590.67837325693</v>
      </c>
      <c r="K112" s="71">
        <v>359748.10976815806</v>
      </c>
      <c r="L112" s="71">
        <v>134905.54116305942</v>
      </c>
      <c r="M112" s="71">
        <v>-89937.027442039456</v>
      </c>
      <c r="N112" s="71">
        <v>-314779.59604713786</v>
      </c>
    </row>
    <row r="113" spans="6:14" x14ac:dyDescent="0.25">
      <c r="F113" s="147"/>
      <c r="G113" s="65">
        <v>490</v>
      </c>
      <c r="H113" s="71">
        <v>1037609.4911199291</v>
      </c>
      <c r="I113" s="71">
        <v>821440.84713661065</v>
      </c>
      <c r="J113" s="71">
        <v>605272.20315329218</v>
      </c>
      <c r="K113" s="71">
        <v>389103.55916997371</v>
      </c>
      <c r="L113" s="71">
        <v>172934.91518665501</v>
      </c>
      <c r="M113" s="71">
        <v>-43233.728796663694</v>
      </c>
      <c r="N113" s="71">
        <v>-259402.37277998216</v>
      </c>
    </row>
    <row r="114" spans="6:14" x14ac:dyDescent="0.25">
      <c r="F114" s="147"/>
      <c r="G114" s="65">
        <v>500</v>
      </c>
      <c r="H114" s="71">
        <v>1039972.9779989794</v>
      </c>
      <c r="I114" s="71">
        <v>831978.3823991837</v>
      </c>
      <c r="J114" s="71">
        <v>623983.78679938777</v>
      </c>
      <c r="K114" s="71">
        <v>415989.19119959185</v>
      </c>
      <c r="L114" s="71">
        <v>207994.59559979592</v>
      </c>
      <c r="M114" s="71">
        <v>0</v>
      </c>
      <c r="N114" s="71">
        <v>-207994.59559979569</v>
      </c>
    </row>
    <row r="115" spans="6:14" x14ac:dyDescent="0.25">
      <c r="F115" s="147"/>
      <c r="G115" s="65">
        <v>510</v>
      </c>
      <c r="H115" s="71">
        <v>1041468.8061629091</v>
      </c>
      <c r="I115" s="71">
        <v>841186.34343927284</v>
      </c>
      <c r="J115" s="71">
        <v>640903.8807156363</v>
      </c>
      <c r="K115" s="71">
        <v>440621.417992</v>
      </c>
      <c r="L115" s="71">
        <v>240338.9552683637</v>
      </c>
      <c r="M115" s="71">
        <v>40056.4925447274</v>
      </c>
      <c r="N115" s="71">
        <v>-160225.97017890913</v>
      </c>
    </row>
    <row r="116" spans="6:14" x14ac:dyDescent="0.25">
      <c r="F116" s="147"/>
      <c r="G116" s="65">
        <v>520</v>
      </c>
      <c r="H116" s="71">
        <v>1042188.3139489595</v>
      </c>
      <c r="I116" s="71">
        <v>849190.47803248558</v>
      </c>
      <c r="J116" s="71">
        <v>656192.64211601159</v>
      </c>
      <c r="K116" s="71">
        <v>463194.80619953759</v>
      </c>
      <c r="L116" s="71">
        <v>270196.97028306359</v>
      </c>
      <c r="M116" s="71">
        <v>77199.134366589598</v>
      </c>
      <c r="N116" s="71">
        <v>-115798.70154988416</v>
      </c>
    </row>
    <row r="117" spans="6:14" x14ac:dyDescent="0.25">
      <c r="F117" s="147"/>
      <c r="G117" s="65">
        <v>530</v>
      </c>
      <c r="H117" s="71">
        <v>1042213.0017719698</v>
      </c>
      <c r="I117" s="71">
        <v>856103.53716983227</v>
      </c>
      <c r="J117" s="71">
        <v>669994.07256769482</v>
      </c>
      <c r="K117" s="71">
        <v>483884.60796555737</v>
      </c>
      <c r="L117" s="71">
        <v>297775.14336341992</v>
      </c>
      <c r="M117" s="71">
        <v>111665.67876128247</v>
      </c>
      <c r="N117" s="71">
        <v>-74443.78584085498</v>
      </c>
    </row>
    <row r="118" spans="6:14" x14ac:dyDescent="0.25">
      <c r="F118" s="147"/>
      <c r="G118" s="65">
        <v>540</v>
      </c>
      <c r="H118" s="71">
        <v>1041615.7035724644</v>
      </c>
      <c r="I118" s="71">
        <v>862026.78916341881</v>
      </c>
      <c r="J118" s="71">
        <v>682437.87475437322</v>
      </c>
      <c r="K118" s="71">
        <v>502848.96034532762</v>
      </c>
      <c r="L118" s="71">
        <v>323260.04593628203</v>
      </c>
      <c r="M118" s="71">
        <v>143671.13152723666</v>
      </c>
      <c r="N118" s="71">
        <v>-35917.782881808933</v>
      </c>
    </row>
    <row r="119" spans="6:14" x14ac:dyDescent="0.25">
      <c r="F119" s="147"/>
      <c r="G119" s="65">
        <v>550</v>
      </c>
      <c r="H119" s="71">
        <v>1040461.6031350964</v>
      </c>
      <c r="I119" s="71">
        <v>867051.33594591368</v>
      </c>
      <c r="J119" s="71">
        <v>693641.06875673099</v>
      </c>
      <c r="K119" s="71">
        <v>520230.80156754819</v>
      </c>
      <c r="L119" s="71">
        <v>346820.53437836538</v>
      </c>
      <c r="M119" s="71">
        <v>173410.26718918281</v>
      </c>
      <c r="N119" s="71">
        <v>0</v>
      </c>
    </row>
    <row r="120" spans="6:14" x14ac:dyDescent="0.25">
      <c r="F120" s="147"/>
      <c r="G120" s="65">
        <v>560</v>
      </c>
      <c r="H120" s="71">
        <v>1038809.1179690239</v>
      </c>
      <c r="I120" s="71">
        <v>871259.26023208455</v>
      </c>
      <c r="J120" s="71">
        <v>703709.4024951451</v>
      </c>
      <c r="K120" s="71">
        <v>536159.544758206</v>
      </c>
      <c r="L120" s="71">
        <v>368609.68702126667</v>
      </c>
      <c r="M120" s="71">
        <v>201059.82928432734</v>
      </c>
      <c r="N120" s="71">
        <v>33509.971547388006</v>
      </c>
    </row>
    <row r="121" spans="6:14" x14ac:dyDescent="0.25">
      <c r="F121" s="147"/>
      <c r="G121" s="65">
        <v>570</v>
      </c>
      <c r="H121" s="71">
        <v>1036710.669808225</v>
      </c>
      <c r="I121" s="71">
        <v>874724.6276506898</v>
      </c>
      <c r="J121" s="71">
        <v>712738.58549315459</v>
      </c>
      <c r="K121" s="71">
        <v>550752.54333561938</v>
      </c>
      <c r="L121" s="71">
        <v>388766.50117808441</v>
      </c>
      <c r="M121" s="71">
        <v>226780.4590205492</v>
      </c>
      <c r="N121" s="71">
        <v>64794.41686301399</v>
      </c>
    </row>
    <row r="122" spans="6:14" x14ac:dyDescent="0.25">
      <c r="F122" s="147"/>
      <c r="G122" s="65">
        <v>580</v>
      </c>
      <c r="H122" s="71">
        <v>1034213.3577876764</v>
      </c>
      <c r="I122" s="71">
        <v>877514.36418348295</v>
      </c>
      <c r="J122" s="71">
        <v>720815.37057928951</v>
      </c>
      <c r="K122" s="71">
        <v>564116.37697509606</v>
      </c>
      <c r="L122" s="71">
        <v>407417.38337090285</v>
      </c>
      <c r="M122" s="71">
        <v>250718.38976670941</v>
      </c>
      <c r="N122" s="71">
        <v>94019.396162515972</v>
      </c>
    </row>
    <row r="123" spans="6:14" x14ac:dyDescent="0.25">
      <c r="F123" s="147"/>
      <c r="G123" s="65">
        <v>590</v>
      </c>
      <c r="H123" s="71">
        <v>1031359.5478624469</v>
      </c>
      <c r="I123" s="71">
        <v>879689.02611796942</v>
      </c>
      <c r="J123" s="71">
        <v>728018.50437349197</v>
      </c>
      <c r="K123" s="71">
        <v>576347.98262901441</v>
      </c>
      <c r="L123" s="71">
        <v>424677.46088453708</v>
      </c>
      <c r="M123" s="71">
        <v>273006.93914005952</v>
      </c>
      <c r="N123" s="71">
        <v>121336.41739558196</v>
      </c>
    </row>
    <row r="124" spans="6:14" x14ac:dyDescent="0.25">
      <c r="F124" s="147"/>
      <c r="G124" s="65">
        <v>600</v>
      </c>
      <c r="H124" s="71">
        <v>1028187.3899667513</v>
      </c>
      <c r="I124" s="71">
        <v>881303.47711435833</v>
      </c>
      <c r="J124" s="71">
        <v>734419.56426196522</v>
      </c>
      <c r="K124" s="71">
        <v>587535.65140957222</v>
      </c>
      <c r="L124" s="71">
        <v>440651.73855717899</v>
      </c>
      <c r="M124" s="71">
        <v>293767.825704786</v>
      </c>
      <c r="N124" s="71">
        <v>146883.912852393</v>
      </c>
    </row>
    <row r="125" spans="6:14" x14ac:dyDescent="0.25">
      <c r="F125" s="147"/>
      <c r="G125" s="65">
        <v>610</v>
      </c>
      <c r="H125" s="71">
        <v>1024731.2726827315</v>
      </c>
      <c r="I125" s="71">
        <v>882407.48481012986</v>
      </c>
      <c r="J125" s="71">
        <v>740083.69693752832</v>
      </c>
      <c r="K125" s="71">
        <v>597759.90906492667</v>
      </c>
      <c r="L125" s="71">
        <v>455436.12119232514</v>
      </c>
      <c r="M125" s="71">
        <v>313112.33331972361</v>
      </c>
      <c r="N125" s="71">
        <v>170788.54544712184</v>
      </c>
    </row>
    <row r="126" spans="6:14" x14ac:dyDescent="0.25">
      <c r="F126" s="147"/>
      <c r="G126" s="65">
        <v>620</v>
      </c>
      <c r="H126" s="71">
        <v>1021022.2237432048</v>
      </c>
      <c r="I126" s="71">
        <v>883046.24756169063</v>
      </c>
      <c r="J126" s="71">
        <v>745070.27138017653</v>
      </c>
      <c r="K126" s="71">
        <v>607094.29519866221</v>
      </c>
      <c r="L126" s="71">
        <v>469118.31901714811</v>
      </c>
      <c r="M126" s="71">
        <v>331142.34283563402</v>
      </c>
      <c r="N126" s="71">
        <v>193166.36665411969</v>
      </c>
    </row>
    <row r="127" spans="6:14" x14ac:dyDescent="0.25">
      <c r="F127" s="147"/>
      <c r="G127" s="65">
        <v>630</v>
      </c>
      <c r="H127" s="71">
        <v>1017088.2634793159</v>
      </c>
      <c r="I127" s="71">
        <v>883260.86038993229</v>
      </c>
      <c r="J127" s="71">
        <v>749433.45730054856</v>
      </c>
      <c r="K127" s="71">
        <v>615606.05421116482</v>
      </c>
      <c r="L127" s="71">
        <v>481778.65112178121</v>
      </c>
      <c r="M127" s="71">
        <v>347951.24803239759</v>
      </c>
      <c r="N127" s="71">
        <v>214123.84494301397</v>
      </c>
    </row>
    <row r="128" spans="6:14" x14ac:dyDescent="0.25">
      <c r="F128" s="147"/>
      <c r="G128" s="65">
        <v>640</v>
      </c>
      <c r="H128" s="71">
        <v>1012954.7173026291</v>
      </c>
      <c r="I128" s="71">
        <v>883088.7279048562</v>
      </c>
      <c r="J128" s="71">
        <v>753222.73850708327</v>
      </c>
      <c r="K128" s="71">
        <v>623356.74910931021</v>
      </c>
      <c r="L128" s="71">
        <v>493490.75971153728</v>
      </c>
      <c r="M128" s="71">
        <v>363624.77031376422</v>
      </c>
      <c r="N128" s="71">
        <v>233758.7809159914</v>
      </c>
    </row>
    <row r="129" spans="6:14" x14ac:dyDescent="0.25">
      <c r="F129" s="147"/>
      <c r="G129" s="65">
        <v>650</v>
      </c>
      <c r="H129" s="71">
        <v>1008644.4924491229</v>
      </c>
      <c r="I129" s="71">
        <v>882563.93089298252</v>
      </c>
      <c r="J129" s="71">
        <v>756483.36933684221</v>
      </c>
      <c r="K129" s="71">
        <v>630402.80778070178</v>
      </c>
      <c r="L129" s="71">
        <v>504322.24622456147</v>
      </c>
      <c r="M129" s="71">
        <v>378241.68466842105</v>
      </c>
      <c r="N129" s="71">
        <v>252161.12311228062</v>
      </c>
    </row>
    <row r="130" spans="6:14" x14ac:dyDescent="0.25">
      <c r="F130" s="147"/>
      <c r="G130" s="65">
        <v>660</v>
      </c>
      <c r="H130" s="71">
        <v>1004178.3234829371</v>
      </c>
      <c r="I130" s="71">
        <v>881717.55232648132</v>
      </c>
      <c r="J130" s="71">
        <v>759256.78117002558</v>
      </c>
      <c r="K130" s="71">
        <v>636796.01001356984</v>
      </c>
      <c r="L130" s="71">
        <v>514335.23885711422</v>
      </c>
      <c r="M130" s="71">
        <v>391874.46770065837</v>
      </c>
      <c r="N130" s="71">
        <v>269413.69654420274</v>
      </c>
    </row>
    <row r="131" spans="6:14" x14ac:dyDescent="0.25">
      <c r="F131" s="147"/>
      <c r="G131" s="65">
        <v>670</v>
      </c>
      <c r="H131" s="71">
        <v>999574.99043870345</v>
      </c>
      <c r="I131" s="71">
        <v>880577.96776742931</v>
      </c>
      <c r="J131" s="71">
        <v>761580.94509615505</v>
      </c>
      <c r="K131" s="71">
        <v>642583.92242488079</v>
      </c>
      <c r="L131" s="71">
        <v>523586.89975360665</v>
      </c>
      <c r="M131" s="71">
        <v>404589.87708233227</v>
      </c>
      <c r="N131" s="71">
        <v>285592.85441105813</v>
      </c>
    </row>
    <row r="132" spans="6:14" x14ac:dyDescent="0.25">
      <c r="F132" s="147"/>
      <c r="G132" s="65">
        <v>680</v>
      </c>
      <c r="H132" s="71">
        <v>994851.51295467373</v>
      </c>
      <c r="I132" s="71">
        <v>879171.10447157209</v>
      </c>
      <c r="J132" s="71">
        <v>763490.69598847057</v>
      </c>
      <c r="K132" s="71">
        <v>647810.28750536893</v>
      </c>
      <c r="L132" s="71">
        <v>532129.8790222673</v>
      </c>
      <c r="M132" s="71">
        <v>416449.47053916566</v>
      </c>
      <c r="N132" s="71">
        <v>300769.06205606414</v>
      </c>
    </row>
    <row r="133" spans="6:14" x14ac:dyDescent="0.25">
      <c r="F133" s="147"/>
      <c r="G133" s="65">
        <v>690</v>
      </c>
      <c r="H133" s="71">
        <v>990023.32329994719</v>
      </c>
      <c r="I133" s="71">
        <v>877520.67292495316</v>
      </c>
      <c r="J133" s="71">
        <v>765018.02254995925</v>
      </c>
      <c r="K133" s="71">
        <v>652515.37217496522</v>
      </c>
      <c r="L133" s="71">
        <v>540012.72179997119</v>
      </c>
      <c r="M133" s="71">
        <v>427510.07142497716</v>
      </c>
      <c r="N133" s="71">
        <v>315007.42104998324</v>
      </c>
    </row>
    <row r="134" spans="6:14" x14ac:dyDescent="0.25">
      <c r="F134" s="147"/>
      <c r="G134" s="65">
        <v>700</v>
      </c>
      <c r="H134" s="71">
        <v>985104.42081539321</v>
      </c>
      <c r="I134" s="71">
        <v>875648.37405812729</v>
      </c>
      <c r="J134" s="71">
        <v>766192.32730086136</v>
      </c>
      <c r="K134" s="71">
        <v>656736.28054359555</v>
      </c>
      <c r="L134" s="71">
        <v>547280.23378632963</v>
      </c>
      <c r="M134" s="71">
        <v>437824.1870290637</v>
      </c>
      <c r="N134" s="71">
        <v>328368.14027179778</v>
      </c>
    </row>
  </sheetData>
  <mergeCells count="10">
    <mergeCell ref="E16:F16"/>
    <mergeCell ref="A20:E20"/>
    <mergeCell ref="F20:H20"/>
    <mergeCell ref="G88:N88"/>
    <mergeCell ref="F88:F134"/>
    <mergeCell ref="A1:A2"/>
    <mergeCell ref="B1:B2"/>
    <mergeCell ref="C1:C2"/>
    <mergeCell ref="A16:B16"/>
    <mergeCell ref="C16:D16"/>
  </mergeCells>
  <conditionalFormatting sqref="H39:H83">
    <cfRule type="top10" dxfId="11" priority="8" rank="1"/>
    <cfRule type="top10" dxfId="10" priority="9" rank="1"/>
    <cfRule type="cellIs" dxfId="9" priority="10" operator="equal">
      <formula>"Max(h39:h83)"</formula>
    </cfRule>
    <cfRule type="cellIs" dxfId="8" priority="11" operator="equal">
      <formula>593536</formula>
    </cfRule>
    <cfRule type="cellIs" dxfId="7" priority="12" operator="equal">
      <formula>593536</formula>
    </cfRule>
  </conditionalFormatting>
  <conditionalFormatting sqref="H90:H134">
    <cfRule type="top10" dxfId="6" priority="7" rank="1"/>
  </conditionalFormatting>
  <conditionalFormatting sqref="I90:I134">
    <cfRule type="top10" dxfId="5" priority="6" rank="1"/>
  </conditionalFormatting>
  <conditionalFormatting sqref="J90:J134">
    <cfRule type="top10" dxfId="4" priority="5" rank="1"/>
  </conditionalFormatting>
  <conditionalFormatting sqref="K90:K134">
    <cfRule type="top10" dxfId="3" priority="4" percent="1" rank="1"/>
  </conditionalFormatting>
  <conditionalFormatting sqref="L90:L134">
    <cfRule type="top10" dxfId="2" priority="3" rank="1"/>
  </conditionalFormatting>
  <conditionalFormatting sqref="M90:M134">
    <cfRule type="top10" dxfId="1" priority="2" percent="1" rank="1"/>
  </conditionalFormatting>
  <conditionalFormatting sqref="N90:N134">
    <cfRule type="top10" dxfId="0" priority="1" percent="1" rank="1"/>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19143-E493-4C5D-954D-831A45FFA6FF}">
  <dimension ref="A1:G23"/>
  <sheetViews>
    <sheetView workbookViewId="0">
      <selection activeCell="G11" sqref="G11"/>
    </sheetView>
  </sheetViews>
  <sheetFormatPr defaultRowHeight="15" x14ac:dyDescent="0.25"/>
  <cols>
    <col min="1" max="1" width="18" bestFit="1" customWidth="1"/>
    <col min="6" max="6" width="11.5703125" bestFit="1" customWidth="1"/>
    <col min="7" max="7" width="18" bestFit="1" customWidth="1"/>
  </cols>
  <sheetData>
    <row r="1" spans="1:7" ht="20.25" thickBot="1" x14ac:dyDescent="0.35">
      <c r="A1" s="74" t="s">
        <v>113</v>
      </c>
      <c r="B1" s="73"/>
    </row>
    <row r="2" spans="1:7" ht="15.75" thickTop="1" x14ac:dyDescent="0.25">
      <c r="F2" s="146" t="s">
        <v>122</v>
      </c>
      <c r="G2" s="146"/>
    </row>
    <row r="3" spans="1:7" x14ac:dyDescent="0.25">
      <c r="F3" s="62" t="s">
        <v>123</v>
      </c>
      <c r="G3" s="62" t="s">
        <v>124</v>
      </c>
    </row>
    <row r="4" spans="1:7" x14ac:dyDescent="0.25">
      <c r="A4" s="46" t="s">
        <v>112</v>
      </c>
      <c r="B4" s="78">
        <v>9.3000000000000007</v>
      </c>
      <c r="C4" t="s">
        <v>116</v>
      </c>
      <c r="F4" s="46">
        <v>1</v>
      </c>
      <c r="G4" s="46">
        <f>B6</f>
        <v>1.2</v>
      </c>
    </row>
    <row r="5" spans="1:7" x14ac:dyDescent="0.25">
      <c r="A5" s="46" t="s">
        <v>114</v>
      </c>
      <c r="B5" s="46">
        <v>20</v>
      </c>
      <c r="C5" t="s">
        <v>117</v>
      </c>
      <c r="F5" s="46">
        <v>2</v>
      </c>
      <c r="G5" s="76">
        <f>IF(F5&lt;$B$7,G4+G4*$B$8,G4-G4*$B$9)</f>
        <v>1.3199999999999998</v>
      </c>
    </row>
    <row r="6" spans="1:7" x14ac:dyDescent="0.25">
      <c r="A6" s="46" t="s">
        <v>115</v>
      </c>
      <c r="B6" s="78">
        <v>1.2</v>
      </c>
      <c r="C6" t="s">
        <v>116</v>
      </c>
      <c r="F6" s="46">
        <v>3</v>
      </c>
      <c r="G6" s="76">
        <f t="shared" ref="G6:G23" si="0">IF(F6&lt;$B$7,G5+G5*$B$8,G5-G5*$B$9)</f>
        <v>1.4519999999999997</v>
      </c>
    </row>
    <row r="7" spans="1:7" x14ac:dyDescent="0.25">
      <c r="A7" s="46" t="s">
        <v>118</v>
      </c>
      <c r="B7" s="46">
        <v>8</v>
      </c>
      <c r="F7" s="46">
        <v>4</v>
      </c>
      <c r="G7" s="76">
        <f t="shared" si="0"/>
        <v>1.5971999999999997</v>
      </c>
    </row>
    <row r="8" spans="1:7" x14ac:dyDescent="0.25">
      <c r="A8" s="46" t="s">
        <v>119</v>
      </c>
      <c r="B8" s="75">
        <v>0.1</v>
      </c>
      <c r="F8" s="46">
        <v>5</v>
      </c>
      <c r="G8" s="76">
        <f t="shared" si="0"/>
        <v>1.7569199999999996</v>
      </c>
    </row>
    <row r="9" spans="1:7" x14ac:dyDescent="0.25">
      <c r="A9" s="46" t="s">
        <v>120</v>
      </c>
      <c r="B9" s="75">
        <v>0.05</v>
      </c>
      <c r="F9" s="46">
        <v>6</v>
      </c>
      <c r="G9" s="76">
        <f t="shared" si="0"/>
        <v>1.9326119999999996</v>
      </c>
    </row>
    <row r="10" spans="1:7" x14ac:dyDescent="0.25">
      <c r="A10" s="46" t="s">
        <v>121</v>
      </c>
      <c r="B10" s="75">
        <v>0.12</v>
      </c>
      <c r="F10" s="46">
        <v>7</v>
      </c>
      <c r="G10" s="76">
        <f t="shared" si="0"/>
        <v>2.1258731999999996</v>
      </c>
    </row>
    <row r="11" spans="1:7" x14ac:dyDescent="0.25">
      <c r="F11" s="46">
        <v>8</v>
      </c>
      <c r="G11" s="76">
        <f t="shared" si="0"/>
        <v>2.0195795399999996</v>
      </c>
    </row>
    <row r="12" spans="1:7" x14ac:dyDescent="0.25">
      <c r="A12" t="s">
        <v>125</v>
      </c>
      <c r="B12" s="77">
        <f>NPV(B10,G4:G23)</f>
        <v>11.851609399230435</v>
      </c>
      <c r="C12" t="str">
        <f ca="1">_xlfn.FORMULATEXT(B12)</f>
        <v>=NPV(B10,G4:G23)</v>
      </c>
      <c r="F12" s="46">
        <v>9</v>
      </c>
      <c r="G12" s="76">
        <f t="shared" si="0"/>
        <v>1.9186005629999996</v>
      </c>
    </row>
    <row r="13" spans="1:7" x14ac:dyDescent="0.25">
      <c r="A13" t="s">
        <v>112</v>
      </c>
      <c r="B13" s="64">
        <f>B4</f>
        <v>9.3000000000000007</v>
      </c>
      <c r="F13" s="46">
        <v>10</v>
      </c>
      <c r="G13" s="76">
        <f t="shared" si="0"/>
        <v>1.8226705348499996</v>
      </c>
    </row>
    <row r="14" spans="1:7" x14ac:dyDescent="0.25">
      <c r="A14" s="3" t="s">
        <v>126</v>
      </c>
      <c r="B14" s="77">
        <f>B12-B13</f>
        <v>2.5516093992304345</v>
      </c>
      <c r="C14" t="s">
        <v>127</v>
      </c>
      <c r="F14" s="46">
        <v>11</v>
      </c>
      <c r="G14" s="76">
        <f t="shared" si="0"/>
        <v>1.7315370081074997</v>
      </c>
    </row>
    <row r="15" spans="1:7" x14ac:dyDescent="0.25">
      <c r="F15" s="46">
        <v>12</v>
      </c>
      <c r="G15" s="76">
        <f t="shared" si="0"/>
        <v>1.6449601577021247</v>
      </c>
    </row>
    <row r="16" spans="1:7" x14ac:dyDescent="0.25">
      <c r="F16" s="46">
        <v>13</v>
      </c>
      <c r="G16" s="76">
        <f t="shared" si="0"/>
        <v>1.5627121498170184</v>
      </c>
    </row>
    <row r="17" spans="6:7" x14ac:dyDescent="0.25">
      <c r="F17" s="46">
        <v>14</v>
      </c>
      <c r="G17" s="76">
        <f t="shared" si="0"/>
        <v>1.4845765423261674</v>
      </c>
    </row>
    <row r="18" spans="6:7" x14ac:dyDescent="0.25">
      <c r="F18" s="46">
        <v>15</v>
      </c>
      <c r="G18" s="76">
        <f t="shared" si="0"/>
        <v>1.4103477152098591</v>
      </c>
    </row>
    <row r="19" spans="6:7" x14ac:dyDescent="0.25">
      <c r="F19" s="46">
        <v>16</v>
      </c>
      <c r="G19" s="76">
        <f t="shared" si="0"/>
        <v>1.3398303294493661</v>
      </c>
    </row>
    <row r="20" spans="6:7" x14ac:dyDescent="0.25">
      <c r="F20" s="46">
        <v>17</v>
      </c>
      <c r="G20" s="76">
        <f t="shared" si="0"/>
        <v>1.2728388129768977</v>
      </c>
    </row>
    <row r="21" spans="6:7" x14ac:dyDescent="0.25">
      <c r="F21" s="46">
        <v>18</v>
      </c>
      <c r="G21" s="76">
        <f t="shared" si="0"/>
        <v>1.2091968723280528</v>
      </c>
    </row>
    <row r="22" spans="6:7" x14ac:dyDescent="0.25">
      <c r="F22" s="46">
        <v>19</v>
      </c>
      <c r="G22" s="76">
        <f t="shared" si="0"/>
        <v>1.1487370287116503</v>
      </c>
    </row>
    <row r="23" spans="6:7" x14ac:dyDescent="0.25">
      <c r="F23" s="46">
        <v>20</v>
      </c>
      <c r="G23" s="76">
        <f t="shared" si="0"/>
        <v>1.0913001772760678</v>
      </c>
    </row>
  </sheetData>
  <mergeCells count="1">
    <mergeCell ref="F2:G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E93E-EFF1-4BD5-B623-7EC37F47FA32}">
  <dimension ref="A1:G22"/>
  <sheetViews>
    <sheetView topLeftCell="C1" workbookViewId="0">
      <selection activeCell="E25" sqref="E25"/>
    </sheetView>
  </sheetViews>
  <sheetFormatPr defaultRowHeight="15" x14ac:dyDescent="0.25"/>
  <cols>
    <col min="1" max="1" width="22.7109375" customWidth="1"/>
    <col min="2" max="2" width="19" customWidth="1"/>
    <col min="3" max="3" width="18" customWidth="1"/>
    <col min="7" max="7" width="32.5703125" customWidth="1"/>
  </cols>
  <sheetData>
    <row r="1" spans="1:7" x14ac:dyDescent="0.25">
      <c r="B1" t="s">
        <v>129</v>
      </c>
      <c r="C1" t="s">
        <v>130</v>
      </c>
    </row>
    <row r="2" spans="1:7" x14ac:dyDescent="0.25">
      <c r="A2" t="s">
        <v>128</v>
      </c>
      <c r="B2" s="79">
        <v>175</v>
      </c>
      <c r="C2" s="79">
        <v>10.000000000000007</v>
      </c>
      <c r="D2" t="s">
        <v>131</v>
      </c>
    </row>
    <row r="3" spans="1:7" x14ac:dyDescent="0.25">
      <c r="B3" s="4">
        <v>3000</v>
      </c>
      <c r="C3" s="4">
        <v>7000</v>
      </c>
      <c r="D3" t="s">
        <v>140</v>
      </c>
    </row>
    <row r="6" spans="1:7" x14ac:dyDescent="0.25">
      <c r="A6" t="s">
        <v>133</v>
      </c>
    </row>
    <row r="7" spans="1:7" x14ac:dyDescent="0.25">
      <c r="A7" t="s">
        <v>141</v>
      </c>
      <c r="B7" s="83">
        <f>SUMPRODUCT(B2:C2,B3:C3)</f>
        <v>595000</v>
      </c>
      <c r="D7" t="str">
        <f ca="1">_xlfn.FORMULATEXT(B7)</f>
        <v>=SUMPRODUCT(B2:C2,B3:C3)</v>
      </c>
    </row>
    <row r="12" spans="1:7" x14ac:dyDescent="0.25">
      <c r="D12" t="s">
        <v>138</v>
      </c>
    </row>
    <row r="13" spans="1:7" x14ac:dyDescent="0.25">
      <c r="A13" s="62" t="s">
        <v>132</v>
      </c>
      <c r="B13" s="62"/>
      <c r="C13" s="62"/>
      <c r="D13" s="62" t="s">
        <v>135</v>
      </c>
      <c r="E13" s="62" t="s">
        <v>136</v>
      </c>
      <c r="F13" s="62" t="s">
        <v>137</v>
      </c>
      <c r="G13" s="81" t="s">
        <v>146</v>
      </c>
    </row>
    <row r="14" spans="1:7" x14ac:dyDescent="0.25">
      <c r="A14" s="46" t="s">
        <v>134</v>
      </c>
      <c r="B14" s="80">
        <v>200</v>
      </c>
      <c r="C14" s="80">
        <v>500</v>
      </c>
      <c r="D14" s="80">
        <f>SUMPRODUCT($B$2:$C$2,B14:C14)</f>
        <v>40000</v>
      </c>
      <c r="E14" s="80" t="s">
        <v>139</v>
      </c>
      <c r="F14" s="80">
        <v>40000</v>
      </c>
      <c r="G14" t="str">
        <f ca="1">_xlfn.FORMULATEXT(D14)</f>
        <v>=SUMPRODUCT($B$2:$C$2,B14:C14)</v>
      </c>
    </row>
    <row r="15" spans="1:7" x14ac:dyDescent="0.25">
      <c r="A15" s="46" t="s">
        <v>142</v>
      </c>
      <c r="B15" s="80">
        <v>1</v>
      </c>
      <c r="C15" s="80"/>
      <c r="D15" s="80">
        <f t="shared" ref="D15:D17" si="0">SUMPRODUCT($B$2:$C$2,B15:C15)</f>
        <v>175</v>
      </c>
      <c r="E15" s="80" t="s">
        <v>144</v>
      </c>
      <c r="F15" s="80">
        <v>10</v>
      </c>
      <c r="G15" t="str">
        <f t="shared" ref="G15:G17" ca="1" si="1">_xlfn.FORMULATEXT(D15)</f>
        <v>=SUMPRODUCT($B$2:$C$2,B15:C15)</v>
      </c>
    </row>
    <row r="16" spans="1:7" x14ac:dyDescent="0.25">
      <c r="A16" s="46" t="s">
        <v>143</v>
      </c>
      <c r="B16" s="80"/>
      <c r="C16" s="80">
        <v>1</v>
      </c>
      <c r="D16" s="80">
        <f t="shared" si="0"/>
        <v>10.000000000000007</v>
      </c>
      <c r="E16" s="80" t="s">
        <v>144</v>
      </c>
      <c r="F16" s="80">
        <v>10</v>
      </c>
      <c r="G16" t="str">
        <f t="shared" ca="1" si="1"/>
        <v>=SUMPRODUCT($B$2:$C$2,B16:C16)</v>
      </c>
    </row>
    <row r="17" spans="1:7" x14ac:dyDescent="0.25">
      <c r="A17" s="46" t="s">
        <v>145</v>
      </c>
      <c r="B17" s="80">
        <v>1</v>
      </c>
      <c r="C17" s="80">
        <v>-1</v>
      </c>
      <c r="D17" s="80">
        <f t="shared" si="0"/>
        <v>165</v>
      </c>
      <c r="E17" s="80" t="s">
        <v>144</v>
      </c>
      <c r="F17" s="80">
        <v>0</v>
      </c>
      <c r="G17" t="str">
        <f t="shared" ca="1" si="1"/>
        <v>=SUMPRODUCT($B$2:$C$2,B17:C17)</v>
      </c>
    </row>
    <row r="21" spans="1:7" x14ac:dyDescent="0.25">
      <c r="A21" t="s">
        <v>147</v>
      </c>
    </row>
    <row r="22" spans="1:7" x14ac:dyDescent="0.25">
      <c r="A22" t="s">
        <v>148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8CB3F-9134-42CA-ACB5-1A653DFEBD9D}">
  <dimension ref="A1:J28"/>
  <sheetViews>
    <sheetView workbookViewId="0">
      <selection activeCell="A15" sqref="A15:F15"/>
    </sheetView>
  </sheetViews>
  <sheetFormatPr defaultRowHeight="15" x14ac:dyDescent="0.25"/>
  <cols>
    <col min="1" max="1" width="17.5703125" bestFit="1" customWidth="1"/>
    <col min="2" max="2" width="13.7109375" customWidth="1"/>
    <col min="3" max="3" width="12.85546875" customWidth="1"/>
    <col min="7" max="7" width="28.5703125" bestFit="1" customWidth="1"/>
    <col min="10" max="10" width="11.7109375" bestFit="1" customWidth="1"/>
  </cols>
  <sheetData>
    <row r="1" spans="1:10" x14ac:dyDescent="0.25">
      <c r="B1" t="s">
        <v>152</v>
      </c>
      <c r="C1" t="s">
        <v>153</v>
      </c>
    </row>
    <row r="2" spans="1:10" x14ac:dyDescent="0.25">
      <c r="A2" t="s">
        <v>128</v>
      </c>
      <c r="B2" s="79">
        <v>560</v>
      </c>
      <c r="C2" s="79">
        <v>1200</v>
      </c>
      <c r="D2" t="s">
        <v>154</v>
      </c>
    </row>
    <row r="4" spans="1:10" x14ac:dyDescent="0.25">
      <c r="A4" t="s">
        <v>158</v>
      </c>
      <c r="D4" t="s">
        <v>159</v>
      </c>
    </row>
    <row r="5" spans="1:10" x14ac:dyDescent="0.25">
      <c r="A5" t="s">
        <v>28</v>
      </c>
      <c r="B5">
        <v>300</v>
      </c>
      <c r="C5">
        <v>450</v>
      </c>
      <c r="D5">
        <f>SUMPRODUCT(B2:C2,B5:C5)</f>
        <v>708000</v>
      </c>
      <c r="G5" t="str">
        <f ca="1">_xlfn.FORMULATEXT(D5)</f>
        <v>=SUMPRODUCT(B2:C2,B5:C5)</v>
      </c>
    </row>
    <row r="6" spans="1:10" x14ac:dyDescent="0.25">
      <c r="A6" t="s">
        <v>22</v>
      </c>
    </row>
    <row r="7" spans="1:10" x14ac:dyDescent="0.25">
      <c r="A7" s="27" t="s">
        <v>160</v>
      </c>
      <c r="B7" s="19">
        <v>150</v>
      </c>
      <c r="C7" s="19">
        <v>225</v>
      </c>
      <c r="D7">
        <f>SUMPRODUCT(B2:C2,B7:C7)</f>
        <v>354000</v>
      </c>
      <c r="G7" t="str">
        <f ca="1">_xlfn.FORMULATEXT(D7)</f>
        <v>=SUMPRODUCT(B2:C2,B7:C7)</v>
      </c>
    </row>
    <row r="8" spans="1:10" x14ac:dyDescent="0.25">
      <c r="A8" s="27" t="s">
        <v>164</v>
      </c>
      <c r="B8">
        <v>5</v>
      </c>
      <c r="C8">
        <v>6</v>
      </c>
      <c r="D8" s="65">
        <f>SUMPRODUCT(B2:C2,B8:C8)*H8</f>
        <v>110000</v>
      </c>
      <c r="G8" t="str">
        <f ca="1">_xlfn.FORMULATEXT(D8)</f>
        <v>=SUMPRODUCT(B2:C2,B8:C8)*H8</v>
      </c>
      <c r="H8" s="65">
        <v>11</v>
      </c>
      <c r="I8" t="s">
        <v>165</v>
      </c>
    </row>
    <row r="9" spans="1:10" x14ac:dyDescent="0.25">
      <c r="A9" s="27" t="s">
        <v>163</v>
      </c>
      <c r="B9">
        <v>1</v>
      </c>
      <c r="C9">
        <v>2</v>
      </c>
      <c r="D9" s="65">
        <f>SUMPRODUCT(B2:C2,B9:C9)*H9</f>
        <v>44400</v>
      </c>
      <c r="G9" t="str">
        <f ca="1">_xlfn.FORMULATEXT(D9)</f>
        <v>=SUMPRODUCT(B2:C2,B9:C9)*H9</v>
      </c>
      <c r="H9" s="65">
        <v>15</v>
      </c>
      <c r="I9" t="s">
        <v>166</v>
      </c>
    </row>
    <row r="10" spans="1:10" x14ac:dyDescent="0.25">
      <c r="A10" t="s">
        <v>67</v>
      </c>
      <c r="D10" s="85">
        <f>D5-D7-D8-D9</f>
        <v>199600</v>
      </c>
      <c r="G10" t="str">
        <f ca="1">_xlfn.FORMULATEXT(D10)</f>
        <v>=D5-D7-D8-D9</v>
      </c>
    </row>
    <row r="15" spans="1:10" x14ac:dyDescent="0.25">
      <c r="A15" s="62" t="s">
        <v>150</v>
      </c>
      <c r="B15" s="62"/>
      <c r="C15" s="62"/>
      <c r="D15" s="62" t="s">
        <v>135</v>
      </c>
      <c r="E15" s="62" t="s">
        <v>136</v>
      </c>
      <c r="F15" s="62" t="s">
        <v>137</v>
      </c>
      <c r="G15" s="81" t="s">
        <v>157</v>
      </c>
    </row>
    <row r="16" spans="1:10" x14ac:dyDescent="0.25">
      <c r="A16" s="46" t="s">
        <v>155</v>
      </c>
      <c r="B16" s="46">
        <v>1</v>
      </c>
      <c r="C16" s="46"/>
      <c r="D16" s="46">
        <f>SUMPRODUCT($B$2:$C$2,B16:C16)</f>
        <v>560</v>
      </c>
      <c r="E16" s="46" t="s">
        <v>139</v>
      </c>
      <c r="F16" s="46">
        <v>600</v>
      </c>
      <c r="G16" t="str">
        <f ca="1">_xlfn.FORMULATEXT(D16)</f>
        <v>=SUMPRODUCT($B$2:$C$2,B16:C16)</v>
      </c>
      <c r="J16" t="s">
        <v>151</v>
      </c>
    </row>
    <row r="17" spans="1:10" x14ac:dyDescent="0.25">
      <c r="A17" s="46" t="s">
        <v>156</v>
      </c>
      <c r="B17" s="46"/>
      <c r="C17" s="46">
        <v>1</v>
      </c>
      <c r="D17" s="46">
        <f t="shared" ref="D17:D19" si="0">SUMPRODUCT($B$2:$C$2,B17:C17)</f>
        <v>1200</v>
      </c>
      <c r="E17" s="46" t="s">
        <v>139</v>
      </c>
      <c r="F17" s="46">
        <v>1200</v>
      </c>
      <c r="G17" t="str">
        <f ca="1">_xlfn.FORMULATEXT(D17)</f>
        <v>=SUMPRODUCT($B$2:$C$2,B17:C17)</v>
      </c>
      <c r="J17" t="s">
        <v>149</v>
      </c>
    </row>
    <row r="18" spans="1:10" x14ac:dyDescent="0.25">
      <c r="A18" s="46" t="s">
        <v>161</v>
      </c>
      <c r="B18" s="46">
        <v>5</v>
      </c>
      <c r="C18" s="46">
        <v>6</v>
      </c>
      <c r="D18" s="46">
        <f t="shared" si="0"/>
        <v>10000</v>
      </c>
      <c r="E18" s="46" t="s">
        <v>139</v>
      </c>
      <c r="F18" s="46">
        <v>10000</v>
      </c>
      <c r="G18" t="str">
        <f t="shared" ref="G18:G19" ca="1" si="1">_xlfn.FORMULATEXT(D18)</f>
        <v>=SUMPRODUCT($B$2:$C$2,B18:C18)</v>
      </c>
      <c r="J18" t="s">
        <v>150</v>
      </c>
    </row>
    <row r="19" spans="1:10" x14ac:dyDescent="0.25">
      <c r="A19" s="46" t="s">
        <v>162</v>
      </c>
      <c r="B19" s="46">
        <v>1</v>
      </c>
      <c r="C19" s="46">
        <v>2</v>
      </c>
      <c r="D19" s="46">
        <f t="shared" si="0"/>
        <v>2960</v>
      </c>
      <c r="E19" s="46" t="s">
        <v>139</v>
      </c>
      <c r="F19" s="46">
        <v>3000</v>
      </c>
      <c r="G19" t="str">
        <f t="shared" ca="1" si="1"/>
        <v>=SUMPRODUCT($B$2:$C$2,B19:C19)</v>
      </c>
    </row>
    <row r="20" spans="1:10" x14ac:dyDescent="0.25">
      <c r="A20" s="46"/>
      <c r="B20" s="46"/>
      <c r="C20" s="46"/>
      <c r="D20" s="46"/>
      <c r="E20" s="46"/>
      <c r="F20" s="46"/>
    </row>
    <row r="21" spans="1:10" x14ac:dyDescent="0.25">
      <c r="A21" s="46"/>
      <c r="B21" s="46"/>
      <c r="C21" s="46"/>
      <c r="D21" s="46"/>
      <c r="E21" s="46"/>
      <c r="F21" s="46"/>
    </row>
    <row r="22" spans="1:10" x14ac:dyDescent="0.25">
      <c r="A22" s="46"/>
      <c r="B22" s="46"/>
      <c r="C22" s="46"/>
      <c r="D22" s="46"/>
      <c r="E22" s="46"/>
      <c r="F22" s="46"/>
    </row>
    <row r="23" spans="1:10" x14ac:dyDescent="0.25">
      <c r="A23" s="46"/>
      <c r="B23" s="46"/>
      <c r="C23" s="46"/>
      <c r="D23" s="46"/>
      <c r="E23" s="46"/>
      <c r="F23" s="46"/>
    </row>
    <row r="24" spans="1:10" x14ac:dyDescent="0.25">
      <c r="A24" s="46"/>
      <c r="B24" s="46"/>
      <c r="C24" s="46"/>
      <c r="D24" s="46"/>
      <c r="E24" s="46"/>
      <c r="F24" s="46"/>
    </row>
    <row r="25" spans="1:10" x14ac:dyDescent="0.25">
      <c r="A25" s="46"/>
      <c r="B25" s="46"/>
      <c r="C25" s="46"/>
      <c r="D25" s="46"/>
      <c r="E25" s="46"/>
      <c r="F25" s="46"/>
    </row>
    <row r="27" spans="1:10" x14ac:dyDescent="0.25">
      <c r="A27" t="s">
        <v>167</v>
      </c>
    </row>
    <row r="28" spans="1:10" x14ac:dyDescent="0.25">
      <c r="A28" t="s">
        <v>168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BCD96-7C0A-4E90-BF26-C89857175851}">
  <dimension ref="A1:I30"/>
  <sheetViews>
    <sheetView topLeftCell="J1" zoomScale="84" workbookViewId="0">
      <selection activeCell="B21" sqref="B21:I24"/>
    </sheetView>
  </sheetViews>
  <sheetFormatPr defaultRowHeight="15" x14ac:dyDescent="0.25"/>
  <cols>
    <col min="1" max="1" width="27.5703125" bestFit="1" customWidth="1"/>
    <col min="2" max="2" width="18" customWidth="1"/>
    <col min="3" max="4" width="9.28515625" bestFit="1" customWidth="1"/>
    <col min="5" max="5" width="11.42578125" bestFit="1" customWidth="1"/>
    <col min="6" max="6" width="10.28515625" bestFit="1" customWidth="1"/>
    <col min="7" max="7" width="9.28515625" bestFit="1" customWidth="1"/>
    <col min="9" max="9" width="9.28515625" bestFit="1" customWidth="1"/>
  </cols>
  <sheetData>
    <row r="1" spans="1:7" ht="20.25" thickBot="1" x14ac:dyDescent="0.35">
      <c r="A1" s="72" t="s">
        <v>169</v>
      </c>
    </row>
    <row r="2" spans="1:7" ht="15.75" thickTop="1" x14ac:dyDescent="0.25"/>
    <row r="3" spans="1:7" x14ac:dyDescent="0.25">
      <c r="A3" s="86" t="s">
        <v>170</v>
      </c>
      <c r="B3" s="62" t="s">
        <v>171</v>
      </c>
    </row>
    <row r="4" spans="1:7" x14ac:dyDescent="0.25">
      <c r="A4" s="87" t="s">
        <v>172</v>
      </c>
      <c r="B4" s="88">
        <v>5.3</v>
      </c>
      <c r="C4" t="s">
        <v>178</v>
      </c>
    </row>
    <row r="5" spans="1:7" x14ac:dyDescent="0.25">
      <c r="A5" s="87" t="s">
        <v>173</v>
      </c>
      <c r="B5" s="88">
        <v>6.8</v>
      </c>
      <c r="C5" t="s">
        <v>183</v>
      </c>
    </row>
    <row r="6" spans="1:7" x14ac:dyDescent="0.25">
      <c r="A6" s="87" t="s">
        <v>174</v>
      </c>
      <c r="B6" s="88">
        <v>4.9000000000000004</v>
      </c>
      <c r="C6" t="s">
        <v>180</v>
      </c>
    </row>
    <row r="7" spans="1:7" x14ac:dyDescent="0.25">
      <c r="A7" s="87" t="s">
        <v>175</v>
      </c>
      <c r="B7" s="88">
        <v>8.4</v>
      </c>
      <c r="C7" t="s">
        <v>181</v>
      </c>
    </row>
    <row r="8" spans="1:7" x14ac:dyDescent="0.25">
      <c r="A8" s="87" t="s">
        <v>176</v>
      </c>
      <c r="B8" s="88">
        <v>11.8</v>
      </c>
      <c r="C8" t="s">
        <v>182</v>
      </c>
    </row>
    <row r="10" spans="1:7" x14ac:dyDescent="0.25">
      <c r="B10" t="s">
        <v>178</v>
      </c>
      <c r="C10" t="s">
        <v>179</v>
      </c>
      <c r="D10" t="s">
        <v>180</v>
      </c>
      <c r="E10" t="s">
        <v>181</v>
      </c>
      <c r="F10" t="s">
        <v>182</v>
      </c>
    </row>
    <row r="11" spans="1:7" x14ac:dyDescent="0.25">
      <c r="A11" s="82" t="s">
        <v>128</v>
      </c>
      <c r="B11" s="89">
        <v>50000</v>
      </c>
      <c r="C11" s="89">
        <v>0</v>
      </c>
      <c r="D11" s="89">
        <v>0</v>
      </c>
      <c r="E11" s="89">
        <v>175000</v>
      </c>
      <c r="F11" s="89">
        <v>25000</v>
      </c>
      <c r="G11" t="s">
        <v>131</v>
      </c>
    </row>
    <row r="12" spans="1:7" x14ac:dyDescent="0.25">
      <c r="A12" s="82"/>
      <c r="B12" s="45">
        <v>5.2999999999999999E-2</v>
      </c>
      <c r="C12" s="45">
        <v>6.8000000000000005E-2</v>
      </c>
      <c r="D12" s="45">
        <v>4.9000000000000002E-2</v>
      </c>
      <c r="E12" s="45">
        <v>8.4000000000000005E-2</v>
      </c>
      <c r="F12" s="45">
        <v>0.11799999999999999</v>
      </c>
    </row>
    <row r="13" spans="1:7" x14ac:dyDescent="0.25">
      <c r="A13" s="82"/>
    </row>
    <row r="14" spans="1:7" x14ac:dyDescent="0.25">
      <c r="A14" s="82" t="s">
        <v>177</v>
      </c>
    </row>
    <row r="15" spans="1:7" x14ac:dyDescent="0.25">
      <c r="A15" s="82" t="s">
        <v>187</v>
      </c>
      <c r="B15" s="84">
        <f>SUMPRODUCT(B11:F11,B12:F12)</f>
        <v>20300</v>
      </c>
      <c r="C15" t="str">
        <f ca="1">_xlfn.FORMULATEXT(B15)</f>
        <v>=SUMPRODUCT(B11:F11,B12:F12)</v>
      </c>
    </row>
    <row r="16" spans="1:7" x14ac:dyDescent="0.25">
      <c r="A16" s="82"/>
    </row>
    <row r="17" spans="1:9" x14ac:dyDescent="0.25">
      <c r="A17" s="82"/>
    </row>
    <row r="18" spans="1:9" x14ac:dyDescent="0.25">
      <c r="A18" s="82"/>
    </row>
    <row r="19" spans="1:9" x14ac:dyDescent="0.25">
      <c r="A19" s="82"/>
    </row>
    <row r="20" spans="1:9" ht="33.75" customHeight="1" x14ac:dyDescent="0.25">
      <c r="A20" s="91" t="s">
        <v>150</v>
      </c>
      <c r="B20" s="46"/>
      <c r="C20" s="46"/>
      <c r="D20" s="46"/>
      <c r="E20" s="46"/>
      <c r="F20" s="46"/>
      <c r="G20" s="46" t="s">
        <v>135</v>
      </c>
      <c r="H20" s="46" t="s">
        <v>136</v>
      </c>
      <c r="I20" s="46" t="s">
        <v>137</v>
      </c>
    </row>
    <row r="21" spans="1:9" x14ac:dyDescent="0.25">
      <c r="A21" s="90" t="s">
        <v>0</v>
      </c>
      <c r="B21" s="80">
        <v>1</v>
      </c>
      <c r="C21" s="80">
        <v>1</v>
      </c>
      <c r="D21" s="80">
        <v>1</v>
      </c>
      <c r="E21" s="80">
        <v>1</v>
      </c>
      <c r="F21" s="80">
        <v>1</v>
      </c>
      <c r="G21" s="80">
        <f>SUMPRODUCT($B$11:$F$11,B21:F21)</f>
        <v>250000</v>
      </c>
      <c r="H21" s="80" t="s">
        <v>139</v>
      </c>
      <c r="I21" s="80">
        <v>250000</v>
      </c>
    </row>
    <row r="22" spans="1:9" x14ac:dyDescent="0.25">
      <c r="A22" s="90" t="s">
        <v>184</v>
      </c>
      <c r="B22" s="80">
        <v>1</v>
      </c>
      <c r="C22" s="80"/>
      <c r="D22" s="80"/>
      <c r="E22" s="80"/>
      <c r="F22" s="80"/>
      <c r="G22" s="80">
        <f t="shared" ref="G22:G24" si="0">SUMPRODUCT($B$11:$F$11,B22:F22)</f>
        <v>50000</v>
      </c>
      <c r="H22" s="80" t="s">
        <v>144</v>
      </c>
      <c r="I22" s="80">
        <f>20%*I21</f>
        <v>50000</v>
      </c>
    </row>
    <row r="23" spans="1:9" x14ac:dyDescent="0.25">
      <c r="A23" s="46" t="s">
        <v>185</v>
      </c>
      <c r="B23" s="80"/>
      <c r="C23" s="80">
        <v>1</v>
      </c>
      <c r="D23" s="80">
        <v>1</v>
      </c>
      <c r="E23" s="80">
        <v>1</v>
      </c>
      <c r="F23" s="80"/>
      <c r="G23" s="80">
        <f t="shared" si="0"/>
        <v>175000</v>
      </c>
      <c r="H23" s="80" t="s">
        <v>144</v>
      </c>
      <c r="I23" s="80">
        <f>40% *I21</f>
        <v>100000</v>
      </c>
    </row>
    <row r="24" spans="1:9" x14ac:dyDescent="0.25">
      <c r="A24" s="46" t="s">
        <v>186</v>
      </c>
      <c r="B24" s="92">
        <v>-0.5</v>
      </c>
      <c r="C24" s="80"/>
      <c r="D24" s="80"/>
      <c r="E24" s="80"/>
      <c r="F24" s="80">
        <v>1</v>
      </c>
      <c r="G24" s="80">
        <f t="shared" si="0"/>
        <v>0</v>
      </c>
      <c r="H24" s="80" t="s">
        <v>139</v>
      </c>
      <c r="I24" s="80">
        <v>0</v>
      </c>
    </row>
    <row r="29" spans="1:9" x14ac:dyDescent="0.25">
      <c r="B29" t="s">
        <v>188</v>
      </c>
    </row>
    <row r="30" spans="1:9" x14ac:dyDescent="0.25">
      <c r="B30" t="s">
        <v>189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D14B-BB63-4B0F-A400-EDD45B01030D}">
  <dimension ref="A1:S28"/>
  <sheetViews>
    <sheetView topLeftCell="R1" workbookViewId="0">
      <selection activeCell="R30" sqref="R30"/>
    </sheetView>
  </sheetViews>
  <sheetFormatPr defaultRowHeight="15" x14ac:dyDescent="0.25"/>
  <cols>
    <col min="1" max="1" width="23.85546875" bestFit="1" customWidth="1"/>
    <col min="2" max="2" width="12.7109375" customWidth="1"/>
    <col min="3" max="3" width="14.140625" customWidth="1"/>
    <col min="4" max="4" width="11.7109375" customWidth="1"/>
  </cols>
  <sheetData>
    <row r="1" spans="1:17" ht="24.75" thickBot="1" x14ac:dyDescent="0.45">
      <c r="A1" s="94" t="s">
        <v>190</v>
      </c>
    </row>
    <row r="2" spans="1:17" ht="15.75" thickTop="1" x14ac:dyDescent="0.25">
      <c r="M2" s="93"/>
    </row>
    <row r="3" spans="1:17" x14ac:dyDescent="0.25">
      <c r="A3" s="148" t="s">
        <v>193</v>
      </c>
      <c r="B3" s="148"/>
      <c r="C3" s="148"/>
      <c r="D3" s="148"/>
      <c r="E3" s="148"/>
    </row>
    <row r="4" spans="1:17" ht="45" customHeight="1" x14ac:dyDescent="0.25">
      <c r="A4" s="96" t="s">
        <v>191</v>
      </c>
      <c r="B4" s="97" t="s">
        <v>194</v>
      </c>
      <c r="C4" s="97" t="s">
        <v>195</v>
      </c>
      <c r="D4" s="97" t="s">
        <v>196</v>
      </c>
      <c r="E4" s="97" t="s">
        <v>192</v>
      </c>
      <c r="F4" s="95"/>
    </row>
    <row r="5" spans="1:17" x14ac:dyDescent="0.25">
      <c r="A5" s="22" t="s">
        <v>197</v>
      </c>
      <c r="B5" s="22">
        <v>5</v>
      </c>
      <c r="C5" s="22">
        <v>8</v>
      </c>
      <c r="D5" s="22">
        <v>6</v>
      </c>
      <c r="E5" s="22">
        <v>700</v>
      </c>
    </row>
    <row r="6" spans="1:17" x14ac:dyDescent="0.25">
      <c r="A6" s="22" t="s">
        <v>198</v>
      </c>
      <c r="B6" s="22">
        <v>0</v>
      </c>
      <c r="C6" s="22">
        <v>4</v>
      </c>
      <c r="D6" s="22">
        <v>12</v>
      </c>
      <c r="E6" s="22">
        <v>500</v>
      </c>
    </row>
    <row r="7" spans="1:17" x14ac:dyDescent="0.25">
      <c r="A7" s="22" t="s">
        <v>199</v>
      </c>
      <c r="B7" s="22">
        <v>4</v>
      </c>
      <c r="C7" s="22">
        <v>0</v>
      </c>
      <c r="D7" s="22">
        <v>7</v>
      </c>
      <c r="E7" s="22">
        <v>100</v>
      </c>
    </row>
    <row r="8" spans="1:17" x14ac:dyDescent="0.25">
      <c r="A8" s="22" t="s">
        <v>201</v>
      </c>
      <c r="B8" s="22">
        <v>7</v>
      </c>
      <c r="C8" s="22">
        <v>2</v>
      </c>
      <c r="D8" s="22">
        <v>5</v>
      </c>
      <c r="E8" s="22">
        <v>800</v>
      </c>
    </row>
    <row r="9" spans="1:17" x14ac:dyDescent="0.25">
      <c r="A9" s="22" t="s">
        <v>200</v>
      </c>
      <c r="B9" s="22">
        <v>12</v>
      </c>
      <c r="C9" s="22">
        <v>7</v>
      </c>
      <c r="D9" s="22">
        <v>0</v>
      </c>
      <c r="E9" s="22">
        <v>400</v>
      </c>
    </row>
    <row r="13" spans="1:17" x14ac:dyDescent="0.25">
      <c r="A13" s="3" t="s">
        <v>128</v>
      </c>
      <c r="B13" s="5" t="s">
        <v>204</v>
      </c>
      <c r="C13" s="5" t="s">
        <v>205</v>
      </c>
      <c r="D13" s="5" t="s">
        <v>206</v>
      </c>
      <c r="E13" s="5" t="s">
        <v>207</v>
      </c>
      <c r="F13" s="5" t="s">
        <v>208</v>
      </c>
      <c r="G13" s="5" t="s">
        <v>209</v>
      </c>
      <c r="H13" s="5" t="s">
        <v>210</v>
      </c>
      <c r="I13" s="5" t="s">
        <v>211</v>
      </c>
      <c r="J13" s="5" t="s">
        <v>212</v>
      </c>
      <c r="K13" s="5" t="s">
        <v>213</v>
      </c>
      <c r="L13" s="5" t="s">
        <v>214</v>
      </c>
      <c r="M13" s="5" t="s">
        <v>215</v>
      </c>
      <c r="N13" s="5" t="s">
        <v>216</v>
      </c>
      <c r="O13" s="5" t="s">
        <v>217</v>
      </c>
      <c r="P13" s="5" t="s">
        <v>218</v>
      </c>
    </row>
    <row r="14" spans="1:17" x14ac:dyDescent="0.25">
      <c r="B14" s="79">
        <v>400</v>
      </c>
      <c r="C14" s="79">
        <v>0</v>
      </c>
      <c r="D14" s="79">
        <v>300</v>
      </c>
      <c r="E14" s="79">
        <v>500</v>
      </c>
      <c r="F14" s="79">
        <v>0</v>
      </c>
      <c r="G14" s="79">
        <v>0</v>
      </c>
      <c r="H14" s="79">
        <v>0</v>
      </c>
      <c r="I14" s="79">
        <v>100</v>
      </c>
      <c r="J14" s="79">
        <v>0</v>
      </c>
      <c r="K14" s="79">
        <v>0</v>
      </c>
      <c r="L14" s="79">
        <v>800</v>
      </c>
      <c r="M14" s="79">
        <v>0</v>
      </c>
      <c r="N14" s="79">
        <v>0</v>
      </c>
      <c r="O14" s="79">
        <v>0</v>
      </c>
      <c r="P14" s="79">
        <v>400</v>
      </c>
      <c r="Q14" t="s">
        <v>219</v>
      </c>
    </row>
    <row r="15" spans="1:17" x14ac:dyDescent="0.25">
      <c r="B15" s="4">
        <v>5</v>
      </c>
      <c r="C15" s="4">
        <v>8</v>
      </c>
      <c r="D15" s="4">
        <v>6</v>
      </c>
      <c r="E15" s="4">
        <v>0</v>
      </c>
      <c r="F15" s="4">
        <v>4</v>
      </c>
      <c r="G15" s="4">
        <v>12</v>
      </c>
      <c r="H15" s="4">
        <v>4</v>
      </c>
      <c r="I15" s="4">
        <v>0</v>
      </c>
      <c r="J15" s="4">
        <v>7</v>
      </c>
      <c r="K15" s="4">
        <v>7</v>
      </c>
      <c r="L15" s="4">
        <v>2</v>
      </c>
      <c r="M15" s="4">
        <v>5</v>
      </c>
      <c r="N15" s="4">
        <v>12</v>
      </c>
      <c r="O15" s="4">
        <v>7</v>
      </c>
      <c r="P15" s="4">
        <v>0</v>
      </c>
      <c r="Q15" t="s">
        <v>220</v>
      </c>
    </row>
    <row r="16" spans="1:17" x14ac:dyDescent="0.25">
      <c r="A16" s="3" t="s">
        <v>202</v>
      </c>
    </row>
    <row r="17" spans="1:19" x14ac:dyDescent="0.25">
      <c r="A17" s="3" t="s">
        <v>203</v>
      </c>
      <c r="B17">
        <f>SUMPRODUCT(B14:P14,B15:P15)</f>
        <v>5400</v>
      </c>
    </row>
    <row r="19" spans="1:19" x14ac:dyDescent="0.25">
      <c r="Q19" t="str">
        <f ca="1">_xlfn.FORMULATEXT(Q21)</f>
        <v>=SUMPRODUCT($B$14:$P$14,B21:P21)</v>
      </c>
    </row>
    <row r="20" spans="1:19" x14ac:dyDescent="0.25">
      <c r="A20" s="20" t="s">
        <v>150</v>
      </c>
      <c r="B20" s="22"/>
      <c r="C20" s="22"/>
      <c r="D20" s="22"/>
      <c r="E20" s="22"/>
      <c r="F20" s="22"/>
      <c r="G20" s="22"/>
      <c r="H20" s="22"/>
      <c r="I20" s="22"/>
      <c r="J20" s="22"/>
      <c r="K20" s="22"/>
      <c r="L20" s="22"/>
      <c r="M20" s="22"/>
      <c r="N20" s="22"/>
      <c r="O20" s="22"/>
      <c r="P20" s="22"/>
      <c r="Q20" s="20" t="s">
        <v>135</v>
      </c>
      <c r="R20" s="20" t="s">
        <v>136</v>
      </c>
      <c r="S20" s="20" t="s">
        <v>137</v>
      </c>
    </row>
    <row r="21" spans="1:19" x14ac:dyDescent="0.25">
      <c r="A21" s="20" t="s">
        <v>221</v>
      </c>
      <c r="B21" s="22">
        <v>1</v>
      </c>
      <c r="C21" s="22"/>
      <c r="D21" s="22"/>
      <c r="E21" s="22">
        <v>1</v>
      </c>
      <c r="F21" s="22"/>
      <c r="G21" s="22"/>
      <c r="H21" s="22">
        <v>1</v>
      </c>
      <c r="I21" s="22"/>
      <c r="J21" s="22"/>
      <c r="K21" s="22">
        <v>1</v>
      </c>
      <c r="L21" s="22"/>
      <c r="M21" s="22"/>
      <c r="N21" s="22">
        <v>1</v>
      </c>
      <c r="O21" s="22"/>
      <c r="P21" s="22"/>
      <c r="Q21" s="22">
        <f>SUMPRODUCT($B$14:$P$14,B21:P21)</f>
        <v>900</v>
      </c>
      <c r="R21" s="22" t="s">
        <v>139</v>
      </c>
      <c r="S21" s="22">
        <v>900</v>
      </c>
    </row>
    <row r="22" spans="1:19" x14ac:dyDescent="0.25">
      <c r="A22" s="20" t="s">
        <v>222</v>
      </c>
      <c r="B22" s="22"/>
      <c r="C22" s="22">
        <v>1</v>
      </c>
      <c r="D22" s="22"/>
      <c r="E22" s="22"/>
      <c r="F22" s="22">
        <v>1</v>
      </c>
      <c r="G22" s="22"/>
      <c r="H22" s="22"/>
      <c r="I22" s="22">
        <v>1</v>
      </c>
      <c r="J22" s="22"/>
      <c r="K22" s="22"/>
      <c r="L22" s="22">
        <v>1</v>
      </c>
      <c r="M22" s="22"/>
      <c r="N22" s="22"/>
      <c r="O22" s="22">
        <v>1</v>
      </c>
      <c r="P22" s="22"/>
      <c r="Q22" s="22">
        <f t="shared" ref="Q22:Q28" si="0">SUMPRODUCT($B$14:$P$14,B22:P22)</f>
        <v>900</v>
      </c>
      <c r="R22" s="22" t="s">
        <v>139</v>
      </c>
      <c r="S22" s="22">
        <v>900</v>
      </c>
    </row>
    <row r="23" spans="1:19" x14ac:dyDescent="0.25">
      <c r="A23" s="20" t="s">
        <v>223</v>
      </c>
      <c r="B23" s="22"/>
      <c r="C23" s="22"/>
      <c r="D23" s="22">
        <v>1</v>
      </c>
      <c r="E23" s="22"/>
      <c r="F23" s="22"/>
      <c r="G23" s="22">
        <v>1</v>
      </c>
      <c r="H23" s="22"/>
      <c r="I23" s="22"/>
      <c r="J23" s="22">
        <v>1</v>
      </c>
      <c r="K23" s="22"/>
      <c r="L23" s="22"/>
      <c r="M23" s="22">
        <v>1</v>
      </c>
      <c r="N23" s="22"/>
      <c r="O23" s="22"/>
      <c r="P23" s="22">
        <v>1</v>
      </c>
      <c r="Q23" s="22">
        <f t="shared" si="0"/>
        <v>700</v>
      </c>
      <c r="R23" s="22" t="s">
        <v>139</v>
      </c>
      <c r="S23" s="22">
        <v>900</v>
      </c>
    </row>
    <row r="24" spans="1:19" x14ac:dyDescent="0.25">
      <c r="A24" s="20" t="s">
        <v>224</v>
      </c>
      <c r="B24" s="22">
        <v>1</v>
      </c>
      <c r="C24" s="22">
        <v>1</v>
      </c>
      <c r="D24" s="22">
        <v>1</v>
      </c>
      <c r="E24" s="22"/>
      <c r="F24" s="22"/>
      <c r="G24" s="22"/>
      <c r="H24" s="22"/>
      <c r="I24" s="22"/>
      <c r="J24" s="22"/>
      <c r="K24" s="22"/>
      <c r="L24" s="22"/>
      <c r="M24" s="22"/>
      <c r="N24" s="22"/>
      <c r="O24" s="22"/>
      <c r="P24" s="22"/>
      <c r="Q24" s="22">
        <f t="shared" si="0"/>
        <v>700</v>
      </c>
      <c r="R24" s="99" t="s">
        <v>229</v>
      </c>
      <c r="S24" s="22">
        <v>700</v>
      </c>
    </row>
    <row r="25" spans="1:19" x14ac:dyDescent="0.25">
      <c r="A25" s="20" t="s">
        <v>225</v>
      </c>
      <c r="B25" s="22"/>
      <c r="C25" s="22"/>
      <c r="D25" s="22"/>
      <c r="E25" s="22">
        <v>1</v>
      </c>
      <c r="F25" s="22">
        <v>1</v>
      </c>
      <c r="G25" s="22">
        <v>1</v>
      </c>
      <c r="H25" s="22"/>
      <c r="I25" s="22"/>
      <c r="J25" s="22"/>
      <c r="K25" s="22"/>
      <c r="L25" s="22"/>
      <c r="M25" s="22"/>
      <c r="N25" s="22"/>
      <c r="O25" s="22"/>
      <c r="P25" s="22"/>
      <c r="Q25" s="22">
        <f t="shared" si="0"/>
        <v>500</v>
      </c>
      <c r="R25" s="99" t="s">
        <v>229</v>
      </c>
      <c r="S25" s="22">
        <v>500</v>
      </c>
    </row>
    <row r="26" spans="1:19" x14ac:dyDescent="0.25">
      <c r="A26" s="20" t="s">
        <v>226</v>
      </c>
      <c r="B26" s="22"/>
      <c r="C26" s="22"/>
      <c r="D26" s="22"/>
      <c r="E26" s="22"/>
      <c r="F26" s="22"/>
      <c r="G26" s="22"/>
      <c r="H26" s="22">
        <v>1</v>
      </c>
      <c r="I26" s="22">
        <v>1</v>
      </c>
      <c r="J26" s="22">
        <v>1</v>
      </c>
      <c r="K26" s="22"/>
      <c r="L26" s="22"/>
      <c r="M26" s="22"/>
      <c r="N26" s="22"/>
      <c r="O26" s="22"/>
      <c r="P26" s="22"/>
      <c r="Q26" s="22">
        <f t="shared" si="0"/>
        <v>100</v>
      </c>
      <c r="R26" s="99" t="s">
        <v>229</v>
      </c>
      <c r="S26" s="22">
        <v>100</v>
      </c>
    </row>
    <row r="27" spans="1:19" x14ac:dyDescent="0.25">
      <c r="A27" s="20" t="s">
        <v>227</v>
      </c>
      <c r="B27" s="22"/>
      <c r="C27" s="22"/>
      <c r="D27" s="22"/>
      <c r="E27" s="22"/>
      <c r="F27" s="22"/>
      <c r="G27" s="22"/>
      <c r="H27" s="22"/>
      <c r="I27" s="22"/>
      <c r="J27" s="22"/>
      <c r="K27" s="22">
        <v>1</v>
      </c>
      <c r="L27" s="22">
        <v>1</v>
      </c>
      <c r="M27" s="22">
        <v>1</v>
      </c>
      <c r="N27" s="22"/>
      <c r="O27" s="22"/>
      <c r="P27" s="22"/>
      <c r="Q27" s="22">
        <f t="shared" si="0"/>
        <v>800</v>
      </c>
      <c r="R27" s="99" t="s">
        <v>229</v>
      </c>
      <c r="S27" s="22">
        <v>800</v>
      </c>
    </row>
    <row r="28" spans="1:19" x14ac:dyDescent="0.25">
      <c r="A28" s="20" t="s">
        <v>228</v>
      </c>
      <c r="B28" s="22"/>
      <c r="C28" s="22"/>
      <c r="D28" s="22"/>
      <c r="E28" s="22"/>
      <c r="F28" s="22"/>
      <c r="G28" s="22"/>
      <c r="H28" s="22"/>
      <c r="I28" s="22"/>
      <c r="J28" s="22"/>
      <c r="K28" s="22"/>
      <c r="L28" s="22"/>
      <c r="M28" s="22"/>
      <c r="N28" s="22">
        <v>1</v>
      </c>
      <c r="O28" s="22">
        <v>1</v>
      </c>
      <c r="P28" s="22">
        <v>1</v>
      </c>
      <c r="Q28" s="22">
        <f t="shared" si="0"/>
        <v>400</v>
      </c>
      <c r="R28" s="99" t="s">
        <v>229</v>
      </c>
      <c r="S28" s="22">
        <v>400</v>
      </c>
    </row>
  </sheetData>
  <mergeCells count="1">
    <mergeCell ref="A3:E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0EF74-A027-42B2-80C2-F2EBC234AE8A}">
  <dimension ref="A1:H20"/>
  <sheetViews>
    <sheetView workbookViewId="0">
      <selection activeCell="K14" sqref="K14"/>
    </sheetView>
  </sheetViews>
  <sheetFormatPr defaultRowHeight="15" x14ac:dyDescent="0.25"/>
  <cols>
    <col min="1" max="1" width="17.5703125" customWidth="1"/>
    <col min="2" max="2" width="12.85546875" bestFit="1" customWidth="1"/>
  </cols>
  <sheetData>
    <row r="1" spans="1:8" x14ac:dyDescent="0.25">
      <c r="A1" t="s">
        <v>230</v>
      </c>
      <c r="H1" t="s">
        <v>238</v>
      </c>
    </row>
    <row r="2" spans="1:8" x14ac:dyDescent="0.25">
      <c r="C2" s="146" t="s">
        <v>241</v>
      </c>
      <c r="D2" s="146"/>
      <c r="E2" s="146"/>
      <c r="H2" t="s">
        <v>239</v>
      </c>
    </row>
    <row r="3" spans="1:8" x14ac:dyDescent="0.25">
      <c r="A3" s="3" t="s">
        <v>231</v>
      </c>
      <c r="B3" s="20"/>
      <c r="C3" s="103" t="s">
        <v>235</v>
      </c>
      <c r="D3" s="103" t="s">
        <v>236</v>
      </c>
      <c r="E3" s="103" t="s">
        <v>237</v>
      </c>
      <c r="F3" s="104" t="s">
        <v>243</v>
      </c>
    </row>
    <row r="4" spans="1:8" x14ac:dyDescent="0.25">
      <c r="A4" s="149" t="s">
        <v>242</v>
      </c>
      <c r="B4" s="103" t="s">
        <v>232</v>
      </c>
      <c r="C4" s="106">
        <v>5</v>
      </c>
      <c r="D4" s="106">
        <v>4</v>
      </c>
      <c r="E4" s="106">
        <v>3</v>
      </c>
      <c r="F4" s="100">
        <v>100</v>
      </c>
    </row>
    <row r="5" spans="1:8" x14ac:dyDescent="0.25">
      <c r="A5" s="149"/>
      <c r="B5" s="103" t="s">
        <v>233</v>
      </c>
      <c r="C5" s="106">
        <v>8</v>
      </c>
      <c r="D5" s="106">
        <v>4</v>
      </c>
      <c r="E5" s="106">
        <v>3</v>
      </c>
      <c r="F5" s="100">
        <v>300</v>
      </c>
      <c r="H5" t="s">
        <v>240</v>
      </c>
    </row>
    <row r="6" spans="1:8" x14ac:dyDescent="0.25">
      <c r="A6" s="149"/>
      <c r="B6" s="103" t="s">
        <v>234</v>
      </c>
      <c r="C6" s="106">
        <v>9</v>
      </c>
      <c r="D6" s="106">
        <v>7</v>
      </c>
      <c r="E6" s="106">
        <v>5</v>
      </c>
      <c r="F6" s="100">
        <v>300</v>
      </c>
    </row>
    <row r="7" spans="1:8" x14ac:dyDescent="0.25">
      <c r="B7" s="3" t="s">
        <v>35</v>
      </c>
      <c r="C7" s="100">
        <v>300</v>
      </c>
      <c r="D7" s="100">
        <v>200</v>
      </c>
      <c r="E7" s="100">
        <v>200</v>
      </c>
    </row>
    <row r="9" spans="1:8" x14ac:dyDescent="0.25">
      <c r="C9" s="146" t="s">
        <v>241</v>
      </c>
      <c r="D9" s="146"/>
      <c r="E9" s="146"/>
    </row>
    <row r="10" spans="1:8" x14ac:dyDescent="0.25">
      <c r="A10" s="3" t="s">
        <v>231</v>
      </c>
      <c r="B10" s="20"/>
      <c r="C10" s="103" t="s">
        <v>235</v>
      </c>
      <c r="D10" s="103" t="s">
        <v>236</v>
      </c>
      <c r="E10" s="103" t="s">
        <v>237</v>
      </c>
      <c r="F10" s="104" t="s">
        <v>243</v>
      </c>
    </row>
    <row r="11" spans="1:8" x14ac:dyDescent="0.25">
      <c r="A11" s="149" t="s">
        <v>242</v>
      </c>
      <c r="B11" s="103" t="s">
        <v>232</v>
      </c>
      <c r="C11" s="101">
        <v>100</v>
      </c>
      <c r="D11" s="101">
        <v>0</v>
      </c>
      <c r="E11" s="101">
        <v>0</v>
      </c>
      <c r="F11" s="102">
        <f>SUM(C11:E11)</f>
        <v>100</v>
      </c>
      <c r="G11" t="str">
        <f ca="1">_xlfn.FORMULATEXT(F11)</f>
        <v>=SUM(C11:E11)</v>
      </c>
    </row>
    <row r="12" spans="1:8" x14ac:dyDescent="0.25">
      <c r="A12" s="149"/>
      <c r="B12" s="103" t="s">
        <v>233</v>
      </c>
      <c r="C12" s="101">
        <v>0</v>
      </c>
      <c r="D12" s="101">
        <v>200</v>
      </c>
      <c r="E12" s="101">
        <v>100</v>
      </c>
      <c r="F12" s="102">
        <f t="shared" ref="F12:F13" si="0">SUM(C12:E12)</f>
        <v>300</v>
      </c>
    </row>
    <row r="13" spans="1:8" x14ac:dyDescent="0.25">
      <c r="A13" s="149"/>
      <c r="B13" s="103" t="s">
        <v>234</v>
      </c>
      <c r="C13" s="101">
        <v>200</v>
      </c>
      <c r="D13" s="101">
        <v>0</v>
      </c>
      <c r="E13" s="101">
        <v>100</v>
      </c>
      <c r="F13" s="102">
        <f t="shared" si="0"/>
        <v>300</v>
      </c>
    </row>
    <row r="14" spans="1:8" x14ac:dyDescent="0.25">
      <c r="B14" s="3" t="s">
        <v>35</v>
      </c>
      <c r="C14" s="102">
        <f>SUM(C11:C13)</f>
        <v>300</v>
      </c>
      <c r="D14" s="102">
        <f t="shared" ref="D14:E14" si="1">SUM(D11:D13)</f>
        <v>200</v>
      </c>
      <c r="E14" s="102">
        <f t="shared" si="1"/>
        <v>200</v>
      </c>
    </row>
    <row r="15" spans="1:8" x14ac:dyDescent="0.25">
      <c r="C15" t="str">
        <f ca="1">_xlfn.FORMULATEXT(C14)</f>
        <v>=SUM(C11:C13)</v>
      </c>
    </row>
    <row r="17" spans="1:3" x14ac:dyDescent="0.25">
      <c r="A17" s="3" t="s">
        <v>244</v>
      </c>
    </row>
    <row r="18" spans="1:3" x14ac:dyDescent="0.25">
      <c r="A18" s="3" t="s">
        <v>27</v>
      </c>
      <c r="B18" s="105">
        <f>SUMPRODUCT(C4:E6,C11:E13)</f>
        <v>3900</v>
      </c>
      <c r="C18" t="str">
        <f ca="1">_xlfn.FORMULATEXT(B18)</f>
        <v>=SUMPRODUCT(C4:E6,C11:E13)</v>
      </c>
    </row>
    <row r="19" spans="1:3" x14ac:dyDescent="0.25">
      <c r="A19" s="3" t="s">
        <v>167</v>
      </c>
      <c r="B19" t="s">
        <v>245</v>
      </c>
    </row>
    <row r="20" spans="1:3" x14ac:dyDescent="0.25">
      <c r="C20" s="1"/>
    </row>
  </sheetData>
  <mergeCells count="4">
    <mergeCell ref="C2:E2"/>
    <mergeCell ref="A4:A6"/>
    <mergeCell ref="C9:E9"/>
    <mergeCell ref="A11:A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D8F18-50F5-4C80-BF7B-5DAC2A2496A1}">
  <dimension ref="A1:H23"/>
  <sheetViews>
    <sheetView topLeftCell="A9" workbookViewId="0">
      <selection activeCell="M30" sqref="M30"/>
    </sheetView>
  </sheetViews>
  <sheetFormatPr defaultRowHeight="15" x14ac:dyDescent="0.25"/>
  <cols>
    <col min="1" max="1" width="18.140625" customWidth="1"/>
    <col min="2" max="2" width="12.5703125" customWidth="1"/>
    <col min="8" max="8" width="20.5703125" customWidth="1"/>
  </cols>
  <sheetData>
    <row r="1" spans="1:8" ht="20.25" thickBot="1" x14ac:dyDescent="0.35">
      <c r="A1" s="72" t="s">
        <v>253</v>
      </c>
    </row>
    <row r="2" spans="1:8" ht="15.75" thickTop="1" x14ac:dyDescent="0.25"/>
    <row r="4" spans="1:8" x14ac:dyDescent="0.25">
      <c r="A4" t="s">
        <v>254</v>
      </c>
      <c r="B4" t="s">
        <v>255</v>
      </c>
    </row>
    <row r="5" spans="1:8" x14ac:dyDescent="0.25">
      <c r="A5" s="107"/>
      <c r="B5" s="107" t="s">
        <v>247</v>
      </c>
      <c r="C5" s="107" t="s">
        <v>248</v>
      </c>
      <c r="D5" s="107" t="s">
        <v>249</v>
      </c>
      <c r="E5" s="107" t="s">
        <v>256</v>
      </c>
    </row>
    <row r="6" spans="1:8" x14ac:dyDescent="0.25">
      <c r="A6" s="107" t="s">
        <v>250</v>
      </c>
      <c r="B6" s="107">
        <v>800</v>
      </c>
      <c r="C6" s="107">
        <v>1100</v>
      </c>
      <c r="D6" s="107">
        <v>1200</v>
      </c>
      <c r="E6" s="107">
        <v>1000</v>
      </c>
    </row>
    <row r="7" spans="1:8" x14ac:dyDescent="0.25">
      <c r="A7" s="107" t="s">
        <v>251</v>
      </c>
      <c r="B7" s="107">
        <v>500</v>
      </c>
      <c r="C7" s="107">
        <v>1600</v>
      </c>
      <c r="D7" s="107">
        <v>1300</v>
      </c>
      <c r="E7" s="107">
        <v>800</v>
      </c>
    </row>
    <row r="8" spans="1:8" x14ac:dyDescent="0.25">
      <c r="A8" s="107" t="s">
        <v>252</v>
      </c>
      <c r="B8" s="107">
        <v>500</v>
      </c>
      <c r="C8" s="107">
        <v>1000</v>
      </c>
      <c r="D8" s="107">
        <v>2300</v>
      </c>
      <c r="E8" s="107">
        <v>1500</v>
      </c>
    </row>
    <row r="11" spans="1:8" x14ac:dyDescent="0.25">
      <c r="A11" s="109" t="s">
        <v>257</v>
      </c>
      <c r="B11" t="s">
        <v>255</v>
      </c>
      <c r="F11" t="str">
        <f ca="1">_xlfn.FORMULATEXT(F13)</f>
        <v>=SUM(B13:E13)</v>
      </c>
    </row>
    <row r="12" spans="1:8" x14ac:dyDescent="0.25">
      <c r="A12" s="107"/>
      <c r="B12" s="107" t="s">
        <v>247</v>
      </c>
      <c r="C12" s="107" t="s">
        <v>248</v>
      </c>
      <c r="D12" s="107" t="s">
        <v>249</v>
      </c>
      <c r="E12" s="107" t="s">
        <v>256</v>
      </c>
      <c r="F12" s="108" t="s">
        <v>258</v>
      </c>
      <c r="G12" s="108" t="s">
        <v>136</v>
      </c>
      <c r="H12" s="110" t="s">
        <v>259</v>
      </c>
    </row>
    <row r="13" spans="1:8" x14ac:dyDescent="0.25">
      <c r="A13" s="107" t="s">
        <v>250</v>
      </c>
      <c r="B13" s="111">
        <v>0</v>
      </c>
      <c r="C13" s="111">
        <v>1</v>
      </c>
      <c r="D13" s="111">
        <v>0</v>
      </c>
      <c r="E13" s="111">
        <v>0</v>
      </c>
      <c r="F13" s="112">
        <f>SUM(B13:E13)</f>
        <v>1</v>
      </c>
      <c r="G13" s="113" t="s">
        <v>229</v>
      </c>
      <c r="H13" s="4">
        <v>1</v>
      </c>
    </row>
    <row r="14" spans="1:8" x14ac:dyDescent="0.25">
      <c r="A14" s="107" t="s">
        <v>251</v>
      </c>
      <c r="B14" s="111">
        <v>0</v>
      </c>
      <c r="C14" s="111">
        <v>0</v>
      </c>
      <c r="D14" s="111">
        <v>0</v>
      </c>
      <c r="E14" s="111">
        <v>1</v>
      </c>
      <c r="F14" s="112">
        <f t="shared" ref="F14:F15" si="0">SUM(B14:E14)</f>
        <v>1</v>
      </c>
      <c r="G14" s="113" t="s">
        <v>229</v>
      </c>
      <c r="H14" s="4">
        <v>1</v>
      </c>
    </row>
    <row r="15" spans="1:8" x14ac:dyDescent="0.25">
      <c r="A15" s="107" t="s">
        <v>252</v>
      </c>
      <c r="B15" s="111">
        <v>1</v>
      </c>
      <c r="C15" s="111">
        <v>0</v>
      </c>
      <c r="D15" s="111">
        <v>0</v>
      </c>
      <c r="E15" s="111">
        <v>0</v>
      </c>
      <c r="F15" s="112">
        <f t="shared" si="0"/>
        <v>1</v>
      </c>
      <c r="G15" s="113" t="s">
        <v>229</v>
      </c>
      <c r="H15" s="114">
        <v>1</v>
      </c>
    </row>
    <row r="16" spans="1:8" x14ac:dyDescent="0.25">
      <c r="A16" s="109" t="s">
        <v>159</v>
      </c>
      <c r="B16" s="112">
        <f>SUM(B13:B15)</f>
        <v>1</v>
      </c>
      <c r="C16" s="112">
        <f t="shared" ref="C16:E16" si="1">SUM(C13:C15)</f>
        <v>1</v>
      </c>
      <c r="D16" s="112">
        <f t="shared" si="1"/>
        <v>0</v>
      </c>
      <c r="E16" s="112">
        <f t="shared" si="1"/>
        <v>1</v>
      </c>
    </row>
    <row r="17" spans="1:5" x14ac:dyDescent="0.25">
      <c r="B17" s="4" t="s">
        <v>139</v>
      </c>
      <c r="C17" s="4" t="s">
        <v>139</v>
      </c>
      <c r="D17" s="4" t="s">
        <v>139</v>
      </c>
      <c r="E17" s="4" t="s">
        <v>139</v>
      </c>
    </row>
    <row r="18" spans="1:5" x14ac:dyDescent="0.25">
      <c r="B18" s="4">
        <v>1</v>
      </c>
      <c r="C18" s="4">
        <v>1</v>
      </c>
      <c r="D18" s="4">
        <v>1</v>
      </c>
      <c r="E18" s="4">
        <v>1</v>
      </c>
    </row>
    <row r="20" spans="1:5" x14ac:dyDescent="0.25">
      <c r="A20" t="s">
        <v>260</v>
      </c>
    </row>
    <row r="21" spans="1:5" x14ac:dyDescent="0.25">
      <c r="A21" t="s">
        <v>261</v>
      </c>
      <c r="B21" s="1">
        <f>SUMPRODUCT(B6:E8,B13:E15)</f>
        <v>2400</v>
      </c>
      <c r="C21" t="str">
        <f ca="1">_xlfn.FORMULATEXT(B21)</f>
        <v>=SUMPRODUCT(B6:E8,B13:E15)</v>
      </c>
    </row>
    <row r="23" spans="1:5" x14ac:dyDescent="0.25">
      <c r="A23" t="s">
        <v>262</v>
      </c>
      <c r="B23" t="s">
        <v>263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E4BE-E9A9-438B-B05B-30ECAA73A16E}">
  <dimension ref="A2:H24"/>
  <sheetViews>
    <sheetView topLeftCell="EK1" workbookViewId="0">
      <selection activeCell="E7" sqref="E7"/>
    </sheetView>
  </sheetViews>
  <sheetFormatPr defaultRowHeight="15" x14ac:dyDescent="0.25"/>
  <cols>
    <col min="1" max="1" width="13.85546875" customWidth="1"/>
    <col min="2" max="2" width="11.5703125" bestFit="1" customWidth="1"/>
  </cols>
  <sheetData>
    <row r="2" spans="1:8" x14ac:dyDescent="0.25">
      <c r="A2" t="s">
        <v>264</v>
      </c>
    </row>
    <row r="3" spans="1:8" x14ac:dyDescent="0.25">
      <c r="B3" t="s">
        <v>265</v>
      </c>
    </row>
    <row r="4" spans="1:8" x14ac:dyDescent="0.25">
      <c r="A4" s="20" t="s">
        <v>266</v>
      </c>
      <c r="B4" s="20" t="s">
        <v>271</v>
      </c>
      <c r="C4" s="20" t="s">
        <v>272</v>
      </c>
      <c r="D4" s="20" t="s">
        <v>273</v>
      </c>
      <c r="E4" s="20" t="s">
        <v>274</v>
      </c>
    </row>
    <row r="5" spans="1:8" x14ac:dyDescent="0.25">
      <c r="A5" s="40" t="s">
        <v>267</v>
      </c>
      <c r="B5" s="22">
        <v>1500</v>
      </c>
      <c r="C5" s="22">
        <v>1730</v>
      </c>
      <c r="D5" s="22">
        <v>1940</v>
      </c>
      <c r="E5" s="22">
        <v>2070</v>
      </c>
    </row>
    <row r="6" spans="1:8" x14ac:dyDescent="0.25">
      <c r="A6" s="40" t="s">
        <v>268</v>
      </c>
      <c r="B6" s="22">
        <v>460</v>
      </c>
      <c r="C6" s="22">
        <v>810</v>
      </c>
      <c r="D6" s="22">
        <v>1020</v>
      </c>
      <c r="E6" s="22">
        <v>1270</v>
      </c>
    </row>
    <row r="7" spans="1:8" x14ac:dyDescent="0.25">
      <c r="A7" s="40" t="s">
        <v>269</v>
      </c>
      <c r="B7" s="22">
        <v>1500</v>
      </c>
      <c r="C7" s="22">
        <v>1850</v>
      </c>
      <c r="D7" s="22">
        <v>2080</v>
      </c>
      <c r="E7" s="22" t="s">
        <v>275</v>
      </c>
    </row>
    <row r="8" spans="1:8" x14ac:dyDescent="0.25">
      <c r="A8" s="40" t="s">
        <v>270</v>
      </c>
      <c r="B8" s="22">
        <v>960</v>
      </c>
      <c r="C8" s="22">
        <v>610</v>
      </c>
      <c r="D8" s="22">
        <v>400</v>
      </c>
      <c r="E8" s="22">
        <v>330</v>
      </c>
    </row>
    <row r="10" spans="1:8" x14ac:dyDescent="0.25">
      <c r="A10" s="115" t="s">
        <v>276</v>
      </c>
    </row>
    <row r="11" spans="1:8" x14ac:dyDescent="0.25">
      <c r="B11" t="s">
        <v>265</v>
      </c>
    </row>
    <row r="12" spans="1:8" x14ac:dyDescent="0.25">
      <c r="A12" s="20" t="s">
        <v>266</v>
      </c>
      <c r="B12" s="20" t="s">
        <v>271</v>
      </c>
      <c r="C12" s="20" t="s">
        <v>272</v>
      </c>
      <c r="D12" s="20" t="s">
        <v>273</v>
      </c>
      <c r="E12" s="20" t="s">
        <v>274</v>
      </c>
      <c r="F12" s="117" t="s">
        <v>258</v>
      </c>
      <c r="G12" s="117" t="s">
        <v>136</v>
      </c>
    </row>
    <row r="13" spans="1:8" x14ac:dyDescent="0.25">
      <c r="A13" s="40" t="s">
        <v>267</v>
      </c>
      <c r="B13" s="116">
        <v>0</v>
      </c>
      <c r="C13" s="116">
        <v>0</v>
      </c>
      <c r="D13" s="116">
        <v>1</v>
      </c>
      <c r="E13" s="116">
        <v>0</v>
      </c>
      <c r="F13" s="4">
        <f>SUM(B13:E13)</f>
        <v>1</v>
      </c>
      <c r="G13" s="113" t="s">
        <v>229</v>
      </c>
      <c r="H13" s="4">
        <v>1</v>
      </c>
    </row>
    <row r="14" spans="1:8" x14ac:dyDescent="0.25">
      <c r="A14" s="40" t="s">
        <v>268</v>
      </c>
      <c r="B14" s="116">
        <v>0</v>
      </c>
      <c r="C14" s="116">
        <v>1</v>
      </c>
      <c r="D14" s="116">
        <v>0</v>
      </c>
      <c r="E14" s="116">
        <v>0</v>
      </c>
      <c r="F14" s="4">
        <f t="shared" ref="F14:F16" si="0">SUM(B14:E14)</f>
        <v>1</v>
      </c>
      <c r="G14" s="113" t="s">
        <v>229</v>
      </c>
      <c r="H14" s="4">
        <v>1</v>
      </c>
    </row>
    <row r="15" spans="1:8" x14ac:dyDescent="0.25">
      <c r="A15" s="40" t="s">
        <v>269</v>
      </c>
      <c r="B15" s="116">
        <v>1</v>
      </c>
      <c r="C15" s="116">
        <v>0</v>
      </c>
      <c r="D15" s="116">
        <v>0</v>
      </c>
      <c r="E15" s="116">
        <v>0</v>
      </c>
      <c r="F15" s="4">
        <f t="shared" si="0"/>
        <v>1</v>
      </c>
      <c r="G15" s="113" t="s">
        <v>229</v>
      </c>
      <c r="H15" s="4">
        <v>1</v>
      </c>
    </row>
    <row r="16" spans="1:8" x14ac:dyDescent="0.25">
      <c r="A16" s="40" t="s">
        <v>270</v>
      </c>
      <c r="B16" s="116">
        <v>0</v>
      </c>
      <c r="C16" s="116">
        <v>0</v>
      </c>
      <c r="D16" s="116">
        <v>0</v>
      </c>
      <c r="E16" s="116">
        <v>1</v>
      </c>
      <c r="F16" s="4">
        <f t="shared" si="0"/>
        <v>1</v>
      </c>
      <c r="G16" s="113" t="s">
        <v>229</v>
      </c>
      <c r="H16" s="4">
        <v>1</v>
      </c>
    </row>
    <row r="17" spans="1:5" x14ac:dyDescent="0.25">
      <c r="A17" s="118" t="s">
        <v>277</v>
      </c>
      <c r="B17" s="4">
        <f>SUM(B13:B16)</f>
        <v>1</v>
      </c>
      <c r="C17" s="4">
        <f t="shared" ref="C17:E17" si="1">SUM(C13:C16)</f>
        <v>1</v>
      </c>
      <c r="D17" s="4">
        <f t="shared" si="1"/>
        <v>1</v>
      </c>
      <c r="E17" s="4">
        <f t="shared" si="1"/>
        <v>1</v>
      </c>
    </row>
    <row r="18" spans="1:5" x14ac:dyDescent="0.25">
      <c r="B18" s="4" t="s">
        <v>139</v>
      </c>
      <c r="C18" s="4" t="s">
        <v>139</v>
      </c>
      <c r="D18" s="4" t="s">
        <v>139</v>
      </c>
      <c r="E18" s="4" t="s">
        <v>139</v>
      </c>
    </row>
    <row r="19" spans="1:5" x14ac:dyDescent="0.25">
      <c r="B19" s="4">
        <v>1</v>
      </c>
      <c r="C19" s="4">
        <v>1</v>
      </c>
      <c r="D19" s="4">
        <v>1</v>
      </c>
      <c r="E19" s="4">
        <v>1</v>
      </c>
    </row>
    <row r="23" spans="1:5" x14ac:dyDescent="0.25">
      <c r="A23" t="s">
        <v>278</v>
      </c>
    </row>
    <row r="24" spans="1:5" x14ac:dyDescent="0.25">
      <c r="A24" t="s">
        <v>264</v>
      </c>
      <c r="B24" s="84">
        <f>SUMPRODUCT(B13:E16,B5:E8)</f>
        <v>4580</v>
      </c>
      <c r="C24" t="str">
        <f ca="1">_xlfn.FORMULATEXT(B24)</f>
        <v>=SUMPRODUCT(B13:E16,B5:E8)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20222-0E91-4511-8D7E-2BA8BBF94FF3}">
  <dimension ref="A1:G27"/>
  <sheetViews>
    <sheetView workbookViewId="0">
      <selection activeCell="A28" sqref="A28"/>
    </sheetView>
  </sheetViews>
  <sheetFormatPr defaultRowHeight="15" x14ac:dyDescent="0.25"/>
  <cols>
    <col min="1" max="1" width="18.85546875" customWidth="1"/>
  </cols>
  <sheetData>
    <row r="1" spans="1:6" ht="20.25" thickBot="1" x14ac:dyDescent="0.35">
      <c r="A1" s="72" t="s">
        <v>279</v>
      </c>
    </row>
    <row r="2" spans="1:6" ht="15.75" thickTop="1" x14ac:dyDescent="0.25"/>
    <row r="3" spans="1:6" x14ac:dyDescent="0.25">
      <c r="A3" t="s">
        <v>128</v>
      </c>
      <c r="B3" t="s">
        <v>280</v>
      </c>
      <c r="C3" t="s">
        <v>281</v>
      </c>
    </row>
    <row r="4" spans="1:6" x14ac:dyDescent="0.25">
      <c r="B4" s="119">
        <v>4</v>
      </c>
      <c r="C4" s="119">
        <v>1</v>
      </c>
      <c r="D4" t="s">
        <v>282</v>
      </c>
    </row>
    <row r="5" spans="1:6" x14ac:dyDescent="0.25">
      <c r="B5">
        <v>8200</v>
      </c>
      <c r="C5">
        <v>5100</v>
      </c>
      <c r="D5" t="s">
        <v>283</v>
      </c>
    </row>
    <row r="7" spans="1:6" x14ac:dyDescent="0.25">
      <c r="A7" t="s">
        <v>284</v>
      </c>
    </row>
    <row r="8" spans="1:6" x14ac:dyDescent="0.25">
      <c r="A8" t="s">
        <v>285</v>
      </c>
      <c r="B8" s="120">
        <f>SUMPRODUCT(B4:C4,B5:C5)</f>
        <v>37900</v>
      </c>
      <c r="C8" t="str">
        <f ca="1">_xlfn.FORMULATEXT(B8)</f>
        <v>=SUMPRODUCT(B4:C4,B5:C5)</v>
      </c>
    </row>
    <row r="11" spans="1:6" x14ac:dyDescent="0.25">
      <c r="D11" t="str">
        <f ca="1">_xlfn.FORMULATEXT(D13)</f>
        <v>=SUMPRODUCT($B$4:$C$4,B13:C13)</v>
      </c>
    </row>
    <row r="12" spans="1:6" x14ac:dyDescent="0.25">
      <c r="A12" s="20" t="s">
        <v>150</v>
      </c>
      <c r="B12" s="20"/>
      <c r="C12" s="20"/>
      <c r="D12" s="20" t="s">
        <v>135</v>
      </c>
      <c r="E12" s="20" t="s">
        <v>136</v>
      </c>
      <c r="F12" s="20" t="s">
        <v>137</v>
      </c>
    </row>
    <row r="13" spans="1:6" x14ac:dyDescent="0.25">
      <c r="A13" s="20" t="s">
        <v>0</v>
      </c>
      <c r="B13" s="22">
        <f>390</f>
        <v>390</v>
      </c>
      <c r="C13" s="22">
        <v>240</v>
      </c>
      <c r="D13" s="22">
        <f>SUMPRODUCT($B$4:$C$4,B13:C13)</f>
        <v>1800</v>
      </c>
      <c r="E13" s="22" t="s">
        <v>139</v>
      </c>
      <c r="F13" s="22">
        <v>1800</v>
      </c>
    </row>
    <row r="14" spans="1:6" x14ac:dyDescent="0.25">
      <c r="A14" s="20" t="s">
        <v>286</v>
      </c>
      <c r="B14" s="22"/>
      <c r="C14" s="22">
        <v>1</v>
      </c>
      <c r="D14" s="22">
        <f t="shared" ref="D14:D15" si="0">SUMPRODUCT($B$4:$C$4,B14:C14)</f>
        <v>1</v>
      </c>
      <c r="E14" s="22" t="s">
        <v>139</v>
      </c>
      <c r="F14" s="22">
        <v>6</v>
      </c>
    </row>
    <row r="15" spans="1:6" x14ac:dyDescent="0.25">
      <c r="A15" s="20" t="s">
        <v>287</v>
      </c>
      <c r="B15" s="22">
        <v>1</v>
      </c>
      <c r="C15" s="22"/>
      <c r="D15" s="22">
        <f t="shared" si="0"/>
        <v>4</v>
      </c>
      <c r="E15" s="22" t="s">
        <v>144</v>
      </c>
      <c r="F15" s="22">
        <v>2</v>
      </c>
    </row>
    <row r="19" spans="1:7" x14ac:dyDescent="0.25">
      <c r="A19" t="s">
        <v>167</v>
      </c>
      <c r="B19" t="s">
        <v>288</v>
      </c>
      <c r="G19" s="121" t="s">
        <v>289</v>
      </c>
    </row>
    <row r="20" spans="1:7" x14ac:dyDescent="0.25">
      <c r="B20" t="s">
        <v>290</v>
      </c>
    </row>
    <row r="23" spans="1:7" x14ac:dyDescent="0.25">
      <c r="A23" s="121" t="s">
        <v>291</v>
      </c>
    </row>
    <row r="24" spans="1:7" x14ac:dyDescent="0.25">
      <c r="A24" t="s">
        <v>292</v>
      </c>
    </row>
    <row r="26" spans="1:7" x14ac:dyDescent="0.25">
      <c r="A26" t="s">
        <v>293</v>
      </c>
    </row>
    <row r="27" spans="1:7" x14ac:dyDescent="0.25">
      <c r="A27" t="s">
        <v>294</v>
      </c>
      <c r="B27" t="s">
        <v>295</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CA2C9-6EC7-40E4-8DD3-A4C01058543F}">
  <dimension ref="A1:F17"/>
  <sheetViews>
    <sheetView workbookViewId="0">
      <selection activeCell="H10" sqref="H10"/>
    </sheetView>
  </sheetViews>
  <sheetFormatPr defaultRowHeight="15" x14ac:dyDescent="0.25"/>
  <cols>
    <col min="1" max="1" width="20.42578125" customWidth="1"/>
    <col min="2" max="2" width="13.85546875" customWidth="1"/>
    <col min="3" max="3" width="14.42578125" customWidth="1"/>
  </cols>
  <sheetData>
    <row r="1" spans="1:6" ht="20.25" thickBot="1" x14ac:dyDescent="0.35">
      <c r="A1" s="72" t="s">
        <v>350</v>
      </c>
    </row>
    <row r="2" spans="1:6" ht="15.75" thickTop="1" x14ac:dyDescent="0.25"/>
    <row r="3" spans="1:6" x14ac:dyDescent="0.25">
      <c r="A3" t="s">
        <v>128</v>
      </c>
      <c r="B3" t="s">
        <v>351</v>
      </c>
      <c r="C3" t="s">
        <v>352</v>
      </c>
    </row>
    <row r="4" spans="1:6" x14ac:dyDescent="0.25">
      <c r="B4" s="79">
        <v>2</v>
      </c>
      <c r="C4" s="79">
        <v>6</v>
      </c>
    </row>
    <row r="5" spans="1:6" x14ac:dyDescent="0.25">
      <c r="B5" s="25">
        <v>5</v>
      </c>
      <c r="C5" s="25">
        <v>7</v>
      </c>
    </row>
    <row r="8" spans="1:6" x14ac:dyDescent="0.25">
      <c r="A8" t="s">
        <v>133</v>
      </c>
    </row>
    <row r="9" spans="1:6" x14ac:dyDescent="0.25">
      <c r="A9" t="s">
        <v>353</v>
      </c>
      <c r="B9" s="134">
        <f>SUMPRODUCT(B4:C4,B5:C5)</f>
        <v>52</v>
      </c>
      <c r="C9" t="str">
        <f ca="1">_xlfn.FORMULATEXT(B9)</f>
        <v>=SUMPRODUCT(B4:C4,B5:C5)</v>
      </c>
    </row>
    <row r="13" spans="1:6" x14ac:dyDescent="0.25">
      <c r="A13" s="20" t="s">
        <v>150</v>
      </c>
      <c r="B13" s="20"/>
      <c r="C13" s="20"/>
      <c r="D13" s="22" t="s">
        <v>135</v>
      </c>
      <c r="E13" s="22" t="s">
        <v>136</v>
      </c>
      <c r="F13" s="22" t="s">
        <v>137</v>
      </c>
    </row>
    <row r="14" spans="1:6" x14ac:dyDescent="0.25">
      <c r="A14" s="20" t="s">
        <v>354</v>
      </c>
      <c r="B14" s="22">
        <v>1</v>
      </c>
      <c r="C14" s="22"/>
      <c r="D14" s="22">
        <f>SUMPRODUCT($B$4:$C$4,B14:C14)</f>
        <v>2</v>
      </c>
      <c r="E14" s="22" t="s">
        <v>139</v>
      </c>
      <c r="F14" s="22">
        <v>4</v>
      </c>
    </row>
    <row r="15" spans="1:6" x14ac:dyDescent="0.25">
      <c r="A15" s="20" t="s">
        <v>355</v>
      </c>
      <c r="B15" s="22"/>
      <c r="C15" s="22">
        <v>1</v>
      </c>
      <c r="D15" s="22">
        <f t="shared" ref="D15:D16" si="0">SUMPRODUCT($B$4:$C$4,B15:C15)</f>
        <v>6</v>
      </c>
      <c r="E15" s="22" t="s">
        <v>139</v>
      </c>
      <c r="F15" s="22">
        <v>6</v>
      </c>
    </row>
    <row r="16" spans="1:6" x14ac:dyDescent="0.25">
      <c r="A16" s="20" t="s">
        <v>356</v>
      </c>
      <c r="B16" s="22">
        <v>3</v>
      </c>
      <c r="C16" s="22">
        <v>1.5</v>
      </c>
      <c r="D16" s="22">
        <f t="shared" si="0"/>
        <v>15</v>
      </c>
      <c r="E16" s="22" t="s">
        <v>139</v>
      </c>
      <c r="F16" s="22">
        <v>15</v>
      </c>
    </row>
    <row r="17" spans="1:6" x14ac:dyDescent="0.25">
      <c r="A17" s="20"/>
      <c r="B17" s="22"/>
      <c r="C17" s="22"/>
      <c r="D17" s="22"/>
      <c r="E17" s="22"/>
      <c r="F17" s="2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47A-9C3F-4983-9E1D-8D3FED6F390F}">
  <dimension ref="A1"/>
  <sheetViews>
    <sheetView workbookViewId="0">
      <selection activeCell="G16" sqref="G16"/>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A2ACF-0A05-4361-9308-1D990414D956}">
  <dimension ref="A1:G22"/>
  <sheetViews>
    <sheetView workbookViewId="0">
      <selection activeCell="B23" sqref="B23"/>
    </sheetView>
  </sheetViews>
  <sheetFormatPr defaultRowHeight="15" x14ac:dyDescent="0.25"/>
  <cols>
    <col min="1" max="1" width="17.28515625" customWidth="1"/>
    <col min="2" max="2" width="20.5703125" customWidth="1"/>
    <col min="3" max="3" width="18.42578125" customWidth="1"/>
    <col min="4" max="4" width="25" customWidth="1"/>
  </cols>
  <sheetData>
    <row r="1" spans="1:6" ht="20.25" thickBot="1" x14ac:dyDescent="0.35">
      <c r="A1" s="72" t="s">
        <v>300</v>
      </c>
    </row>
    <row r="2" spans="1:6" ht="15.75" thickTop="1" x14ac:dyDescent="0.25"/>
    <row r="3" spans="1:6" x14ac:dyDescent="0.25">
      <c r="A3" s="21" t="s">
        <v>296</v>
      </c>
      <c r="B3" s="21" t="s">
        <v>297</v>
      </c>
      <c r="C3" s="21" t="s">
        <v>298</v>
      </c>
      <c r="D3" s="21" t="s">
        <v>299</v>
      </c>
    </row>
    <row r="4" spans="1:6" x14ac:dyDescent="0.25">
      <c r="A4" s="122" t="s">
        <v>197</v>
      </c>
      <c r="B4" s="122">
        <v>30</v>
      </c>
      <c r="C4" s="122">
        <v>0.5</v>
      </c>
      <c r="D4" s="122">
        <v>2000</v>
      </c>
    </row>
    <row r="5" spans="1:6" x14ac:dyDescent="0.25">
      <c r="A5" s="122" t="s">
        <v>198</v>
      </c>
      <c r="B5" s="122">
        <v>18</v>
      </c>
      <c r="C5" s="122">
        <v>0.4</v>
      </c>
      <c r="D5" s="122">
        <v>800</v>
      </c>
    </row>
    <row r="6" spans="1:6" x14ac:dyDescent="0.25">
      <c r="A6" s="122" t="s">
        <v>199</v>
      </c>
      <c r="B6" s="122">
        <v>2</v>
      </c>
      <c r="C6" s="122">
        <v>0.1</v>
      </c>
      <c r="D6" s="122">
        <v>200</v>
      </c>
    </row>
    <row r="9" spans="1:6" x14ac:dyDescent="0.25">
      <c r="A9" s="123" t="s">
        <v>301</v>
      </c>
      <c r="B9" t="s">
        <v>302</v>
      </c>
      <c r="C9" t="s">
        <v>303</v>
      </c>
    </row>
    <row r="10" spans="1:6" x14ac:dyDescent="0.25">
      <c r="B10" s="125">
        <v>44</v>
      </c>
      <c r="C10" s="126">
        <v>20</v>
      </c>
    </row>
    <row r="11" spans="1:6" x14ac:dyDescent="0.25">
      <c r="B11" s="127">
        <v>85</v>
      </c>
      <c r="C11" s="127">
        <v>1.5</v>
      </c>
    </row>
    <row r="13" spans="1:6" x14ac:dyDescent="0.25">
      <c r="A13" t="s">
        <v>133</v>
      </c>
    </row>
    <row r="14" spans="1:6" x14ac:dyDescent="0.25">
      <c r="A14" t="s">
        <v>67</v>
      </c>
      <c r="B14" s="105">
        <f>SUMPRODUCT(B10:C10,B11:C11)</f>
        <v>3770</v>
      </c>
      <c r="C14" t="str">
        <f ca="1">_xlfn.FORMULATEXT(B14)</f>
        <v>=SUMPRODUCT(B10:C10,B11:C11)</v>
      </c>
    </row>
    <row r="16" spans="1:6" x14ac:dyDescent="0.25">
      <c r="A16" s="22" t="s">
        <v>304</v>
      </c>
      <c r="B16" s="22"/>
      <c r="C16" s="22"/>
      <c r="D16" s="22" t="s">
        <v>135</v>
      </c>
      <c r="E16" s="22" t="s">
        <v>136</v>
      </c>
      <c r="F16" s="22" t="s">
        <v>137</v>
      </c>
    </row>
    <row r="17" spans="1:7" x14ac:dyDescent="0.25">
      <c r="A17" s="22" t="s">
        <v>197</v>
      </c>
      <c r="B17" s="22">
        <v>30</v>
      </c>
      <c r="C17" s="22">
        <v>0.5</v>
      </c>
      <c r="D17" s="22">
        <f>SUMPRODUCT($B$10:$C$10,B17:C17)</f>
        <v>1330</v>
      </c>
      <c r="E17" s="22" t="s">
        <v>139</v>
      </c>
      <c r="F17" s="22">
        <v>2000</v>
      </c>
      <c r="G17" t="str">
        <f ca="1">_xlfn.FORMULATEXT(D17)</f>
        <v>=SUMPRODUCT($B$10:$C$10,B17:C17)</v>
      </c>
    </row>
    <row r="18" spans="1:7" x14ac:dyDescent="0.25">
      <c r="A18" s="22" t="s">
        <v>198</v>
      </c>
      <c r="B18" s="22">
        <v>18</v>
      </c>
      <c r="C18" s="22">
        <v>0.4</v>
      </c>
      <c r="D18" s="22">
        <f t="shared" ref="D18:D19" si="0">SUMPRODUCT($B$10:$C$10,B18:C18)</f>
        <v>800</v>
      </c>
      <c r="E18" s="22" t="s">
        <v>139</v>
      </c>
      <c r="F18" s="22">
        <v>800</v>
      </c>
      <c r="G18" t="str">
        <f t="shared" ref="G18:G19" ca="1" si="1">_xlfn.FORMULATEXT(D18)</f>
        <v>=SUMPRODUCT($B$10:$C$10,B18:C18)</v>
      </c>
    </row>
    <row r="19" spans="1:7" x14ac:dyDescent="0.25">
      <c r="A19" s="22" t="s">
        <v>199</v>
      </c>
      <c r="B19" s="22">
        <v>2</v>
      </c>
      <c r="C19" s="22">
        <v>0.1</v>
      </c>
      <c r="D19" s="22">
        <f t="shared" si="0"/>
        <v>90</v>
      </c>
      <c r="E19" s="22" t="s">
        <v>139</v>
      </c>
      <c r="F19" s="22">
        <v>200</v>
      </c>
      <c r="G19" t="str">
        <f t="shared" ca="1" si="1"/>
        <v>=SUMPRODUCT($B$10:$C$10,B19:C19)</v>
      </c>
    </row>
    <row r="20" spans="1:7" x14ac:dyDescent="0.25">
      <c r="A20" s="129" t="s">
        <v>305</v>
      </c>
      <c r="B20" s="22"/>
      <c r="C20" s="22"/>
      <c r="D20" s="22"/>
      <c r="E20" s="22"/>
      <c r="F20" s="22"/>
    </row>
    <row r="22" spans="1:7" x14ac:dyDescent="0.25">
      <c r="A22" s="128" t="s">
        <v>262</v>
      </c>
      <c r="B22" t="s">
        <v>306</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134BD-F112-4E7E-86F3-2DC4E57AC522}">
  <dimension ref="A1:H23"/>
  <sheetViews>
    <sheetView workbookViewId="0">
      <selection activeCell="F30" sqref="F30"/>
    </sheetView>
  </sheetViews>
  <sheetFormatPr defaultRowHeight="15" x14ac:dyDescent="0.25"/>
  <cols>
    <col min="1" max="1" width="17" customWidth="1"/>
  </cols>
  <sheetData>
    <row r="1" spans="1:8" ht="20.25" thickBot="1" x14ac:dyDescent="0.35">
      <c r="A1" s="72" t="s">
        <v>307</v>
      </c>
    </row>
    <row r="2" spans="1:8" ht="15.75" thickTop="1" x14ac:dyDescent="0.25"/>
    <row r="3" spans="1:8" x14ac:dyDescent="0.25">
      <c r="B3" s="4" t="s">
        <v>308</v>
      </c>
      <c r="C3" s="4" t="s">
        <v>309</v>
      </c>
    </row>
    <row r="4" spans="1:8" x14ac:dyDescent="0.25">
      <c r="B4" s="131">
        <v>0.93023256126453513</v>
      </c>
      <c r="C4" s="131">
        <v>6.9767438735465051E-2</v>
      </c>
      <c r="H4" t="s">
        <v>311</v>
      </c>
    </row>
    <row r="7" spans="1:8" x14ac:dyDescent="0.25">
      <c r="A7" s="150" t="s">
        <v>312</v>
      </c>
      <c r="B7" s="151"/>
      <c r="C7" s="20"/>
      <c r="D7" s="20"/>
    </row>
    <row r="8" spans="1:8" x14ac:dyDescent="0.25">
      <c r="A8" s="20"/>
      <c r="B8" s="22" t="s">
        <v>313</v>
      </c>
      <c r="C8" s="22" t="s">
        <v>314</v>
      </c>
      <c r="D8" s="22" t="s">
        <v>315</v>
      </c>
    </row>
    <row r="9" spans="1:8" x14ac:dyDescent="0.25">
      <c r="A9" s="20" t="s">
        <v>316</v>
      </c>
      <c r="B9" s="22">
        <f>B4^2</f>
        <v>0.86533261803677708</v>
      </c>
      <c r="C9" s="22">
        <f>B4*C4</f>
        <v>6.4899943227758189E-2</v>
      </c>
      <c r="D9" s="22">
        <f>C4^2</f>
        <v>4.8674955077068691E-3</v>
      </c>
    </row>
    <row r="10" spans="1:8" x14ac:dyDescent="0.25">
      <c r="A10" s="20"/>
      <c r="B10" s="22" t="str">
        <f ca="1">_xlfn.FORMULATEXT(B9)</f>
        <v>=B4^2</v>
      </c>
      <c r="C10" s="22" t="str">
        <f t="shared" ref="C10:D10" ca="1" si="0">_xlfn.FORMULATEXT(C9)</f>
        <v>=B4*C4</v>
      </c>
      <c r="D10" s="22" t="str">
        <f t="shared" ca="1" si="0"/>
        <v>=C4^2</v>
      </c>
    </row>
    <row r="11" spans="1:8" x14ac:dyDescent="0.25">
      <c r="A11" s="20"/>
      <c r="B11" s="22">
        <v>0.16</v>
      </c>
      <c r="C11" s="22">
        <v>0.2</v>
      </c>
      <c r="D11" s="22">
        <v>0.9</v>
      </c>
    </row>
    <row r="16" spans="1:8" x14ac:dyDescent="0.25">
      <c r="A16" t="s">
        <v>244</v>
      </c>
    </row>
    <row r="17" spans="1:7" x14ac:dyDescent="0.25">
      <c r="A17" t="s">
        <v>317</v>
      </c>
      <c r="B17" s="84">
        <f>SUMPRODUCT(B9:D9,B11:D11)</f>
        <v>0.15581395348837215</v>
      </c>
      <c r="C17" t="str">
        <f ca="1">_xlfn.FORMULATEXT(B17)</f>
        <v>=SUMPRODUCT(B9:D9,B11:D11)</v>
      </c>
    </row>
    <row r="21" spans="1:7" x14ac:dyDescent="0.25">
      <c r="A21" s="20" t="s">
        <v>310</v>
      </c>
      <c r="B21" s="20"/>
      <c r="C21" s="20"/>
      <c r="D21" s="20" t="s">
        <v>135</v>
      </c>
      <c r="E21" s="20" t="s">
        <v>136</v>
      </c>
      <c r="F21" s="20" t="s">
        <v>137</v>
      </c>
    </row>
    <row r="22" spans="1:7" x14ac:dyDescent="0.25">
      <c r="A22" s="20" t="s">
        <v>318</v>
      </c>
      <c r="B22" s="20">
        <v>1</v>
      </c>
      <c r="C22" s="20">
        <v>1</v>
      </c>
      <c r="D22" s="132">
        <f>SUMPRODUCT($B$4:$C$4,B22:C22)</f>
        <v>1.0000000000000002</v>
      </c>
      <c r="E22" s="98" t="s">
        <v>229</v>
      </c>
      <c r="F22" s="130">
        <v>1</v>
      </c>
      <c r="G22" t="str">
        <f ca="1">_xlfn.FORMULATEXT(D22)</f>
        <v>=SUMPRODUCT($B$4:$C$4,B22:C22)</v>
      </c>
    </row>
    <row r="23" spans="1:7" x14ac:dyDescent="0.25">
      <c r="A23" s="20" t="s">
        <v>319</v>
      </c>
      <c r="B23" s="130">
        <v>0.11</v>
      </c>
      <c r="C23" s="130">
        <v>0.08</v>
      </c>
      <c r="D23" s="132">
        <f>SUMPRODUCT($B$4:$C$4,B23:C23)</f>
        <v>0.10790697683793607</v>
      </c>
      <c r="E23" s="20" t="s">
        <v>144</v>
      </c>
      <c r="F23" s="132">
        <v>0.09</v>
      </c>
      <c r="G23" t="str">
        <f ca="1">_xlfn.FORMULATEXT(D23)</f>
        <v>=SUMPRODUCT($B$4:$C$4,B23:C23)</v>
      </c>
    </row>
  </sheetData>
  <mergeCells count="1">
    <mergeCell ref="A7:B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4B4F-A779-4A79-B05A-3A44C578C3B9}">
  <dimension ref="A1:F18"/>
  <sheetViews>
    <sheetView workbookViewId="0">
      <selection activeCell="H13" sqref="H13"/>
    </sheetView>
  </sheetViews>
  <sheetFormatPr defaultRowHeight="15" x14ac:dyDescent="0.25"/>
  <cols>
    <col min="1" max="1" width="13.7109375" customWidth="1"/>
    <col min="2" max="2" width="9.5703125" bestFit="1" customWidth="1"/>
    <col min="3" max="3" width="10.5703125" bestFit="1" customWidth="1"/>
  </cols>
  <sheetData>
    <row r="1" spans="1:6" ht="20.25" thickBot="1" x14ac:dyDescent="0.35">
      <c r="A1" s="72" t="s">
        <v>343</v>
      </c>
    </row>
    <row r="2" spans="1:6" ht="15.75" thickTop="1" x14ac:dyDescent="0.25"/>
    <row r="3" spans="1:6" ht="11.25" customHeight="1" x14ac:dyDescent="0.25">
      <c r="B3" t="s">
        <v>345</v>
      </c>
      <c r="C3" t="s">
        <v>346</v>
      </c>
      <c r="D3" t="s">
        <v>347</v>
      </c>
      <c r="E3" t="s">
        <v>348</v>
      </c>
    </row>
    <row r="4" spans="1:6" x14ac:dyDescent="0.25">
      <c r="B4" s="124">
        <v>10</v>
      </c>
      <c r="C4" s="124">
        <v>15</v>
      </c>
      <c r="D4">
        <f>4-0.1*B4</f>
        <v>3</v>
      </c>
      <c r="E4">
        <f>5-0.02*C4</f>
        <v>4.7</v>
      </c>
    </row>
    <row r="6" spans="1:6" x14ac:dyDescent="0.25">
      <c r="A6" t="s">
        <v>133</v>
      </c>
    </row>
    <row r="7" spans="1:6" x14ac:dyDescent="0.25">
      <c r="A7" t="s">
        <v>28</v>
      </c>
      <c r="B7" s="135">
        <f>B4*D4+C4*E4</f>
        <v>100.5</v>
      </c>
      <c r="C7" t="s">
        <v>336</v>
      </c>
    </row>
    <row r="10" spans="1:6" x14ac:dyDescent="0.25">
      <c r="A10" s="20" t="s">
        <v>150</v>
      </c>
      <c r="B10" s="20"/>
      <c r="C10" s="20"/>
      <c r="D10" s="22" t="s">
        <v>135</v>
      </c>
      <c r="E10" s="22" t="s">
        <v>136</v>
      </c>
      <c r="F10" s="22" t="s">
        <v>137</v>
      </c>
    </row>
    <row r="11" spans="1:6" x14ac:dyDescent="0.25">
      <c r="A11" s="22" t="s">
        <v>344</v>
      </c>
      <c r="B11" s="22">
        <v>1</v>
      </c>
      <c r="C11" s="22">
        <v>2</v>
      </c>
      <c r="D11" s="22">
        <f>SUMPRODUCT(B4:C4,B11:C11)</f>
        <v>40</v>
      </c>
      <c r="E11" s="22" t="s">
        <v>139</v>
      </c>
      <c r="F11" s="22">
        <v>40</v>
      </c>
    </row>
    <row r="12" spans="1:6" x14ac:dyDescent="0.25">
      <c r="A12" s="22"/>
      <c r="B12" s="22"/>
      <c r="C12" s="22"/>
      <c r="D12" s="22"/>
      <c r="E12" s="22"/>
      <c r="F12" s="22"/>
    </row>
    <row r="13" spans="1:6" x14ac:dyDescent="0.25">
      <c r="A13" s="22"/>
      <c r="B13" s="22"/>
      <c r="C13" s="22"/>
      <c r="D13" s="22"/>
      <c r="E13" s="22"/>
      <c r="F13" s="22"/>
    </row>
    <row r="14" spans="1:6" x14ac:dyDescent="0.25">
      <c r="A14" s="22"/>
      <c r="B14" s="22"/>
      <c r="C14" s="22"/>
      <c r="D14" s="22"/>
      <c r="E14" s="22"/>
      <c r="F14" s="22"/>
    </row>
    <row r="15" spans="1:6" x14ac:dyDescent="0.25">
      <c r="A15" s="22"/>
      <c r="B15" s="22"/>
      <c r="C15" s="22"/>
      <c r="D15" s="22"/>
      <c r="E15" s="22"/>
      <c r="F15" s="22"/>
    </row>
    <row r="16" spans="1:6" x14ac:dyDescent="0.25">
      <c r="A16" s="22"/>
      <c r="B16" s="22"/>
      <c r="C16" s="22"/>
      <c r="D16" s="22"/>
      <c r="E16" s="22"/>
      <c r="F16" s="22"/>
    </row>
    <row r="18" spans="1:2" x14ac:dyDescent="0.25">
      <c r="A18" t="s">
        <v>262</v>
      </c>
      <c r="B18" t="s">
        <v>349</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8333-6182-4FDC-A58C-74039E09692D}">
  <dimension ref="A1:P28"/>
  <sheetViews>
    <sheetView workbookViewId="0">
      <selection activeCell="N13" sqref="N13"/>
    </sheetView>
  </sheetViews>
  <sheetFormatPr defaultRowHeight="15" x14ac:dyDescent="0.25"/>
  <cols>
    <col min="1" max="1" width="24.140625" customWidth="1"/>
    <col min="2" max="2" width="34.140625" customWidth="1"/>
    <col min="3" max="3" width="31.42578125" customWidth="1"/>
    <col min="5" max="5" width="13.28515625" bestFit="1" customWidth="1"/>
    <col min="6" max="6" width="21" bestFit="1" customWidth="1"/>
    <col min="7" max="7" width="5.5703125" customWidth="1"/>
    <col min="8" max="8" width="5.85546875" customWidth="1"/>
    <col min="9" max="9" width="5.7109375" customWidth="1"/>
    <col min="10" max="11" width="5.5703125" customWidth="1"/>
    <col min="12" max="12" width="4.85546875" customWidth="1"/>
    <col min="13" max="13" width="7.5703125" customWidth="1"/>
  </cols>
  <sheetData>
    <row r="1" spans="1:14" ht="20.25" thickBot="1" x14ac:dyDescent="0.35">
      <c r="A1" s="72" t="s">
        <v>320</v>
      </c>
    </row>
    <row r="2" spans="1:14" ht="15.75" thickTop="1" x14ac:dyDescent="0.25"/>
    <row r="3" spans="1:14" x14ac:dyDescent="0.25">
      <c r="A3" s="133" t="s">
        <v>246</v>
      </c>
      <c r="B3" s="21" t="s">
        <v>321</v>
      </c>
      <c r="C3" s="21" t="s">
        <v>322</v>
      </c>
      <c r="E3" t="s">
        <v>330</v>
      </c>
    </row>
    <row r="4" spans="1:14" x14ac:dyDescent="0.25">
      <c r="A4" s="22" t="s">
        <v>323</v>
      </c>
      <c r="B4" s="22">
        <v>50</v>
      </c>
      <c r="C4" s="22">
        <v>480</v>
      </c>
      <c r="E4" t="s">
        <v>331</v>
      </c>
    </row>
    <row r="5" spans="1:14" x14ac:dyDescent="0.25">
      <c r="A5" s="22" t="s">
        <v>324</v>
      </c>
      <c r="B5" s="22">
        <v>80</v>
      </c>
      <c r="C5" s="22">
        <v>540</v>
      </c>
      <c r="E5" t="s">
        <v>332</v>
      </c>
    </row>
    <row r="6" spans="1:14" x14ac:dyDescent="0.25">
      <c r="A6" s="22" t="s">
        <v>325</v>
      </c>
      <c r="B6" s="22">
        <v>90</v>
      </c>
      <c r="C6" s="22">
        <v>680</v>
      </c>
    </row>
    <row r="7" spans="1:14" x14ac:dyDescent="0.25">
      <c r="A7" s="22" t="s">
        <v>326</v>
      </c>
      <c r="B7" s="22">
        <v>120</v>
      </c>
      <c r="C7" s="22">
        <v>1000</v>
      </c>
    </row>
    <row r="8" spans="1:14" x14ac:dyDescent="0.25">
      <c r="A8" s="22" t="s">
        <v>327</v>
      </c>
      <c r="B8" s="22">
        <v>110</v>
      </c>
      <c r="C8" s="22">
        <v>700</v>
      </c>
    </row>
    <row r="9" spans="1:14" x14ac:dyDescent="0.25">
      <c r="A9" s="22" t="s">
        <v>328</v>
      </c>
      <c r="B9" s="22">
        <v>40</v>
      </c>
      <c r="C9" s="22">
        <v>510</v>
      </c>
    </row>
    <row r="10" spans="1:14" x14ac:dyDescent="0.25">
      <c r="A10" s="22" t="s">
        <v>329</v>
      </c>
      <c r="B10" s="22">
        <v>75</v>
      </c>
      <c r="C10" s="22">
        <v>900</v>
      </c>
      <c r="F10" t="s">
        <v>128</v>
      </c>
      <c r="G10" s="4" t="s">
        <v>178</v>
      </c>
      <c r="H10" s="4" t="s">
        <v>183</v>
      </c>
      <c r="I10" s="4" t="s">
        <v>180</v>
      </c>
      <c r="J10" s="4" t="s">
        <v>181</v>
      </c>
      <c r="K10" s="4" t="s">
        <v>182</v>
      </c>
      <c r="L10" s="4" t="s">
        <v>333</v>
      </c>
      <c r="M10" s="4" t="s">
        <v>334</v>
      </c>
    </row>
    <row r="11" spans="1:14" x14ac:dyDescent="0.25">
      <c r="G11" s="125">
        <v>0</v>
      </c>
      <c r="H11" s="125">
        <v>0</v>
      </c>
      <c r="I11" s="125">
        <v>1</v>
      </c>
      <c r="J11" s="125">
        <v>1</v>
      </c>
      <c r="K11" s="125">
        <v>1</v>
      </c>
      <c r="L11" s="125">
        <v>1</v>
      </c>
      <c r="M11" s="125">
        <v>0</v>
      </c>
    </row>
    <row r="12" spans="1:14" x14ac:dyDescent="0.25">
      <c r="G12" s="4">
        <v>50</v>
      </c>
      <c r="H12" s="4">
        <v>80</v>
      </c>
      <c r="I12" s="4">
        <v>90</v>
      </c>
      <c r="J12" s="4">
        <v>120</v>
      </c>
      <c r="K12" s="4">
        <v>110</v>
      </c>
      <c r="L12" s="4">
        <v>40</v>
      </c>
      <c r="M12" s="4">
        <v>75</v>
      </c>
      <c r="N12" t="s">
        <v>336</v>
      </c>
    </row>
    <row r="14" spans="1:14" x14ac:dyDescent="0.25">
      <c r="F14" t="s">
        <v>133</v>
      </c>
    </row>
    <row r="15" spans="1:14" x14ac:dyDescent="0.25">
      <c r="F15" t="s">
        <v>335</v>
      </c>
      <c r="G15" s="152">
        <f>SUMPRODUCT(G11:M11,G12:M12)</f>
        <v>360</v>
      </c>
      <c r="H15" s="152"/>
      <c r="I15" s="152"/>
      <c r="J15" s="152"/>
      <c r="K15" t="s">
        <v>336</v>
      </c>
      <c r="M15" t="str">
        <f ca="1">_xlfn.FORMULATEXT(G15)</f>
        <v>=SUMPRODUCT(G11:M11,G12:M12)</v>
      </c>
    </row>
    <row r="18" spans="6:16" x14ac:dyDescent="0.25">
      <c r="F18" s="22" t="s">
        <v>337</v>
      </c>
      <c r="G18" s="20"/>
      <c r="H18" s="20"/>
      <c r="I18" s="20"/>
      <c r="J18" s="20"/>
      <c r="K18" s="20"/>
      <c r="L18" s="20"/>
      <c r="M18" s="20"/>
      <c r="N18" s="22" t="s">
        <v>135</v>
      </c>
      <c r="O18" s="22" t="s">
        <v>136</v>
      </c>
      <c r="P18" s="22" t="s">
        <v>137</v>
      </c>
    </row>
    <row r="19" spans="6:16" x14ac:dyDescent="0.25">
      <c r="F19" s="20" t="s">
        <v>338</v>
      </c>
      <c r="G19" s="22">
        <v>1</v>
      </c>
      <c r="H19" s="22"/>
      <c r="I19" s="22"/>
      <c r="J19" s="22">
        <v>1</v>
      </c>
      <c r="K19" s="22">
        <v>1</v>
      </c>
      <c r="L19" s="22"/>
      <c r="M19" s="22"/>
      <c r="N19" s="22">
        <f>SUMPRODUCT($G$11:$M$11,G19:M19)</f>
        <v>2</v>
      </c>
      <c r="O19" s="22" t="s">
        <v>339</v>
      </c>
      <c r="P19" s="22">
        <v>2</v>
      </c>
    </row>
    <row r="20" spans="6:16" x14ac:dyDescent="0.25">
      <c r="F20" s="20" t="s">
        <v>340</v>
      </c>
      <c r="G20" s="22"/>
      <c r="H20" s="22">
        <v>1</v>
      </c>
      <c r="I20" s="22">
        <v>1</v>
      </c>
      <c r="J20" s="22"/>
      <c r="K20" s="22"/>
      <c r="L20" s="22"/>
      <c r="M20" s="22"/>
      <c r="N20" s="22">
        <f t="shared" ref="N20:N22" si="0">SUMPRODUCT($G$11:$M$11,G20:M20)</f>
        <v>1</v>
      </c>
      <c r="O20" s="22" t="s">
        <v>139</v>
      </c>
      <c r="P20" s="22">
        <v>1</v>
      </c>
    </row>
    <row r="21" spans="6:16" x14ac:dyDescent="0.25">
      <c r="F21" s="20" t="s">
        <v>341</v>
      </c>
      <c r="G21" s="22"/>
      <c r="H21" s="22"/>
      <c r="I21" s="22"/>
      <c r="J21" s="22"/>
      <c r="K21" s="22"/>
      <c r="L21" s="22">
        <v>1</v>
      </c>
      <c r="M21" s="22">
        <v>1</v>
      </c>
      <c r="N21" s="22">
        <f t="shared" si="0"/>
        <v>1</v>
      </c>
      <c r="O21" s="113" t="s">
        <v>229</v>
      </c>
      <c r="P21" s="22">
        <v>1</v>
      </c>
    </row>
    <row r="22" spans="6:16" x14ac:dyDescent="0.25">
      <c r="F22" s="20" t="s">
        <v>0</v>
      </c>
      <c r="G22" s="22">
        <v>480</v>
      </c>
      <c r="H22" s="22">
        <v>540</v>
      </c>
      <c r="I22" s="22">
        <v>680</v>
      </c>
      <c r="J22" s="22">
        <v>1000</v>
      </c>
      <c r="K22" s="22">
        <v>700</v>
      </c>
      <c r="L22" s="22">
        <v>510</v>
      </c>
      <c r="M22" s="22">
        <v>900</v>
      </c>
      <c r="N22" s="22">
        <f t="shared" si="0"/>
        <v>2890</v>
      </c>
      <c r="O22" s="22" t="s">
        <v>139</v>
      </c>
      <c r="P22" s="22">
        <v>3000</v>
      </c>
    </row>
    <row r="23" spans="6:16" x14ac:dyDescent="0.25">
      <c r="F23" s="20"/>
      <c r="G23" s="22"/>
      <c r="H23" s="22"/>
      <c r="I23" s="22"/>
      <c r="J23" s="22"/>
      <c r="K23" s="22"/>
      <c r="L23" s="22"/>
      <c r="M23" s="22"/>
      <c r="N23" s="22"/>
      <c r="O23" s="22"/>
      <c r="P23" s="22"/>
    </row>
    <row r="24" spans="6:16" x14ac:dyDescent="0.25">
      <c r="F24" s="20"/>
      <c r="G24" s="22"/>
      <c r="H24" s="22"/>
      <c r="I24" s="22"/>
      <c r="J24" s="22"/>
      <c r="K24" s="22"/>
      <c r="L24" s="22"/>
      <c r="M24" s="22"/>
      <c r="N24" s="22"/>
      <c r="O24" s="22"/>
      <c r="P24" s="22"/>
    </row>
    <row r="28" spans="6:16" x14ac:dyDescent="0.25">
      <c r="F28" t="s">
        <v>167</v>
      </c>
      <c r="G28" t="s">
        <v>342</v>
      </c>
    </row>
  </sheetData>
  <mergeCells count="1">
    <mergeCell ref="G15:J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Budget</vt:lpstr>
      <vt:lpstr>NCAA T-Shirt Vendor</vt:lpstr>
      <vt:lpstr>Woodworks Bookshelf Co.</vt:lpstr>
      <vt:lpstr>Quality Sweater Company</vt:lpstr>
      <vt:lpstr>B&amp;N Bookstore</vt:lpstr>
      <vt:lpstr>The 19th Hole</vt:lpstr>
      <vt:lpstr>Gopher Drugs</vt:lpstr>
      <vt:lpstr>Linear Programming</vt:lpstr>
      <vt:lpstr>PC Tech Company</vt:lpstr>
      <vt:lpstr>Investment Allocation</vt:lpstr>
      <vt:lpstr>Busing Problem</vt:lpstr>
      <vt:lpstr>Transportation Problem Template</vt:lpstr>
      <vt:lpstr>New Hire</vt:lpstr>
      <vt:lpstr>MLB Umpire</vt:lpstr>
      <vt:lpstr>Princess Bride</vt:lpstr>
      <vt:lpstr>Art posters</vt:lpstr>
      <vt:lpstr>Horizon Wireless </vt:lpstr>
      <vt:lpstr>Bolsa de Cafe</vt:lpstr>
      <vt:lpstr>Non-Linear Template</vt:lpstr>
      <vt:lpstr>Motorcross Snowmobiles</vt:lpstr>
      <vt:lpstr>Binary Investment 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Lehi Baconawa</dc:creator>
  <cp:lastModifiedBy>Lehi Baconawa</cp:lastModifiedBy>
  <cp:lastPrinted>2024-07-08T23:07:03Z</cp:lastPrinted>
  <dcterms:created xsi:type="dcterms:W3CDTF">2024-06-24T02:24:00Z</dcterms:created>
  <dcterms:modified xsi:type="dcterms:W3CDTF">2024-07-08T23:07:05Z</dcterms:modified>
</cp:coreProperties>
</file>